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1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15.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6.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7.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18.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9.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0.xml" ContentType="application/vnd.openxmlformats-officedocument.drawing+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drawings/drawing22.xml" ContentType="application/vnd.openxmlformats-officedocument.drawing+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drawings/drawing23.xml" ContentType="application/vnd.openxmlformats-officedocument.drawing+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24.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25.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26.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drawings/drawing27.xml" ContentType="application/vnd.openxmlformats-officedocument.drawing+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drawings/drawing28.xml" ContentType="application/vnd.openxmlformats-officedocument.drawing+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drawings/drawing29.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drawings/drawing30.xml" ContentType="application/vnd.openxmlformats-officedocument.drawing+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drawings/drawing31.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Z:\internal\RP&amp;A\Rate Changes &amp; Tariff Book Files\Rate Change\Rate Calc\2025\"/>
    </mc:Choice>
  </mc:AlternateContent>
  <xr:revisionPtr revIDLastSave="0" documentId="13_ncr:1_{264F050D-1A4B-4DC8-9387-2FAA5A2AD62F}" xr6:coauthVersionLast="47" xr6:coauthVersionMax="47" xr10:uidLastSave="{00000000-0000-0000-0000-000000000000}"/>
  <bookViews>
    <workbookView xWindow="28680" yWindow="-120" windowWidth="29040" windowHeight="15720" tabRatio="960" xr2:uid="{00000000-000D-0000-FFFF-FFFF00000000}"/>
  </bookViews>
  <sheets>
    <sheet name="Customer Info" sheetId="1" r:id="rId1"/>
    <sheet name="Rider Def" sheetId="143" r:id="rId2"/>
    <sheet name="RR Bundled" sheetId="34" r:id="rId3"/>
    <sheet name="RSDM Bundled" sheetId="100" r:id="rId4"/>
    <sheet name="RS TOU Bundled" sheetId="127" r:id="rId5"/>
    <sheet name="RS TOD Bundled" sheetId="126" r:id="rId6"/>
    <sheet name="RR Pilot PEV" sheetId="140" r:id="rId7"/>
    <sheet name="RS PEV" sheetId="146" r:id="rId8"/>
    <sheet name="GS-1 Bundled" sheetId="37" r:id="rId9"/>
    <sheet name="GS-TOU Bundled" sheetId="128" r:id="rId10"/>
    <sheet name="GS TOD Bundled" sheetId="119" r:id="rId11"/>
    <sheet name="GS-Pilot PEV" sheetId="144" r:id="rId12"/>
    <sheet name="GS FAIR - SEC" sheetId="138" r:id="rId13"/>
    <sheet name="GS FAIR - PRI" sheetId="139" r:id="rId14"/>
    <sheet name="Bus PEV Sec" sheetId="147" r:id="rId15"/>
    <sheet name="Bus PEV - Primary" sheetId="148" r:id="rId16"/>
    <sheet name="Bus PEV Trans" sheetId="149" r:id="rId17"/>
    <sheet name="GS SEC" sheetId="40" r:id="rId18"/>
    <sheet name="GS PRI" sheetId="129" r:id="rId19"/>
    <sheet name="GS TRANS" sheetId="130" r:id="rId20"/>
    <sheet name="RR Open Access" sheetId="131" r:id="rId21"/>
    <sheet name="RSDM Open" sheetId="132" r:id="rId22"/>
    <sheet name="RS PEV OPEN" sheetId="154" r:id="rId23"/>
    <sheet name="GS-1 Open" sheetId="133" r:id="rId24"/>
    <sheet name="GS-PEV OAD" sheetId="145" r:id="rId25"/>
    <sheet name="GS SEC OAD" sheetId="141" r:id="rId26"/>
    <sheet name="GS PRI OAD" sheetId="142" r:id="rId27"/>
    <sheet name="GS TRANS - OAD" sheetId="136" r:id="rId28"/>
    <sheet name="Bus PEV Sec OAD" sheetId="151" r:id="rId29"/>
    <sheet name="Bus PEV - Primary OAD" sheetId="152" r:id="rId30"/>
    <sheet name="Bus PEV Trans OAD" sheetId="153" r:id="rId31"/>
    <sheet name="Rider Rates" sheetId="120" r:id="rId32"/>
    <sheet name="Riders" sheetId="61" state="hidden" r:id="rId33"/>
  </sheets>
  <definedNames>
    <definedName name="_xlnm.Print_Area" localSheetId="0">'Customer Info'!$A$1:$F$37</definedName>
    <definedName name="_xlnm.Print_Area" localSheetId="13">'GS FAIR - PRI'!$A$1:$P$72</definedName>
    <definedName name="_xlnm.Print_Area" localSheetId="12">'GS FAIR - SEC'!$A$1:$P$72</definedName>
    <definedName name="_xlnm.Print_Area" localSheetId="18">'GS PRI'!$A$1:$P$79</definedName>
    <definedName name="_xlnm.Print_Area" localSheetId="26">'GS PRI OAD'!$A$1:$P$73</definedName>
    <definedName name="_xlnm.Print_Area" localSheetId="17">'GS SEC'!$A$1:$P$79</definedName>
    <definedName name="_xlnm.Print_Area" localSheetId="25">'GS SEC OAD'!$A$1:$P$73</definedName>
    <definedName name="_xlnm.Print_Area" localSheetId="10">'GS TOD Bundled'!$A$1:$P$64</definedName>
    <definedName name="_xlnm.Print_Area" localSheetId="19">'GS TRANS'!$A$1:$P$78</definedName>
    <definedName name="_xlnm.Print_Area" localSheetId="27">'GS TRANS - OAD'!$A$1:$P$72</definedName>
    <definedName name="_xlnm.Print_Area" localSheetId="8">'GS-1 Bundled'!$A$1:$P$65</definedName>
    <definedName name="_xlnm.Print_Area" localSheetId="23">'GS-1 Open'!$A$1:$P$61</definedName>
    <definedName name="_xlnm.Print_Area" localSheetId="24">'GS-PEV OAD'!$A$1:$P$66</definedName>
    <definedName name="_xlnm.Print_Area" localSheetId="11">'GS-Pilot PEV'!$A$1:$P$66</definedName>
    <definedName name="_xlnm.Print_Area" localSheetId="9">'GS-TOU Bundled'!$A$1:$P$66</definedName>
    <definedName name="_xlnm.Print_Area" localSheetId="1">'Rider Def'!$A$1:$A$36</definedName>
    <definedName name="_xlnm.Print_Area" localSheetId="31">'Rider Rates'!$A$68:$D$83</definedName>
    <definedName name="_xlnm.Print_Area" localSheetId="2">'RR Bundled'!$A$1:$P$69</definedName>
    <definedName name="_xlnm.Print_Area" localSheetId="20">'RR Open Access'!$A$1:$P$64</definedName>
    <definedName name="_xlnm.Print_Area" localSheetId="6">'RR Pilot PEV'!$A$1:$P$70</definedName>
    <definedName name="_xlnm.Print_Area" localSheetId="5">'RS TOD Bundled'!$A$1:$P$64</definedName>
    <definedName name="_xlnm.Print_Area" localSheetId="4">'RS TOU Bundled'!$A$1:$P$70</definedName>
    <definedName name="_xlnm.Print_Area" localSheetId="3">'RSDM Bundled'!$A$1:$P$62</definedName>
    <definedName name="_xlnm.Print_Area" localSheetId="21">'RSDM Open'!$A$1:$P$57</definedName>
    <definedName name="_xlnm.Print_Titles" localSheetId="31">'Rider Rates'!$1:$2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1" i="146" l="1"/>
  <c r="I41" i="146"/>
  <c r="P45" i="140"/>
  <c r="I45" i="140"/>
  <c r="I39" i="126"/>
  <c r="P41" i="154"/>
  <c r="I41" i="154"/>
  <c r="J41" i="154" s="1"/>
  <c r="P35" i="132"/>
  <c r="I35" i="132"/>
  <c r="J35" i="132"/>
  <c r="P41" i="131"/>
  <c r="I41" i="131"/>
  <c r="J41" i="131" s="1"/>
  <c r="J41" i="146" l="1"/>
  <c r="J45" i="140"/>
  <c r="P39" i="126"/>
  <c r="J39" i="126"/>
  <c r="P45" i="127"/>
  <c r="I45" i="127"/>
  <c r="J45" i="127"/>
  <c r="P38" i="100"/>
  <c r="P34" i="100"/>
  <c r="P33" i="100"/>
  <c r="P39" i="34"/>
  <c r="I38" i="100"/>
  <c r="J38" i="100"/>
  <c r="P44" i="34"/>
  <c r="I44" i="34"/>
  <c r="J44" i="34" s="1"/>
  <c r="P54" i="154" l="1"/>
  <c r="I54" i="154"/>
  <c r="J54" i="154" s="1"/>
  <c r="N54" i="154" s="1"/>
  <c r="O54" i="154" s="1"/>
  <c r="P53" i="154"/>
  <c r="I53" i="154"/>
  <c r="J53" i="154" s="1"/>
  <c r="P52" i="154"/>
  <c r="I52" i="154"/>
  <c r="J52" i="154" s="1"/>
  <c r="N52" i="154" s="1"/>
  <c r="O52" i="154" s="1"/>
  <c r="P51" i="154"/>
  <c r="I51" i="154"/>
  <c r="J51" i="154" s="1"/>
  <c r="P50" i="154"/>
  <c r="J50" i="154"/>
  <c r="D50" i="154"/>
  <c r="P49" i="154"/>
  <c r="I49" i="154"/>
  <c r="J49" i="154" s="1"/>
  <c r="P48" i="154"/>
  <c r="I48" i="154"/>
  <c r="J48" i="154" s="1"/>
  <c r="P47" i="154"/>
  <c r="I47" i="154"/>
  <c r="J47" i="154" s="1"/>
  <c r="P46" i="154"/>
  <c r="J46" i="154"/>
  <c r="P45" i="154"/>
  <c r="I45" i="154"/>
  <c r="J45" i="154" s="1"/>
  <c r="P44" i="154"/>
  <c r="I44" i="154"/>
  <c r="J44" i="154" s="1"/>
  <c r="P43" i="154"/>
  <c r="I43" i="154"/>
  <c r="J43" i="154" s="1"/>
  <c r="P42" i="154"/>
  <c r="I42" i="154"/>
  <c r="J42" i="154" s="1"/>
  <c r="P40" i="154"/>
  <c r="H40" i="154"/>
  <c r="J40" i="154" s="1"/>
  <c r="P39" i="154"/>
  <c r="P38" i="154"/>
  <c r="J38" i="154"/>
  <c r="D38" i="154"/>
  <c r="L38" i="154" s="1"/>
  <c r="O38" i="154" s="1"/>
  <c r="P37" i="154"/>
  <c r="J37" i="154"/>
  <c r="D37" i="154"/>
  <c r="L37" i="154" s="1"/>
  <c r="O37" i="154" s="1"/>
  <c r="P36" i="154"/>
  <c r="J36" i="154"/>
  <c r="D36" i="154"/>
  <c r="L36" i="154" s="1"/>
  <c r="P35" i="154"/>
  <c r="I35" i="154"/>
  <c r="J35" i="154" s="1"/>
  <c r="P34" i="154"/>
  <c r="I34" i="154"/>
  <c r="J34" i="154" s="1"/>
  <c r="P33" i="154"/>
  <c r="I33" i="154"/>
  <c r="J33" i="154" s="1"/>
  <c r="P32" i="154"/>
  <c r="I32" i="154"/>
  <c r="J32" i="154" s="1"/>
  <c r="P31" i="154"/>
  <c r="I31" i="154"/>
  <c r="J31" i="154" s="1"/>
  <c r="P30" i="154"/>
  <c r="I30" i="154"/>
  <c r="J30" i="154" s="1"/>
  <c r="P29" i="154"/>
  <c r="I29" i="154"/>
  <c r="J29" i="154" s="1"/>
  <c r="P28" i="154"/>
  <c r="I28" i="154"/>
  <c r="J28" i="154" s="1"/>
  <c r="P23" i="154"/>
  <c r="I23" i="154"/>
  <c r="J23" i="154" s="1"/>
  <c r="P22" i="154"/>
  <c r="I22" i="154"/>
  <c r="J22" i="154" s="1"/>
  <c r="I21" i="154"/>
  <c r="N21" i="154" s="1"/>
  <c r="AD17" i="154"/>
  <c r="AC17" i="154"/>
  <c r="AB17" i="154"/>
  <c r="AA17" i="154"/>
  <c r="Z17" i="154"/>
  <c r="Y17" i="154"/>
  <c r="X17" i="154"/>
  <c r="W17" i="154"/>
  <c r="V17" i="154"/>
  <c r="U17" i="154"/>
  <c r="T17" i="154"/>
  <c r="S17" i="154"/>
  <c r="C16" i="154"/>
  <c r="C15" i="154"/>
  <c r="D22" i="154" s="1"/>
  <c r="D11" i="154"/>
  <c r="B11" i="154"/>
  <c r="C11" i="154" s="1"/>
  <c r="C10" i="154"/>
  <c r="C9" i="154"/>
  <c r="A6" i="154"/>
  <c r="A4" i="154"/>
  <c r="P54" i="153"/>
  <c r="I54" i="153"/>
  <c r="J54" i="153" s="1"/>
  <c r="N54" i="153" s="1"/>
  <c r="O54" i="153" s="1"/>
  <c r="P53" i="153"/>
  <c r="I53" i="153"/>
  <c r="J53" i="153" s="1"/>
  <c r="P52" i="153"/>
  <c r="I52" i="153"/>
  <c r="J52" i="153" s="1"/>
  <c r="P51" i="153"/>
  <c r="I51" i="153"/>
  <c r="J51" i="153" s="1"/>
  <c r="P50" i="153"/>
  <c r="I50" i="153"/>
  <c r="J50" i="153" s="1"/>
  <c r="P49" i="153"/>
  <c r="J49" i="153"/>
  <c r="P48" i="153"/>
  <c r="I48" i="153"/>
  <c r="N48" i="153" s="1"/>
  <c r="O48" i="153" s="1"/>
  <c r="P47" i="153"/>
  <c r="I47" i="153"/>
  <c r="N47" i="153" s="1"/>
  <c r="O47" i="153" s="1"/>
  <c r="P46" i="153"/>
  <c r="I46" i="153"/>
  <c r="J46" i="153" s="1"/>
  <c r="P45" i="153"/>
  <c r="J45" i="153"/>
  <c r="P44" i="153"/>
  <c r="I44" i="153"/>
  <c r="N44" i="153" s="1"/>
  <c r="O44" i="153" s="1"/>
  <c r="P43" i="153"/>
  <c r="I43" i="153"/>
  <c r="J43" i="153" s="1"/>
  <c r="P42" i="153"/>
  <c r="I42" i="153"/>
  <c r="J42" i="153" s="1"/>
  <c r="P41" i="153"/>
  <c r="I41" i="153"/>
  <c r="J41" i="153" s="1"/>
  <c r="N41" i="153" s="1"/>
  <c r="O41" i="153" s="1"/>
  <c r="P40" i="153"/>
  <c r="I40" i="153"/>
  <c r="J40" i="153" s="1"/>
  <c r="P39" i="153"/>
  <c r="H39" i="153"/>
  <c r="J39" i="153" s="1"/>
  <c r="P38" i="153"/>
  <c r="P37" i="153"/>
  <c r="J37" i="153"/>
  <c r="P36" i="153"/>
  <c r="J36" i="153"/>
  <c r="P35" i="153"/>
  <c r="J35" i="153"/>
  <c r="P34" i="153"/>
  <c r="J34" i="153"/>
  <c r="P33" i="153"/>
  <c r="I33" i="153"/>
  <c r="J33" i="153" s="1"/>
  <c r="P32" i="153"/>
  <c r="I32" i="153"/>
  <c r="J32" i="153" s="1"/>
  <c r="P31" i="153"/>
  <c r="I31" i="153"/>
  <c r="J31" i="153" s="1"/>
  <c r="P30" i="153"/>
  <c r="I30" i="153"/>
  <c r="J30" i="153" s="1"/>
  <c r="P29" i="153"/>
  <c r="I29" i="153"/>
  <c r="J29" i="153" s="1"/>
  <c r="P28" i="153"/>
  <c r="I28" i="153"/>
  <c r="J28" i="153" s="1"/>
  <c r="P27" i="153"/>
  <c r="I27" i="153"/>
  <c r="J27" i="153" s="1"/>
  <c r="P22" i="153"/>
  <c r="I22" i="153"/>
  <c r="J22" i="153" s="1"/>
  <c r="I21" i="153"/>
  <c r="N21" i="153" s="1"/>
  <c r="C17" i="153"/>
  <c r="D36" i="153" s="1"/>
  <c r="C16" i="153"/>
  <c r="C15" i="153"/>
  <c r="D52" i="153" s="1"/>
  <c r="AD13" i="153"/>
  <c r="AC13" i="153"/>
  <c r="AB13" i="153"/>
  <c r="AA13" i="153"/>
  <c r="Z13" i="153"/>
  <c r="Y13" i="153"/>
  <c r="X13" i="153"/>
  <c r="W13" i="153"/>
  <c r="V13" i="153"/>
  <c r="U13" i="153"/>
  <c r="T13" i="153"/>
  <c r="S13" i="153"/>
  <c r="D11" i="153"/>
  <c r="B11" i="153"/>
  <c r="C11" i="153" s="1"/>
  <c r="C10" i="153"/>
  <c r="C9" i="153"/>
  <c r="A6" i="153"/>
  <c r="A4" i="153"/>
  <c r="P54" i="152"/>
  <c r="I54" i="152"/>
  <c r="J54" i="152" s="1"/>
  <c r="N54" i="152" s="1"/>
  <c r="O54" i="152" s="1"/>
  <c r="P53" i="152"/>
  <c r="I53" i="152"/>
  <c r="J53" i="152" s="1"/>
  <c r="P52" i="152"/>
  <c r="I52" i="152"/>
  <c r="J52" i="152" s="1"/>
  <c r="P51" i="152"/>
  <c r="I51" i="152"/>
  <c r="J51" i="152" s="1"/>
  <c r="P50" i="152"/>
  <c r="I50" i="152"/>
  <c r="J50" i="152" s="1"/>
  <c r="P49" i="152"/>
  <c r="J49" i="152"/>
  <c r="P48" i="152"/>
  <c r="I48" i="152"/>
  <c r="N48" i="152" s="1"/>
  <c r="O48" i="152" s="1"/>
  <c r="P47" i="152"/>
  <c r="I47" i="152"/>
  <c r="N47" i="152" s="1"/>
  <c r="O47" i="152" s="1"/>
  <c r="P46" i="152"/>
  <c r="I46" i="152"/>
  <c r="J46" i="152" s="1"/>
  <c r="P45" i="152"/>
  <c r="J45" i="152"/>
  <c r="P44" i="152"/>
  <c r="I44" i="152"/>
  <c r="J44" i="152" s="1"/>
  <c r="P43" i="152"/>
  <c r="I43" i="152"/>
  <c r="J43" i="152" s="1"/>
  <c r="P42" i="152"/>
  <c r="I42" i="152"/>
  <c r="J42" i="152" s="1"/>
  <c r="P41" i="152"/>
  <c r="I41" i="152"/>
  <c r="J41" i="152" s="1"/>
  <c r="N41" i="152" s="1"/>
  <c r="O41" i="152" s="1"/>
  <c r="P40" i="152"/>
  <c r="I40" i="152"/>
  <c r="J40" i="152" s="1"/>
  <c r="P39" i="152"/>
  <c r="H39" i="152"/>
  <c r="J39" i="152" s="1"/>
  <c r="P38" i="152"/>
  <c r="P37" i="152"/>
  <c r="J37" i="152"/>
  <c r="P36" i="152"/>
  <c r="J36" i="152"/>
  <c r="P35" i="152"/>
  <c r="J35" i="152"/>
  <c r="P34" i="152"/>
  <c r="J34" i="152"/>
  <c r="P33" i="152"/>
  <c r="I33" i="152"/>
  <c r="J33" i="152" s="1"/>
  <c r="P32" i="152"/>
  <c r="I32" i="152"/>
  <c r="J32" i="152" s="1"/>
  <c r="P31" i="152"/>
  <c r="I31" i="152"/>
  <c r="J31" i="152" s="1"/>
  <c r="P30" i="152"/>
  <c r="I30" i="152"/>
  <c r="J30" i="152" s="1"/>
  <c r="P29" i="152"/>
  <c r="I29" i="152"/>
  <c r="J29" i="152" s="1"/>
  <c r="P28" i="152"/>
  <c r="I28" i="152"/>
  <c r="J28" i="152" s="1"/>
  <c r="P27" i="152"/>
  <c r="I27" i="152"/>
  <c r="J27" i="152" s="1"/>
  <c r="P22" i="152"/>
  <c r="I22" i="152"/>
  <c r="J22" i="152" s="1"/>
  <c r="I21" i="152"/>
  <c r="N21" i="152" s="1"/>
  <c r="C17" i="152"/>
  <c r="D36" i="152" s="1"/>
  <c r="C16" i="152"/>
  <c r="D49" i="152" s="1"/>
  <c r="C15" i="152"/>
  <c r="D31" i="152" s="1"/>
  <c r="AD13" i="152"/>
  <c r="AC13" i="152"/>
  <c r="AB13" i="152"/>
  <c r="AA13" i="152"/>
  <c r="Z13" i="152"/>
  <c r="Y13" i="152"/>
  <c r="X13" i="152"/>
  <c r="W13" i="152"/>
  <c r="V13" i="152"/>
  <c r="U13" i="152"/>
  <c r="T13" i="152"/>
  <c r="S13" i="152"/>
  <c r="D11" i="152"/>
  <c r="B11" i="152"/>
  <c r="C11" i="152" s="1"/>
  <c r="C10" i="152"/>
  <c r="C9" i="152"/>
  <c r="A6" i="152"/>
  <c r="A4" i="152"/>
  <c r="P54" i="151"/>
  <c r="I54" i="151"/>
  <c r="J54" i="151" s="1"/>
  <c r="N54" i="151" s="1"/>
  <c r="O54" i="151" s="1"/>
  <c r="P53" i="151"/>
  <c r="I53" i="151"/>
  <c r="J53" i="151" s="1"/>
  <c r="P52" i="151"/>
  <c r="I52" i="151"/>
  <c r="J52" i="151" s="1"/>
  <c r="P51" i="151"/>
  <c r="I51" i="151"/>
  <c r="J51" i="151" s="1"/>
  <c r="P50" i="151"/>
  <c r="I50" i="151"/>
  <c r="J50" i="151" s="1"/>
  <c r="P49" i="151"/>
  <c r="J49" i="151"/>
  <c r="P48" i="151"/>
  <c r="I48" i="151"/>
  <c r="J48" i="151" s="1"/>
  <c r="P47" i="151"/>
  <c r="I47" i="151"/>
  <c r="N47" i="151" s="1"/>
  <c r="O47" i="151" s="1"/>
  <c r="P46" i="151"/>
  <c r="I46" i="151"/>
  <c r="J46" i="151" s="1"/>
  <c r="P45" i="151"/>
  <c r="J45" i="151"/>
  <c r="P44" i="151"/>
  <c r="I44" i="151"/>
  <c r="N44" i="151" s="1"/>
  <c r="O44" i="151" s="1"/>
  <c r="P43" i="151"/>
  <c r="I43" i="151"/>
  <c r="J43" i="151" s="1"/>
  <c r="P42" i="151"/>
  <c r="I42" i="151"/>
  <c r="J42" i="151" s="1"/>
  <c r="P41" i="151"/>
  <c r="I41" i="151"/>
  <c r="J41" i="151" s="1"/>
  <c r="N41" i="151" s="1"/>
  <c r="O41" i="151" s="1"/>
  <c r="P40" i="151"/>
  <c r="I40" i="151"/>
  <c r="J40" i="151" s="1"/>
  <c r="P39" i="151"/>
  <c r="H39" i="151"/>
  <c r="J39" i="151" s="1"/>
  <c r="P38" i="151"/>
  <c r="P37" i="151"/>
  <c r="J37" i="151"/>
  <c r="P36" i="151"/>
  <c r="J36" i="151"/>
  <c r="P35" i="151"/>
  <c r="J35" i="151"/>
  <c r="P34" i="151"/>
  <c r="J34" i="151"/>
  <c r="D34" i="151"/>
  <c r="P33" i="151"/>
  <c r="I33" i="151"/>
  <c r="J33" i="151" s="1"/>
  <c r="P32" i="151"/>
  <c r="I32" i="151"/>
  <c r="J32" i="151" s="1"/>
  <c r="P31" i="151"/>
  <c r="I31" i="151"/>
  <c r="J31" i="151" s="1"/>
  <c r="P30" i="151"/>
  <c r="I30" i="151"/>
  <c r="J30" i="151" s="1"/>
  <c r="P29" i="151"/>
  <c r="I29" i="151"/>
  <c r="J29" i="151" s="1"/>
  <c r="P28" i="151"/>
  <c r="I28" i="151"/>
  <c r="J28" i="151" s="1"/>
  <c r="P27" i="151"/>
  <c r="I27" i="151"/>
  <c r="J27" i="151" s="1"/>
  <c r="P22" i="151"/>
  <c r="I22" i="151"/>
  <c r="J22" i="151" s="1"/>
  <c r="I21" i="151"/>
  <c r="J21" i="151" s="1"/>
  <c r="C17" i="151"/>
  <c r="D36" i="151" s="1"/>
  <c r="C16" i="151"/>
  <c r="D35" i="151" s="1"/>
  <c r="L35" i="151" s="1"/>
  <c r="O35" i="151" s="1"/>
  <c r="C15" i="151"/>
  <c r="D51" i="151" s="1"/>
  <c r="AD13" i="151"/>
  <c r="AC13" i="151"/>
  <c r="AB13" i="151"/>
  <c r="AA13" i="151"/>
  <c r="Z13" i="151"/>
  <c r="Y13" i="151"/>
  <c r="X13" i="151"/>
  <c r="W13" i="151"/>
  <c r="V13" i="151"/>
  <c r="U13" i="151"/>
  <c r="T13" i="151"/>
  <c r="S13" i="151"/>
  <c r="D11" i="151"/>
  <c r="B11" i="151"/>
  <c r="C11" i="151" s="1"/>
  <c r="C10" i="151"/>
  <c r="C9" i="151"/>
  <c r="A6" i="151"/>
  <c r="A4" i="151"/>
  <c r="G49" i="149"/>
  <c r="G36" i="149"/>
  <c r="G35" i="149"/>
  <c r="G34" i="149"/>
  <c r="G49" i="148"/>
  <c r="G36" i="148"/>
  <c r="G35" i="148"/>
  <c r="G34" i="148"/>
  <c r="G36" i="147"/>
  <c r="G35" i="147"/>
  <c r="N22" i="154" l="1"/>
  <c r="O22" i="154" s="1"/>
  <c r="N45" i="154"/>
  <c r="O45" i="154" s="1"/>
  <c r="J21" i="154"/>
  <c r="C17" i="154"/>
  <c r="N48" i="154"/>
  <c r="O48" i="154" s="1"/>
  <c r="L50" i="154"/>
  <c r="O50" i="154" s="1"/>
  <c r="O36" i="154"/>
  <c r="D23" i="154"/>
  <c r="N23" i="154" s="1"/>
  <c r="O23" i="154" s="1"/>
  <c r="O21" i="154"/>
  <c r="N49" i="154"/>
  <c r="O49" i="154" s="1"/>
  <c r="L36" i="153"/>
  <c r="O36" i="153" s="1"/>
  <c r="L36" i="152"/>
  <c r="O36" i="152" s="1"/>
  <c r="N21" i="151"/>
  <c r="O21" i="151" s="1"/>
  <c r="L49" i="152"/>
  <c r="O49" i="152" s="1"/>
  <c r="N51" i="151"/>
  <c r="O51" i="151" s="1"/>
  <c r="N44" i="152"/>
  <c r="O44" i="152" s="1"/>
  <c r="D37" i="153"/>
  <c r="L37" i="153" s="1"/>
  <c r="O37" i="153" s="1"/>
  <c r="L34" i="151"/>
  <c r="O34" i="151" s="1"/>
  <c r="J44" i="151"/>
  <c r="J47" i="151"/>
  <c r="D40" i="151"/>
  <c r="N40" i="151" s="1"/>
  <c r="O40" i="151" s="1"/>
  <c r="N31" i="152"/>
  <c r="O31" i="152" s="1"/>
  <c r="J48" i="152"/>
  <c r="L36" i="151"/>
  <c r="O36" i="151" s="1"/>
  <c r="D27" i="152"/>
  <c r="N27" i="152" s="1"/>
  <c r="O27" i="152" s="1"/>
  <c r="D34" i="152"/>
  <c r="L34" i="152" s="1"/>
  <c r="D38" i="152"/>
  <c r="D27" i="153"/>
  <c r="N27" i="153" s="1"/>
  <c r="O27" i="153" s="1"/>
  <c r="D39" i="152"/>
  <c r="M39" i="152" s="1"/>
  <c r="O39" i="152" s="1"/>
  <c r="D31" i="153"/>
  <c r="N31" i="153" s="1"/>
  <c r="O31" i="153" s="1"/>
  <c r="D28" i="151"/>
  <c r="N28" i="151" s="1"/>
  <c r="O28" i="151" s="1"/>
  <c r="N48" i="151"/>
  <c r="O48" i="151" s="1"/>
  <c r="D30" i="152"/>
  <c r="N30" i="152" s="1"/>
  <c r="O30" i="152" s="1"/>
  <c r="D37" i="152"/>
  <c r="L37" i="152" s="1"/>
  <c r="O37" i="152" s="1"/>
  <c r="J47" i="153"/>
  <c r="D22" i="152"/>
  <c r="N22" i="152" s="1"/>
  <c r="O22" i="152" s="1"/>
  <c r="D35" i="152"/>
  <c r="L35" i="152" s="1"/>
  <c r="O35" i="152" s="1"/>
  <c r="J21" i="153"/>
  <c r="D35" i="153"/>
  <c r="L35" i="153" s="1"/>
  <c r="O35" i="153" s="1"/>
  <c r="D32" i="151"/>
  <c r="N32" i="151" s="1"/>
  <c r="O32" i="151" s="1"/>
  <c r="D49" i="151"/>
  <c r="L49" i="151" s="1"/>
  <c r="O49" i="151" s="1"/>
  <c r="D50" i="152"/>
  <c r="N50" i="152" s="1"/>
  <c r="O50" i="152" s="1"/>
  <c r="D52" i="152"/>
  <c r="N52" i="152" s="1"/>
  <c r="O52" i="152" s="1"/>
  <c r="D22" i="153"/>
  <c r="N22" i="153" s="1"/>
  <c r="O22" i="153" s="1"/>
  <c r="D39" i="153"/>
  <c r="M39" i="153" s="1"/>
  <c r="O39" i="153" s="1"/>
  <c r="D29" i="152"/>
  <c r="N29" i="152" s="1"/>
  <c r="O29" i="152" s="1"/>
  <c r="D53" i="151"/>
  <c r="N53" i="151" s="1"/>
  <c r="O53" i="151" s="1"/>
  <c r="O21" i="152"/>
  <c r="O21" i="153"/>
  <c r="N52" i="153"/>
  <c r="O52" i="153" s="1"/>
  <c r="D29" i="151"/>
  <c r="N29" i="151" s="1"/>
  <c r="O29" i="151" s="1"/>
  <c r="D37" i="151"/>
  <c r="L37" i="151" s="1"/>
  <c r="O37" i="151" s="1"/>
  <c r="D50" i="151"/>
  <c r="N50" i="151" s="1"/>
  <c r="O50" i="151" s="1"/>
  <c r="J21" i="152"/>
  <c r="J47" i="152"/>
  <c r="D28" i="153"/>
  <c r="N28" i="153" s="1"/>
  <c r="O28" i="153" s="1"/>
  <c r="D32" i="153"/>
  <c r="N32" i="153" s="1"/>
  <c r="O32" i="153" s="1"/>
  <c r="D40" i="153"/>
  <c r="N40" i="153" s="1"/>
  <c r="O40" i="153" s="1"/>
  <c r="J44" i="153"/>
  <c r="D49" i="153"/>
  <c r="L49" i="153" s="1"/>
  <c r="O49" i="153" s="1"/>
  <c r="D53" i="153"/>
  <c r="N53" i="153" s="1"/>
  <c r="O53" i="153" s="1"/>
  <c r="D28" i="152"/>
  <c r="N28" i="152" s="1"/>
  <c r="O28" i="152" s="1"/>
  <c r="D32" i="152"/>
  <c r="N32" i="152" s="1"/>
  <c r="O32" i="152" s="1"/>
  <c r="D40" i="152"/>
  <c r="N40" i="152" s="1"/>
  <c r="O40" i="152" s="1"/>
  <c r="D53" i="152"/>
  <c r="N53" i="152" s="1"/>
  <c r="O53" i="152" s="1"/>
  <c r="D22" i="151"/>
  <c r="N22" i="151" s="1"/>
  <c r="O22" i="151" s="1"/>
  <c r="D27" i="151"/>
  <c r="N27" i="151" s="1"/>
  <c r="D31" i="151"/>
  <c r="N31" i="151" s="1"/>
  <c r="O31" i="151" s="1"/>
  <c r="D39" i="151"/>
  <c r="M39" i="151" s="1"/>
  <c r="D52" i="151"/>
  <c r="N52" i="151" s="1"/>
  <c r="O52" i="151" s="1"/>
  <c r="D30" i="153"/>
  <c r="N30" i="153" s="1"/>
  <c r="O30" i="153" s="1"/>
  <c r="D34" i="153"/>
  <c r="L34" i="153" s="1"/>
  <c r="D38" i="153"/>
  <c r="D45" i="153"/>
  <c r="O45" i="153" s="1"/>
  <c r="J48" i="153"/>
  <c r="D51" i="153"/>
  <c r="N51" i="153" s="1"/>
  <c r="O51" i="153" s="1"/>
  <c r="D45" i="152"/>
  <c r="O45" i="152" s="1"/>
  <c r="D51" i="152"/>
  <c r="N51" i="152" s="1"/>
  <c r="O51" i="152" s="1"/>
  <c r="D30" i="151"/>
  <c r="N30" i="151" s="1"/>
  <c r="O30" i="151" s="1"/>
  <c r="D38" i="151"/>
  <c r="D45" i="151"/>
  <c r="O45" i="151" s="1"/>
  <c r="D29" i="153"/>
  <c r="N29" i="153" s="1"/>
  <c r="O29" i="153" s="1"/>
  <c r="D50" i="153"/>
  <c r="N50" i="153" s="1"/>
  <c r="O50" i="153" s="1"/>
  <c r="D34" i="147"/>
  <c r="G37" i="146"/>
  <c r="D37" i="146"/>
  <c r="D42" i="154" l="1"/>
  <c r="N42" i="154" s="1"/>
  <c r="O42" i="154" s="1"/>
  <c r="D41" i="154"/>
  <c r="N41" i="154" s="1"/>
  <c r="O41" i="154" s="1"/>
  <c r="D46" i="154"/>
  <c r="O46" i="154" s="1"/>
  <c r="D34" i="154"/>
  <c r="N34" i="154" s="1"/>
  <c r="O34" i="154" s="1"/>
  <c r="D53" i="154"/>
  <c r="N53" i="154" s="1"/>
  <c r="O53" i="154" s="1"/>
  <c r="D40" i="154"/>
  <c r="M40" i="154" s="1"/>
  <c r="O40" i="154" s="1"/>
  <c r="D31" i="154"/>
  <c r="N31" i="154" s="1"/>
  <c r="O31" i="154" s="1"/>
  <c r="D28" i="154"/>
  <c r="N28" i="154" s="1"/>
  <c r="O28" i="154" s="1"/>
  <c r="D32" i="154"/>
  <c r="N32" i="154" s="1"/>
  <c r="O32" i="154" s="1"/>
  <c r="D30" i="154"/>
  <c r="N30" i="154" s="1"/>
  <c r="O30" i="154" s="1"/>
  <c r="D29" i="154"/>
  <c r="N29" i="154" s="1"/>
  <c r="O29" i="154" s="1"/>
  <c r="D51" i="154"/>
  <c r="N51" i="154" s="1"/>
  <c r="O51" i="154" s="1"/>
  <c r="L56" i="154"/>
  <c r="L58" i="154" s="1"/>
  <c r="O66" i="154" s="1"/>
  <c r="O23" i="151"/>
  <c r="O24" i="154"/>
  <c r="M56" i="152"/>
  <c r="M58" i="152" s="1"/>
  <c r="N24" i="154"/>
  <c r="N23" i="151"/>
  <c r="D46" i="151" s="1"/>
  <c r="N46" i="151" s="1"/>
  <c r="O46" i="151" s="1"/>
  <c r="L56" i="152"/>
  <c r="L58" i="152" s="1"/>
  <c r="O66" i="152" s="1"/>
  <c r="M56" i="153"/>
  <c r="M58" i="153" s="1"/>
  <c r="L56" i="151"/>
  <c r="L58" i="151" s="1"/>
  <c r="O66" i="151" s="1"/>
  <c r="O34" i="152"/>
  <c r="N23" i="153"/>
  <c r="L56" i="153"/>
  <c r="L58" i="153" s="1"/>
  <c r="O66" i="153" s="1"/>
  <c r="O34" i="153"/>
  <c r="O23" i="153"/>
  <c r="M56" i="151"/>
  <c r="M58" i="151" s="1"/>
  <c r="O39" i="151"/>
  <c r="O27" i="151"/>
  <c r="N23" i="152"/>
  <c r="O23" i="152"/>
  <c r="I32" i="147"/>
  <c r="J32" i="147" s="1"/>
  <c r="P32" i="147"/>
  <c r="P23" i="146"/>
  <c r="I23" i="146"/>
  <c r="C16" i="146"/>
  <c r="D23" i="146" s="1"/>
  <c r="C15" i="146"/>
  <c r="D22" i="146" s="1"/>
  <c r="M56" i="154" l="1"/>
  <c r="M58" i="154" s="1"/>
  <c r="D33" i="154"/>
  <c r="N33" i="154" s="1"/>
  <c r="D43" i="154"/>
  <c r="N43" i="154" s="1"/>
  <c r="O43" i="154" s="1"/>
  <c r="D35" i="154"/>
  <c r="N35" i="154" s="1"/>
  <c r="O35" i="154" s="1"/>
  <c r="D44" i="154"/>
  <c r="N44" i="154" s="1"/>
  <c r="O44" i="154" s="1"/>
  <c r="D47" i="154"/>
  <c r="N47" i="154" s="1"/>
  <c r="O47" i="154" s="1"/>
  <c r="D33" i="151"/>
  <c r="N33" i="151" s="1"/>
  <c r="O33" i="151" s="1"/>
  <c r="D43" i="151"/>
  <c r="N43" i="151" s="1"/>
  <c r="O43" i="151" s="1"/>
  <c r="D42" i="151"/>
  <c r="N42" i="151" s="1"/>
  <c r="O42" i="151" s="1"/>
  <c r="N23" i="146"/>
  <c r="O23" i="146" s="1"/>
  <c r="D33" i="153"/>
  <c r="N33" i="153" s="1"/>
  <c r="D42" i="153"/>
  <c r="N42" i="153" s="1"/>
  <c r="O42" i="153" s="1"/>
  <c r="D43" i="153"/>
  <c r="N43" i="153" s="1"/>
  <c r="O43" i="153" s="1"/>
  <c r="D46" i="153"/>
  <c r="N46" i="153" s="1"/>
  <c r="O46" i="153" s="1"/>
  <c r="D42" i="152"/>
  <c r="N42" i="152" s="1"/>
  <c r="O42" i="152" s="1"/>
  <c r="D43" i="152"/>
  <c r="N43" i="152" s="1"/>
  <c r="O43" i="152" s="1"/>
  <c r="D46" i="152"/>
  <c r="N46" i="152" s="1"/>
  <c r="O46" i="152" s="1"/>
  <c r="D33" i="152"/>
  <c r="N33" i="152" s="1"/>
  <c r="C17" i="146"/>
  <c r="J23" i="146"/>
  <c r="D42" i="146" l="1"/>
  <c r="D41" i="146"/>
  <c r="N41" i="146" s="1"/>
  <c r="O41" i="146" s="1"/>
  <c r="O33" i="154"/>
  <c r="O33" i="153"/>
  <c r="O33" i="152"/>
  <c r="I22" i="147"/>
  <c r="J22" i="147" s="1"/>
  <c r="P22" i="148"/>
  <c r="P22" i="146"/>
  <c r="P22" i="147"/>
  <c r="P22" i="149"/>
  <c r="I22" i="149"/>
  <c r="J22" i="149" s="1"/>
  <c r="I21" i="149"/>
  <c r="N21" i="149" s="1"/>
  <c r="P54" i="149"/>
  <c r="I54" i="149"/>
  <c r="J54" i="149" s="1"/>
  <c r="N54" i="149" s="1"/>
  <c r="O54" i="149" s="1"/>
  <c r="P53" i="149"/>
  <c r="I53" i="149"/>
  <c r="J53" i="149" s="1"/>
  <c r="P52" i="149"/>
  <c r="I52" i="149"/>
  <c r="J52" i="149" s="1"/>
  <c r="P51" i="149"/>
  <c r="I51" i="149"/>
  <c r="J51" i="149" s="1"/>
  <c r="P50" i="149"/>
  <c r="I50" i="149"/>
  <c r="J50" i="149" s="1"/>
  <c r="P49" i="149"/>
  <c r="J49" i="149"/>
  <c r="P48" i="149"/>
  <c r="I48" i="149"/>
  <c r="J48" i="149" s="1"/>
  <c r="P47" i="149"/>
  <c r="I47" i="149"/>
  <c r="N47" i="149" s="1"/>
  <c r="O47" i="149" s="1"/>
  <c r="P46" i="149"/>
  <c r="I46" i="149"/>
  <c r="J46" i="149" s="1"/>
  <c r="P45" i="149"/>
  <c r="J45" i="149"/>
  <c r="P44" i="149"/>
  <c r="I44" i="149"/>
  <c r="N44" i="149" s="1"/>
  <c r="O44" i="149" s="1"/>
  <c r="P43" i="149"/>
  <c r="I43" i="149"/>
  <c r="J43" i="149" s="1"/>
  <c r="P42" i="149"/>
  <c r="I42" i="149"/>
  <c r="J42" i="149" s="1"/>
  <c r="P41" i="149"/>
  <c r="I41" i="149"/>
  <c r="J41" i="149" s="1"/>
  <c r="N41" i="149" s="1"/>
  <c r="O41" i="149" s="1"/>
  <c r="P40" i="149"/>
  <c r="I40" i="149"/>
  <c r="J40" i="149" s="1"/>
  <c r="P39" i="149"/>
  <c r="H39" i="149"/>
  <c r="J39" i="149" s="1"/>
  <c r="P38" i="149"/>
  <c r="P37" i="149"/>
  <c r="G37" i="149"/>
  <c r="J37" i="149" s="1"/>
  <c r="P36" i="149"/>
  <c r="J36" i="149"/>
  <c r="P35" i="149"/>
  <c r="J35" i="149"/>
  <c r="P34" i="149"/>
  <c r="J34" i="149"/>
  <c r="P33" i="149"/>
  <c r="I33" i="149"/>
  <c r="J33" i="149" s="1"/>
  <c r="P32" i="149"/>
  <c r="I32" i="149"/>
  <c r="J32" i="149" s="1"/>
  <c r="P31" i="149"/>
  <c r="I31" i="149"/>
  <c r="J31" i="149" s="1"/>
  <c r="P30" i="149"/>
  <c r="I30" i="149"/>
  <c r="J30" i="149" s="1"/>
  <c r="P29" i="149"/>
  <c r="I29" i="149"/>
  <c r="J29" i="149" s="1"/>
  <c r="P28" i="149"/>
  <c r="I28" i="149"/>
  <c r="J28" i="149" s="1"/>
  <c r="P27" i="149"/>
  <c r="I27" i="149"/>
  <c r="J27" i="149" s="1"/>
  <c r="C17" i="149"/>
  <c r="D36" i="149" s="1"/>
  <c r="C16" i="149"/>
  <c r="D35" i="149" s="1"/>
  <c r="C15" i="149"/>
  <c r="AD13" i="149"/>
  <c r="AC13" i="149"/>
  <c r="AB13" i="149"/>
  <c r="AA13" i="149"/>
  <c r="Z13" i="149"/>
  <c r="Y13" i="149"/>
  <c r="X13" i="149"/>
  <c r="W13" i="149"/>
  <c r="V13" i="149"/>
  <c r="U13" i="149"/>
  <c r="T13" i="149"/>
  <c r="S13" i="149"/>
  <c r="D11" i="149"/>
  <c r="B11" i="149"/>
  <c r="C11" i="149" s="1"/>
  <c r="C10" i="149"/>
  <c r="C9" i="149"/>
  <c r="A6" i="149"/>
  <c r="A4" i="149"/>
  <c r="I22" i="148"/>
  <c r="J22" i="148" s="1"/>
  <c r="I21" i="148"/>
  <c r="J21" i="148" s="1"/>
  <c r="P54" i="148"/>
  <c r="I54" i="148"/>
  <c r="J54" i="148" s="1"/>
  <c r="N54" i="148" s="1"/>
  <c r="O54" i="148" s="1"/>
  <c r="P53" i="148"/>
  <c r="I53" i="148"/>
  <c r="J53" i="148" s="1"/>
  <c r="P52" i="148"/>
  <c r="I52" i="148"/>
  <c r="J52" i="148" s="1"/>
  <c r="P51" i="148"/>
  <c r="I51" i="148"/>
  <c r="J51" i="148" s="1"/>
  <c r="P50" i="148"/>
  <c r="I50" i="148"/>
  <c r="J50" i="148" s="1"/>
  <c r="P49" i="148"/>
  <c r="J49" i="148"/>
  <c r="P48" i="148"/>
  <c r="I48" i="148"/>
  <c r="N48" i="148" s="1"/>
  <c r="O48" i="148" s="1"/>
  <c r="P47" i="148"/>
  <c r="I47" i="148"/>
  <c r="N47" i="148" s="1"/>
  <c r="O47" i="148" s="1"/>
  <c r="P46" i="148"/>
  <c r="I46" i="148"/>
  <c r="J46" i="148" s="1"/>
  <c r="P45" i="148"/>
  <c r="J45" i="148"/>
  <c r="P44" i="148"/>
  <c r="I44" i="148"/>
  <c r="P43" i="148"/>
  <c r="I43" i="148"/>
  <c r="J43" i="148" s="1"/>
  <c r="P42" i="148"/>
  <c r="I42" i="148"/>
  <c r="J42" i="148" s="1"/>
  <c r="P41" i="148"/>
  <c r="I41" i="148"/>
  <c r="J41" i="148" s="1"/>
  <c r="N41" i="148" s="1"/>
  <c r="O41" i="148" s="1"/>
  <c r="P40" i="148"/>
  <c r="I40" i="148"/>
  <c r="J40" i="148" s="1"/>
  <c r="P39" i="148"/>
  <c r="H39" i="148"/>
  <c r="J39" i="148" s="1"/>
  <c r="P38" i="148"/>
  <c r="P37" i="148"/>
  <c r="G37" i="148"/>
  <c r="J37" i="148" s="1"/>
  <c r="P36" i="148"/>
  <c r="J36" i="148"/>
  <c r="P35" i="148"/>
  <c r="J35" i="148"/>
  <c r="P34" i="148"/>
  <c r="J34" i="148"/>
  <c r="P33" i="148"/>
  <c r="I33" i="148"/>
  <c r="J33" i="148" s="1"/>
  <c r="P32" i="148"/>
  <c r="I32" i="148"/>
  <c r="J32" i="148" s="1"/>
  <c r="P31" i="148"/>
  <c r="I31" i="148"/>
  <c r="J31" i="148" s="1"/>
  <c r="P30" i="148"/>
  <c r="I30" i="148"/>
  <c r="J30" i="148" s="1"/>
  <c r="P29" i="148"/>
  <c r="I29" i="148"/>
  <c r="J29" i="148" s="1"/>
  <c r="P28" i="148"/>
  <c r="I28" i="148"/>
  <c r="J28" i="148" s="1"/>
  <c r="P27" i="148"/>
  <c r="I27" i="148"/>
  <c r="J27" i="148" s="1"/>
  <c r="C17" i="148"/>
  <c r="D36" i="148" s="1"/>
  <c r="C16" i="148"/>
  <c r="D35" i="148" s="1"/>
  <c r="C15" i="148"/>
  <c r="AD13" i="148"/>
  <c r="AC13" i="148"/>
  <c r="AB13" i="148"/>
  <c r="AA13" i="148"/>
  <c r="Z13" i="148"/>
  <c r="Y13" i="148"/>
  <c r="X13" i="148"/>
  <c r="W13" i="148"/>
  <c r="V13" i="148"/>
  <c r="U13" i="148"/>
  <c r="T13" i="148"/>
  <c r="S13" i="148"/>
  <c r="D11" i="148"/>
  <c r="B11" i="148"/>
  <c r="C11" i="148" s="1"/>
  <c r="C10" i="148"/>
  <c r="C9" i="148"/>
  <c r="A6" i="148"/>
  <c r="A4" i="148"/>
  <c r="I21" i="147"/>
  <c r="N21" i="147" s="1"/>
  <c r="O21" i="147" s="1"/>
  <c r="P54" i="147"/>
  <c r="I54" i="147"/>
  <c r="J54" i="147" s="1"/>
  <c r="N54" i="147" s="1"/>
  <c r="O54" i="147" s="1"/>
  <c r="P53" i="147"/>
  <c r="I53" i="147"/>
  <c r="J53" i="147" s="1"/>
  <c r="P52" i="147"/>
  <c r="I52" i="147"/>
  <c r="J52" i="147" s="1"/>
  <c r="P51" i="147"/>
  <c r="I51" i="147"/>
  <c r="J51" i="147" s="1"/>
  <c r="P50" i="147"/>
  <c r="I50" i="147"/>
  <c r="J50" i="147" s="1"/>
  <c r="P49" i="147"/>
  <c r="G49" i="147"/>
  <c r="J49" i="147" s="1"/>
  <c r="P48" i="147"/>
  <c r="I48" i="147"/>
  <c r="N48" i="147" s="1"/>
  <c r="O48" i="147" s="1"/>
  <c r="P47" i="147"/>
  <c r="I47" i="147"/>
  <c r="N47" i="147" s="1"/>
  <c r="O47" i="147" s="1"/>
  <c r="P46" i="147"/>
  <c r="I46" i="147"/>
  <c r="J46" i="147" s="1"/>
  <c r="P45" i="147"/>
  <c r="J45" i="147"/>
  <c r="P44" i="147"/>
  <c r="I44" i="147"/>
  <c r="N44" i="147" s="1"/>
  <c r="O44" i="147" s="1"/>
  <c r="P43" i="147"/>
  <c r="I43" i="147"/>
  <c r="J43" i="147" s="1"/>
  <c r="P42" i="147"/>
  <c r="I42" i="147"/>
  <c r="J42" i="147" s="1"/>
  <c r="P41" i="147"/>
  <c r="I41" i="147"/>
  <c r="J41" i="147" s="1"/>
  <c r="N41" i="147" s="1"/>
  <c r="O41" i="147" s="1"/>
  <c r="P40" i="147"/>
  <c r="I40" i="147"/>
  <c r="J40" i="147" s="1"/>
  <c r="P39" i="147"/>
  <c r="H39" i="147"/>
  <c r="J39" i="147" s="1"/>
  <c r="P38" i="147"/>
  <c r="P37" i="147"/>
  <c r="G37" i="147"/>
  <c r="J37" i="147" s="1"/>
  <c r="P36" i="147"/>
  <c r="J36" i="147"/>
  <c r="P35" i="147"/>
  <c r="J35" i="147"/>
  <c r="P34" i="147"/>
  <c r="G34" i="147"/>
  <c r="J34" i="147" s="1"/>
  <c r="P33" i="147"/>
  <c r="I33" i="147"/>
  <c r="J33" i="147" s="1"/>
  <c r="P31" i="147"/>
  <c r="I31" i="147"/>
  <c r="J31" i="147" s="1"/>
  <c r="P30" i="147"/>
  <c r="I30" i="147"/>
  <c r="J30" i="147" s="1"/>
  <c r="P29" i="147"/>
  <c r="I29" i="147"/>
  <c r="J29" i="147" s="1"/>
  <c r="P28" i="147"/>
  <c r="I28" i="147"/>
  <c r="J28" i="147" s="1"/>
  <c r="P27" i="147"/>
  <c r="I27" i="147"/>
  <c r="J27" i="147" s="1"/>
  <c r="C17" i="147"/>
  <c r="D36" i="147" s="1"/>
  <c r="C16" i="147"/>
  <c r="D35" i="147" s="1"/>
  <c r="C15" i="147"/>
  <c r="AD13" i="147"/>
  <c r="AC13" i="147"/>
  <c r="AB13" i="147"/>
  <c r="AA13" i="147"/>
  <c r="Z13" i="147"/>
  <c r="Y13" i="147"/>
  <c r="X13" i="147"/>
  <c r="W13" i="147"/>
  <c r="V13" i="147"/>
  <c r="U13" i="147"/>
  <c r="T13" i="147"/>
  <c r="S13" i="147"/>
  <c r="D11" i="147"/>
  <c r="B11" i="147"/>
  <c r="C11" i="147" s="1"/>
  <c r="C10" i="147"/>
  <c r="C9" i="147"/>
  <c r="A6" i="147"/>
  <c r="A4" i="147"/>
  <c r="I22" i="146"/>
  <c r="J22" i="146" s="1"/>
  <c r="I21" i="146"/>
  <c r="J21" i="146" s="1"/>
  <c r="P54" i="146"/>
  <c r="I54" i="146"/>
  <c r="J54" i="146" s="1"/>
  <c r="N54" i="146" s="1"/>
  <c r="O54" i="146" s="1"/>
  <c r="P53" i="146"/>
  <c r="I53" i="146"/>
  <c r="J53" i="146" s="1"/>
  <c r="P52" i="146"/>
  <c r="I52" i="146"/>
  <c r="J52" i="146" s="1"/>
  <c r="N52" i="146" s="1"/>
  <c r="O52" i="146" s="1"/>
  <c r="P51" i="146"/>
  <c r="I51" i="146"/>
  <c r="J51" i="146" s="1"/>
  <c r="P50" i="146"/>
  <c r="G50" i="146"/>
  <c r="J50" i="146" s="1"/>
  <c r="D50" i="146"/>
  <c r="P49" i="146"/>
  <c r="I49" i="146"/>
  <c r="N49" i="146" s="1"/>
  <c r="O49" i="146" s="1"/>
  <c r="P48" i="146"/>
  <c r="I48" i="146"/>
  <c r="N48" i="146" s="1"/>
  <c r="O48" i="146" s="1"/>
  <c r="P47" i="146"/>
  <c r="I47" i="146"/>
  <c r="J47" i="146" s="1"/>
  <c r="P46" i="146"/>
  <c r="J46" i="146"/>
  <c r="P45" i="146"/>
  <c r="I45" i="146"/>
  <c r="N45" i="146" s="1"/>
  <c r="O45" i="146" s="1"/>
  <c r="P44" i="146"/>
  <c r="I44" i="146"/>
  <c r="J44" i="146" s="1"/>
  <c r="P43" i="146"/>
  <c r="I43" i="146"/>
  <c r="J43" i="146" s="1"/>
  <c r="P42" i="146"/>
  <c r="I42" i="146"/>
  <c r="J42" i="146" s="1"/>
  <c r="P40" i="146"/>
  <c r="H40" i="146"/>
  <c r="J40" i="146" s="1"/>
  <c r="P39" i="146"/>
  <c r="P38" i="146"/>
  <c r="G38" i="146"/>
  <c r="J38" i="146" s="1"/>
  <c r="D38" i="146"/>
  <c r="P37" i="146"/>
  <c r="P36" i="146"/>
  <c r="G36" i="146"/>
  <c r="J36" i="146" s="1"/>
  <c r="D36" i="146"/>
  <c r="P35" i="146"/>
  <c r="I35" i="146"/>
  <c r="J35" i="146" s="1"/>
  <c r="P34" i="146"/>
  <c r="I34" i="146"/>
  <c r="J34" i="146" s="1"/>
  <c r="P33" i="146"/>
  <c r="I33" i="146"/>
  <c r="J33" i="146" s="1"/>
  <c r="P32" i="146"/>
  <c r="I32" i="146"/>
  <c r="J32" i="146" s="1"/>
  <c r="P31" i="146"/>
  <c r="I31" i="146"/>
  <c r="J31" i="146" s="1"/>
  <c r="P30" i="146"/>
  <c r="I30" i="146"/>
  <c r="J30" i="146" s="1"/>
  <c r="P29" i="146"/>
  <c r="I29" i="146"/>
  <c r="J29" i="146" s="1"/>
  <c r="P28" i="146"/>
  <c r="I28" i="146"/>
  <c r="J28" i="146" s="1"/>
  <c r="AD17" i="146"/>
  <c r="AC17" i="146"/>
  <c r="AB17" i="146"/>
  <c r="AA17" i="146"/>
  <c r="Z17" i="146"/>
  <c r="Y17" i="146"/>
  <c r="X17" i="146"/>
  <c r="W17" i="146"/>
  <c r="V17" i="146"/>
  <c r="U17" i="146"/>
  <c r="T17" i="146"/>
  <c r="S17" i="146"/>
  <c r="D11" i="146"/>
  <c r="B11" i="146"/>
  <c r="C11" i="146" s="1"/>
  <c r="C10" i="146"/>
  <c r="C9" i="146"/>
  <c r="A6" i="146"/>
  <c r="A4" i="146"/>
  <c r="D53" i="148" l="1"/>
  <c r="N53" i="148" s="1"/>
  <c r="O53" i="148" s="1"/>
  <c r="D34" i="148"/>
  <c r="D22" i="149"/>
  <c r="N22" i="149" s="1"/>
  <c r="O22" i="149" s="1"/>
  <c r="D34" i="149"/>
  <c r="D32" i="149"/>
  <c r="N32" i="149" s="1"/>
  <c r="O32" i="149" s="1"/>
  <c r="D27" i="148"/>
  <c r="N27" i="148" s="1"/>
  <c r="O27" i="148" s="1"/>
  <c r="L35" i="148"/>
  <c r="O35" i="148" s="1"/>
  <c r="L35" i="149"/>
  <c r="O35" i="149" s="1"/>
  <c r="D37" i="149"/>
  <c r="L37" i="149" s="1"/>
  <c r="O37" i="149" s="1"/>
  <c r="J47" i="149"/>
  <c r="L36" i="149"/>
  <c r="O36" i="149" s="1"/>
  <c r="N48" i="149"/>
  <c r="O48" i="149" s="1"/>
  <c r="D37" i="148"/>
  <c r="L37" i="148" s="1"/>
  <c r="O37" i="148" s="1"/>
  <c r="D40" i="148"/>
  <c r="N40" i="148" s="1"/>
  <c r="O40" i="148" s="1"/>
  <c r="D32" i="148"/>
  <c r="N32" i="148" s="1"/>
  <c r="O32" i="148" s="1"/>
  <c r="D37" i="147"/>
  <c r="L37" i="147" s="1"/>
  <c r="O37" i="147" s="1"/>
  <c r="D53" i="147"/>
  <c r="N53" i="147" s="1"/>
  <c r="O53" i="147" s="1"/>
  <c r="D32" i="147"/>
  <c r="N32" i="147" s="1"/>
  <c r="O32" i="147" s="1"/>
  <c r="D40" i="147"/>
  <c r="N40" i="147" s="1"/>
  <c r="O40" i="147" s="1"/>
  <c r="D49" i="147"/>
  <c r="L49" i="147" s="1"/>
  <c r="O49" i="147" s="1"/>
  <c r="D30" i="147"/>
  <c r="N30" i="147" s="1"/>
  <c r="O30" i="147" s="1"/>
  <c r="J48" i="147"/>
  <c r="J44" i="147"/>
  <c r="J47" i="147"/>
  <c r="L50" i="146"/>
  <c r="O50" i="146" s="1"/>
  <c r="L38" i="146"/>
  <c r="O38" i="146" s="1"/>
  <c r="L36" i="146"/>
  <c r="J49" i="146"/>
  <c r="L37" i="146"/>
  <c r="O37" i="146" s="1"/>
  <c r="D28" i="148"/>
  <c r="N28" i="148" s="1"/>
  <c r="O28" i="148" s="1"/>
  <c r="D22" i="147"/>
  <c r="N22" i="147" s="1"/>
  <c r="D22" i="148"/>
  <c r="N22" i="148" s="1"/>
  <c r="O22" i="148" s="1"/>
  <c r="D31" i="148"/>
  <c r="N31" i="148" s="1"/>
  <c r="O31" i="148" s="1"/>
  <c r="D52" i="148"/>
  <c r="N52" i="148" s="1"/>
  <c r="O52" i="148" s="1"/>
  <c r="D28" i="147"/>
  <c r="N28" i="147" s="1"/>
  <c r="O28" i="147" s="1"/>
  <c r="D39" i="148"/>
  <c r="M39" i="148" s="1"/>
  <c r="M56" i="148" s="1"/>
  <c r="M58" i="148" s="1"/>
  <c r="D29" i="148"/>
  <c r="N29" i="148" s="1"/>
  <c r="O29" i="148" s="1"/>
  <c r="D50" i="148"/>
  <c r="N50" i="148" s="1"/>
  <c r="O50" i="148" s="1"/>
  <c r="O21" i="149"/>
  <c r="J21" i="149"/>
  <c r="D28" i="149"/>
  <c r="N28" i="149" s="1"/>
  <c r="O28" i="149" s="1"/>
  <c r="D40" i="149"/>
  <c r="N40" i="149" s="1"/>
  <c r="O40" i="149" s="1"/>
  <c r="J44" i="149"/>
  <c r="D49" i="149"/>
  <c r="L49" i="149" s="1"/>
  <c r="O49" i="149" s="1"/>
  <c r="D53" i="149"/>
  <c r="N53" i="149" s="1"/>
  <c r="O53" i="149" s="1"/>
  <c r="D27" i="149"/>
  <c r="N27" i="149" s="1"/>
  <c r="D31" i="149"/>
  <c r="N31" i="149" s="1"/>
  <c r="O31" i="149" s="1"/>
  <c r="D39" i="149"/>
  <c r="M39" i="149" s="1"/>
  <c r="D52" i="149"/>
  <c r="N52" i="149" s="1"/>
  <c r="O52" i="149" s="1"/>
  <c r="D30" i="149"/>
  <c r="N30" i="149" s="1"/>
  <c r="O30" i="149" s="1"/>
  <c r="D38" i="149"/>
  <c r="D45" i="149"/>
  <c r="O45" i="149" s="1"/>
  <c r="D51" i="149"/>
  <c r="N51" i="149" s="1"/>
  <c r="O51" i="149" s="1"/>
  <c r="D29" i="149"/>
  <c r="N29" i="149" s="1"/>
  <c r="O29" i="149" s="1"/>
  <c r="D50" i="149"/>
  <c r="N50" i="149" s="1"/>
  <c r="O50" i="149" s="1"/>
  <c r="N21" i="148"/>
  <c r="O21" i="148" s="1"/>
  <c r="D49" i="148"/>
  <c r="L49" i="148" s="1"/>
  <c r="O49" i="148" s="1"/>
  <c r="L36" i="148"/>
  <c r="O36" i="148" s="1"/>
  <c r="N44" i="148"/>
  <c r="O44" i="148" s="1"/>
  <c r="J44" i="148"/>
  <c r="J47" i="148"/>
  <c r="D30" i="148"/>
  <c r="N30" i="148" s="1"/>
  <c r="O30" i="148" s="1"/>
  <c r="D38" i="148"/>
  <c r="D45" i="148"/>
  <c r="O45" i="148" s="1"/>
  <c r="J48" i="148"/>
  <c r="D51" i="148"/>
  <c r="N51" i="148" s="1"/>
  <c r="O51" i="148" s="1"/>
  <c r="J21" i="147"/>
  <c r="L36" i="147"/>
  <c r="O36" i="147" s="1"/>
  <c r="D27" i="147"/>
  <c r="N27" i="147" s="1"/>
  <c r="D31" i="147"/>
  <c r="N31" i="147" s="1"/>
  <c r="O31" i="147" s="1"/>
  <c r="L35" i="147"/>
  <c r="O35" i="147" s="1"/>
  <c r="D39" i="147"/>
  <c r="M39" i="147" s="1"/>
  <c r="D52" i="147"/>
  <c r="N52" i="147" s="1"/>
  <c r="O52" i="147" s="1"/>
  <c r="D38" i="147"/>
  <c r="D45" i="147"/>
  <c r="O45" i="147" s="1"/>
  <c r="D51" i="147"/>
  <c r="N51" i="147" s="1"/>
  <c r="O51" i="147" s="1"/>
  <c r="D29" i="147"/>
  <c r="N29" i="147" s="1"/>
  <c r="O29" i="147" s="1"/>
  <c r="D50" i="147"/>
  <c r="N50" i="147" s="1"/>
  <c r="O50" i="147" s="1"/>
  <c r="N21" i="146"/>
  <c r="D46" i="146"/>
  <c r="O46" i="146" s="1"/>
  <c r="D51" i="146"/>
  <c r="N51" i="146" s="1"/>
  <c r="O51" i="146" s="1"/>
  <c r="D40" i="146"/>
  <c r="M40" i="146" s="1"/>
  <c r="J48" i="146"/>
  <c r="D29" i="146"/>
  <c r="N29" i="146" s="1"/>
  <c r="O29" i="146" s="1"/>
  <c r="J45" i="146"/>
  <c r="D31" i="146"/>
  <c r="N31" i="146" s="1"/>
  <c r="O31" i="146" s="1"/>
  <c r="D34" i="146"/>
  <c r="N34" i="146" s="1"/>
  <c r="O34" i="146" s="1"/>
  <c r="D53" i="146"/>
  <c r="N53" i="146" s="1"/>
  <c r="O53" i="146" s="1"/>
  <c r="D28" i="146"/>
  <c r="N28" i="146" s="1"/>
  <c r="D32" i="146"/>
  <c r="N32" i="146" s="1"/>
  <c r="O32" i="146" s="1"/>
  <c r="J37" i="146"/>
  <c r="N42" i="146"/>
  <c r="O42" i="146" s="1"/>
  <c r="D30" i="146"/>
  <c r="N30" i="146" s="1"/>
  <c r="O30" i="146" s="1"/>
  <c r="P54" i="145"/>
  <c r="I54" i="145"/>
  <c r="J54" i="145" s="1"/>
  <c r="N54" i="145" s="1"/>
  <c r="O54" i="145" s="1"/>
  <c r="P53" i="145"/>
  <c r="I53" i="145"/>
  <c r="J53" i="145" s="1"/>
  <c r="P52" i="145"/>
  <c r="I52" i="145"/>
  <c r="J52" i="145" s="1"/>
  <c r="P51" i="145"/>
  <c r="I51" i="145"/>
  <c r="J51" i="145" s="1"/>
  <c r="P50" i="145"/>
  <c r="I50" i="145"/>
  <c r="J50" i="145" s="1"/>
  <c r="P49" i="145"/>
  <c r="J49" i="145"/>
  <c r="P48" i="145"/>
  <c r="I48" i="145"/>
  <c r="N48" i="145" s="1"/>
  <c r="O48" i="145" s="1"/>
  <c r="P47" i="145"/>
  <c r="I47" i="145"/>
  <c r="J47" i="145" s="1"/>
  <c r="P46" i="145"/>
  <c r="I46" i="145"/>
  <c r="J46" i="145" s="1"/>
  <c r="P45" i="145"/>
  <c r="J45" i="145"/>
  <c r="P44" i="145"/>
  <c r="I44" i="145"/>
  <c r="N44" i="145" s="1"/>
  <c r="O44" i="145" s="1"/>
  <c r="P43" i="145"/>
  <c r="I43" i="145"/>
  <c r="J43" i="145" s="1"/>
  <c r="P42" i="145"/>
  <c r="I42" i="145"/>
  <c r="J42" i="145" s="1"/>
  <c r="P41" i="145"/>
  <c r="I41" i="145"/>
  <c r="J41" i="145" s="1"/>
  <c r="N41" i="145" s="1"/>
  <c r="O41" i="145" s="1"/>
  <c r="P40" i="145"/>
  <c r="I40" i="145"/>
  <c r="J40" i="145" s="1"/>
  <c r="P39" i="145"/>
  <c r="H39" i="145"/>
  <c r="J39" i="145" s="1"/>
  <c r="P38" i="145"/>
  <c r="P37" i="145"/>
  <c r="J37" i="145"/>
  <c r="P36" i="145"/>
  <c r="J36" i="145"/>
  <c r="P35" i="145"/>
  <c r="J35" i="145"/>
  <c r="P34" i="145"/>
  <c r="J34" i="145"/>
  <c r="P33" i="145"/>
  <c r="I33" i="145"/>
  <c r="J33" i="145" s="1"/>
  <c r="P32" i="145"/>
  <c r="I32" i="145"/>
  <c r="J32" i="145" s="1"/>
  <c r="P31" i="145"/>
  <c r="I31" i="145"/>
  <c r="J31" i="145" s="1"/>
  <c r="P30" i="145"/>
  <c r="I30" i="145"/>
  <c r="J30" i="145" s="1"/>
  <c r="P29" i="145"/>
  <c r="I29" i="145"/>
  <c r="J29" i="145" s="1"/>
  <c r="P28" i="145"/>
  <c r="I28" i="145"/>
  <c r="J28" i="145" s="1"/>
  <c r="P27" i="145"/>
  <c r="I27" i="145"/>
  <c r="J27" i="145" s="1"/>
  <c r="J22" i="145"/>
  <c r="N21" i="145"/>
  <c r="O21" i="145" s="1"/>
  <c r="J21" i="145"/>
  <c r="C17" i="145"/>
  <c r="D36" i="145" s="1"/>
  <c r="O36" i="145" s="1"/>
  <c r="C16" i="145"/>
  <c r="C15" i="145"/>
  <c r="D28" i="145" s="1"/>
  <c r="AD13" i="145"/>
  <c r="AC13" i="145"/>
  <c r="AB13" i="145"/>
  <c r="AA13" i="145"/>
  <c r="Z13" i="145"/>
  <c r="Y13" i="145"/>
  <c r="X13" i="145"/>
  <c r="W13" i="145"/>
  <c r="V13" i="145"/>
  <c r="U13" i="145"/>
  <c r="T13" i="145"/>
  <c r="S13" i="145"/>
  <c r="D11" i="145"/>
  <c r="B11" i="145"/>
  <c r="C11" i="145" s="1"/>
  <c r="C10" i="145"/>
  <c r="C9" i="145"/>
  <c r="A6" i="145"/>
  <c r="A4" i="145"/>
  <c r="P54" i="144"/>
  <c r="I54" i="144"/>
  <c r="J54" i="144" s="1"/>
  <c r="N54" i="144" s="1"/>
  <c r="O54" i="144" s="1"/>
  <c r="P53" i="144"/>
  <c r="I53" i="144"/>
  <c r="J53" i="144" s="1"/>
  <c r="P52" i="144"/>
  <c r="I52" i="144"/>
  <c r="J52" i="144" s="1"/>
  <c r="P51" i="144"/>
  <c r="I51" i="144"/>
  <c r="J51" i="144" s="1"/>
  <c r="P50" i="144"/>
  <c r="I50" i="144"/>
  <c r="J50" i="144" s="1"/>
  <c r="P49" i="144"/>
  <c r="G49" i="144"/>
  <c r="J49" i="144" s="1"/>
  <c r="P48" i="144"/>
  <c r="I48" i="144"/>
  <c r="N48" i="144" s="1"/>
  <c r="O48" i="144" s="1"/>
  <c r="P47" i="144"/>
  <c r="I47" i="144"/>
  <c r="J47" i="144" s="1"/>
  <c r="P46" i="144"/>
  <c r="I46" i="144"/>
  <c r="J46" i="144" s="1"/>
  <c r="P45" i="144"/>
  <c r="J45" i="144"/>
  <c r="P44" i="144"/>
  <c r="I44" i="144"/>
  <c r="N44" i="144" s="1"/>
  <c r="O44" i="144" s="1"/>
  <c r="P43" i="144"/>
  <c r="I43" i="144"/>
  <c r="J43" i="144" s="1"/>
  <c r="P42" i="144"/>
  <c r="I42" i="144"/>
  <c r="J42" i="144" s="1"/>
  <c r="P41" i="144"/>
  <c r="I41" i="144"/>
  <c r="J41" i="144" s="1"/>
  <c r="N41" i="144" s="1"/>
  <c r="O41" i="144" s="1"/>
  <c r="P40" i="144"/>
  <c r="I40" i="144"/>
  <c r="J40" i="144" s="1"/>
  <c r="P39" i="144"/>
  <c r="H39" i="144"/>
  <c r="J39" i="144" s="1"/>
  <c r="P38" i="144"/>
  <c r="P37" i="144"/>
  <c r="G37" i="144"/>
  <c r="J37" i="144" s="1"/>
  <c r="P36" i="144"/>
  <c r="G36" i="144"/>
  <c r="J36" i="144" s="1"/>
  <c r="P35" i="144"/>
  <c r="G35" i="144"/>
  <c r="J35" i="144" s="1"/>
  <c r="P34" i="144"/>
  <c r="G34" i="144"/>
  <c r="J34" i="144" s="1"/>
  <c r="P33" i="144"/>
  <c r="I33" i="144"/>
  <c r="J33" i="144" s="1"/>
  <c r="P32" i="144"/>
  <c r="I32" i="144"/>
  <c r="J32" i="144" s="1"/>
  <c r="P31" i="144"/>
  <c r="I31" i="144"/>
  <c r="J31" i="144" s="1"/>
  <c r="P30" i="144"/>
  <c r="I30" i="144"/>
  <c r="J30" i="144" s="1"/>
  <c r="P29" i="144"/>
  <c r="I29" i="144"/>
  <c r="J29" i="144" s="1"/>
  <c r="P28" i="144"/>
  <c r="I28" i="144"/>
  <c r="J28" i="144" s="1"/>
  <c r="P27" i="144"/>
  <c r="I27" i="144"/>
  <c r="J27" i="144" s="1"/>
  <c r="J22" i="144"/>
  <c r="N21" i="144"/>
  <c r="O21" i="144" s="1"/>
  <c r="J21" i="144"/>
  <c r="C17" i="144"/>
  <c r="C16" i="144"/>
  <c r="D35" i="144" s="1"/>
  <c r="C15" i="144"/>
  <c r="D52" i="144" s="1"/>
  <c r="AD13" i="144"/>
  <c r="AC13" i="144"/>
  <c r="AB13" i="144"/>
  <c r="AA13" i="144"/>
  <c r="Z13" i="144"/>
  <c r="Y13" i="144"/>
  <c r="X13" i="144"/>
  <c r="W13" i="144"/>
  <c r="V13" i="144"/>
  <c r="U13" i="144"/>
  <c r="T13" i="144"/>
  <c r="S13" i="144"/>
  <c r="D11" i="144"/>
  <c r="B11" i="144"/>
  <c r="C11" i="144" s="1"/>
  <c r="C10" i="144"/>
  <c r="C9" i="144"/>
  <c r="A6" i="144"/>
  <c r="A4" i="144"/>
  <c r="G39" i="130"/>
  <c r="P21" i="133"/>
  <c r="P20" i="132"/>
  <c r="P19" i="132"/>
  <c r="P33" i="119"/>
  <c r="P32" i="119"/>
  <c r="J48" i="145" l="1"/>
  <c r="J48" i="144"/>
  <c r="N52" i="144"/>
  <c r="O52" i="144" s="1"/>
  <c r="N28" i="145"/>
  <c r="O28" i="145" s="1"/>
  <c r="N47" i="144"/>
  <c r="O47" i="144" s="1"/>
  <c r="N47" i="145"/>
  <c r="O47" i="145" s="1"/>
  <c r="O21" i="146"/>
  <c r="L56" i="146"/>
  <c r="L58" i="146" s="1"/>
  <c r="O66" i="146" s="1"/>
  <c r="O36" i="146"/>
  <c r="N23" i="148"/>
  <c r="D43" i="148" s="1"/>
  <c r="N43" i="148" s="1"/>
  <c r="O43" i="148" s="1"/>
  <c r="N22" i="146"/>
  <c r="O22" i="146" s="1"/>
  <c r="O39" i="148"/>
  <c r="N23" i="149"/>
  <c r="D33" i="149" s="1"/>
  <c r="N33" i="149" s="1"/>
  <c r="O33" i="149" s="1"/>
  <c r="O23" i="149"/>
  <c r="O39" i="149"/>
  <c r="M56" i="149"/>
  <c r="M58" i="149" s="1"/>
  <c r="O27" i="149"/>
  <c r="O23" i="148"/>
  <c r="O39" i="147"/>
  <c r="M56" i="147"/>
  <c r="M58" i="147" s="1"/>
  <c r="N23" i="147"/>
  <c r="D42" i="147" s="1"/>
  <c r="O22" i="147"/>
  <c r="O23" i="147" s="1"/>
  <c r="O27" i="147"/>
  <c r="O28" i="146"/>
  <c r="M56" i="146"/>
  <c r="M58" i="146" s="1"/>
  <c r="O40" i="146"/>
  <c r="D28" i="144"/>
  <c r="N28" i="144" s="1"/>
  <c r="O28" i="144" s="1"/>
  <c r="D31" i="144"/>
  <c r="N31" i="144" s="1"/>
  <c r="O31" i="144" s="1"/>
  <c r="D37" i="145"/>
  <c r="O37" i="145" s="1"/>
  <c r="D37" i="144"/>
  <c r="L37" i="144" s="1"/>
  <c r="O37" i="144" s="1"/>
  <c r="D39" i="144"/>
  <c r="M39" i="144" s="1"/>
  <c r="O39" i="144" s="1"/>
  <c r="D53" i="144"/>
  <c r="N53" i="144" s="1"/>
  <c r="O53" i="144" s="1"/>
  <c r="D40" i="144"/>
  <c r="N40" i="144" s="1"/>
  <c r="O40" i="144" s="1"/>
  <c r="D27" i="144"/>
  <c r="N27" i="144" s="1"/>
  <c r="O27" i="144" s="1"/>
  <c r="D32" i="144"/>
  <c r="N32" i="144" s="1"/>
  <c r="O32" i="144" s="1"/>
  <c r="D32" i="145"/>
  <c r="N32" i="145" s="1"/>
  <c r="O32" i="145" s="1"/>
  <c r="D49" i="145"/>
  <c r="O49" i="145" s="1"/>
  <c r="D34" i="144"/>
  <c r="L34" i="144" s="1"/>
  <c r="O34" i="144" s="1"/>
  <c r="D40" i="145"/>
  <c r="N40" i="145" s="1"/>
  <c r="O40" i="145" s="1"/>
  <c r="D53" i="145"/>
  <c r="N53" i="145" s="1"/>
  <c r="O53" i="145" s="1"/>
  <c r="L35" i="144"/>
  <c r="O35" i="144" s="1"/>
  <c r="J44" i="145"/>
  <c r="J44" i="144"/>
  <c r="D27" i="145"/>
  <c r="N27" i="145" s="1"/>
  <c r="D31" i="145"/>
  <c r="N31" i="145" s="1"/>
  <c r="O31" i="145" s="1"/>
  <c r="D35" i="145"/>
  <c r="O35" i="145" s="1"/>
  <c r="D39" i="145"/>
  <c r="M39" i="145" s="1"/>
  <c r="D52" i="145"/>
  <c r="N52" i="145" s="1"/>
  <c r="O52" i="145" s="1"/>
  <c r="D22" i="145"/>
  <c r="N22" i="145" s="1"/>
  <c r="D30" i="145"/>
  <c r="N30" i="145" s="1"/>
  <c r="O30" i="145" s="1"/>
  <c r="D34" i="145"/>
  <c r="D38" i="145"/>
  <c r="D45" i="145"/>
  <c r="O45" i="145" s="1"/>
  <c r="D51" i="145"/>
  <c r="N51" i="145" s="1"/>
  <c r="O51" i="145" s="1"/>
  <c r="D29" i="145"/>
  <c r="N29" i="145" s="1"/>
  <c r="O29" i="145" s="1"/>
  <c r="D50" i="145"/>
  <c r="N50" i="145" s="1"/>
  <c r="O50" i="145" s="1"/>
  <c r="D49" i="144"/>
  <c r="L49" i="144" s="1"/>
  <c r="O49" i="144" s="1"/>
  <c r="D36" i="144"/>
  <c r="L36" i="144" s="1"/>
  <c r="O36" i="144" s="1"/>
  <c r="D22" i="144"/>
  <c r="N22" i="144" s="1"/>
  <c r="D30" i="144"/>
  <c r="N30" i="144" s="1"/>
  <c r="O30" i="144" s="1"/>
  <c r="D38" i="144"/>
  <c r="D45" i="144"/>
  <c r="O45" i="144" s="1"/>
  <c r="D51" i="144"/>
  <c r="N51" i="144" s="1"/>
  <c r="O51" i="144" s="1"/>
  <c r="D29" i="144"/>
  <c r="N29" i="144" s="1"/>
  <c r="O29" i="144" s="1"/>
  <c r="D50" i="144"/>
  <c r="N50" i="144" s="1"/>
  <c r="O50" i="144" s="1"/>
  <c r="J39" i="130"/>
  <c r="O24" i="146" l="1"/>
  <c r="N24" i="146"/>
  <c r="D44" i="146" s="1"/>
  <c r="N44" i="146" s="1"/>
  <c r="O44" i="146" s="1"/>
  <c r="D33" i="148"/>
  <c r="N33" i="148" s="1"/>
  <c r="O33" i="148" s="1"/>
  <c r="D46" i="148"/>
  <c r="N46" i="148" s="1"/>
  <c r="O46" i="148" s="1"/>
  <c r="D42" i="148"/>
  <c r="N42" i="148" s="1"/>
  <c r="O42" i="148" s="1"/>
  <c r="D46" i="149"/>
  <c r="N46" i="149" s="1"/>
  <c r="O46" i="149" s="1"/>
  <c r="D43" i="149"/>
  <c r="N43" i="149" s="1"/>
  <c r="O43" i="149" s="1"/>
  <c r="D42" i="149"/>
  <c r="N42" i="149" s="1"/>
  <c r="O42" i="149" s="1"/>
  <c r="D33" i="147"/>
  <c r="N33" i="147" s="1"/>
  <c r="N42" i="147"/>
  <c r="O42" i="147" s="1"/>
  <c r="D46" i="147"/>
  <c r="N46" i="147" s="1"/>
  <c r="O46" i="147" s="1"/>
  <c r="D43" i="147"/>
  <c r="N43" i="147" s="1"/>
  <c r="O43" i="147" s="1"/>
  <c r="M56" i="144"/>
  <c r="M58" i="144" s="1"/>
  <c r="O22" i="145"/>
  <c r="O23" i="145" s="1"/>
  <c r="N23" i="145"/>
  <c r="O39" i="145"/>
  <c r="M56" i="145"/>
  <c r="M58" i="145" s="1"/>
  <c r="O34" i="145"/>
  <c r="L56" i="145"/>
  <c r="L58" i="145" s="1"/>
  <c r="O66" i="145" s="1"/>
  <c r="O27" i="145"/>
  <c r="N23" i="144"/>
  <c r="O22" i="144"/>
  <c r="O23" i="144" s="1"/>
  <c r="L56" i="144"/>
  <c r="L58" i="144" s="1"/>
  <c r="O66" i="144" s="1"/>
  <c r="D55" i="130"/>
  <c r="D33" i="146" l="1"/>
  <c r="N33" i="146" s="1"/>
  <c r="O33" i="146" s="1"/>
  <c r="D47" i="146"/>
  <c r="N47" i="146" s="1"/>
  <c r="O47" i="146" s="1"/>
  <c r="D35" i="146"/>
  <c r="D43" i="146"/>
  <c r="N43" i="146" s="1"/>
  <c r="O43" i="146" s="1"/>
  <c r="O33" i="147"/>
  <c r="D33" i="145"/>
  <c r="N33" i="145" s="1"/>
  <c r="D42" i="145"/>
  <c r="N42" i="145" s="1"/>
  <c r="O42" i="145" s="1"/>
  <c r="D46" i="145"/>
  <c r="N46" i="145" s="1"/>
  <c r="O46" i="145" s="1"/>
  <c r="D43" i="145"/>
  <c r="N43" i="145" s="1"/>
  <c r="O43" i="145" s="1"/>
  <c r="D33" i="144"/>
  <c r="N33" i="144" s="1"/>
  <c r="D46" i="144"/>
  <c r="N46" i="144" s="1"/>
  <c r="O46" i="144" s="1"/>
  <c r="D42" i="144"/>
  <c r="N42" i="144" s="1"/>
  <c r="O42" i="144" s="1"/>
  <c r="D43" i="144"/>
  <c r="N43" i="144" s="1"/>
  <c r="O43" i="144" s="1"/>
  <c r="D56" i="129"/>
  <c r="D56" i="40"/>
  <c r="N35" i="146" l="1"/>
  <c r="O35" i="146" s="1"/>
  <c r="O33" i="145"/>
  <c r="O33" i="144"/>
  <c r="G40" i="129"/>
  <c r="G40" i="40"/>
  <c r="G35" i="139"/>
  <c r="G35" i="138"/>
  <c r="G31" i="119"/>
  <c r="G34" i="128"/>
  <c r="G34" i="37"/>
  <c r="G33" i="126"/>
  <c r="G39" i="127"/>
  <c r="D41" i="130" l="1"/>
  <c r="D40" i="130"/>
  <c r="D39" i="130"/>
  <c r="L39" i="130" s="1"/>
  <c r="D42" i="129"/>
  <c r="D41" i="129"/>
  <c r="D40" i="129"/>
  <c r="D42" i="40"/>
  <c r="D41" i="40"/>
  <c r="D40" i="40"/>
  <c r="D49" i="139"/>
  <c r="D38" i="139"/>
  <c r="D37" i="139"/>
  <c r="D36" i="139"/>
  <c r="D35" i="139"/>
  <c r="D49" i="138"/>
  <c r="D37" i="138"/>
  <c r="D36" i="138"/>
  <c r="D35" i="138"/>
  <c r="C17" i="128"/>
  <c r="C16" i="128"/>
  <c r="D48" i="37"/>
  <c r="D36" i="37"/>
  <c r="D35" i="37"/>
  <c r="D34" i="37"/>
  <c r="D54" i="140"/>
  <c r="D42" i="140"/>
  <c r="D41" i="140"/>
  <c r="D40" i="140"/>
  <c r="D48" i="126"/>
  <c r="D36" i="126"/>
  <c r="D35" i="126"/>
  <c r="D34" i="126"/>
  <c r="D33" i="126"/>
  <c r="C15" i="126"/>
  <c r="D39" i="126" s="1"/>
  <c r="N39" i="126" s="1"/>
  <c r="D54" i="127"/>
  <c r="D42" i="127"/>
  <c r="D39" i="127"/>
  <c r="D47" i="119"/>
  <c r="D34" i="119"/>
  <c r="D33" i="119"/>
  <c r="D32" i="119"/>
  <c r="D31" i="119"/>
  <c r="D19" i="127"/>
  <c r="D41" i="127" s="1"/>
  <c r="D18" i="127"/>
  <c r="D40" i="127" s="1"/>
  <c r="D20" i="126" l="1"/>
  <c r="O39" i="126"/>
  <c r="L34" i="147"/>
  <c r="L34" i="149"/>
  <c r="L34" i="148"/>
  <c r="D37" i="128"/>
  <c r="D49" i="128"/>
  <c r="D34" i="128"/>
  <c r="O34" i="147" l="1"/>
  <c r="L56" i="147"/>
  <c r="L58" i="147" s="1"/>
  <c r="O66" i="147" s="1"/>
  <c r="O34" i="148"/>
  <c r="L56" i="148"/>
  <c r="L58" i="148" s="1"/>
  <c r="O66" i="148" s="1"/>
  <c r="O34" i="149"/>
  <c r="L56" i="149"/>
  <c r="L58" i="149" s="1"/>
  <c r="O66" i="149" s="1"/>
  <c r="D47" i="100"/>
  <c r="D35" i="100"/>
  <c r="D34" i="100"/>
  <c r="D33" i="100"/>
  <c r="G34" i="100"/>
  <c r="G33" i="100"/>
  <c r="D53" i="34" l="1"/>
  <c r="D41" i="34"/>
  <c r="D40" i="34"/>
  <c r="D39" i="34"/>
  <c r="G33" i="119" l="1"/>
  <c r="G32" i="119"/>
  <c r="D68" i="142" l="1"/>
  <c r="P55" i="142"/>
  <c r="I55" i="142"/>
  <c r="J55" i="142" s="1"/>
  <c r="N55" i="142" s="1"/>
  <c r="O55" i="142" s="1"/>
  <c r="P54" i="142"/>
  <c r="I54" i="142"/>
  <c r="J54" i="142" s="1"/>
  <c r="P53" i="142"/>
  <c r="I53" i="142"/>
  <c r="J53" i="142" s="1"/>
  <c r="P52" i="142"/>
  <c r="I52" i="142"/>
  <c r="J52" i="142" s="1"/>
  <c r="P51" i="142"/>
  <c r="I51" i="142"/>
  <c r="J51" i="142" s="1"/>
  <c r="P50" i="142"/>
  <c r="I50" i="142"/>
  <c r="N50" i="142" s="1"/>
  <c r="O50" i="142" s="1"/>
  <c r="P49" i="142"/>
  <c r="I49" i="142"/>
  <c r="N49" i="142" s="1"/>
  <c r="O49" i="142" s="1"/>
  <c r="P48" i="142"/>
  <c r="I48" i="142"/>
  <c r="J48" i="142" s="1"/>
  <c r="P47" i="142"/>
  <c r="I47" i="142"/>
  <c r="N47" i="142" s="1"/>
  <c r="O47" i="142" s="1"/>
  <c r="P46" i="142"/>
  <c r="I46" i="142"/>
  <c r="J46" i="142" s="1"/>
  <c r="P45" i="142"/>
  <c r="I45" i="142"/>
  <c r="J45" i="142" s="1"/>
  <c r="P44" i="142"/>
  <c r="I44" i="142"/>
  <c r="J44" i="142" s="1"/>
  <c r="P43" i="142"/>
  <c r="I43" i="142"/>
  <c r="J43" i="142" s="1"/>
  <c r="P42" i="142"/>
  <c r="H42" i="142"/>
  <c r="J42" i="142" s="1"/>
  <c r="P41" i="142"/>
  <c r="H41" i="142"/>
  <c r="J41" i="142" s="1"/>
  <c r="P40" i="142"/>
  <c r="P39" i="142"/>
  <c r="I39" i="142"/>
  <c r="J39" i="142" s="1"/>
  <c r="P38" i="142"/>
  <c r="I38" i="142"/>
  <c r="J38" i="142" s="1"/>
  <c r="P37" i="142"/>
  <c r="I37" i="142"/>
  <c r="J37" i="142" s="1"/>
  <c r="P36" i="142"/>
  <c r="I36" i="142"/>
  <c r="J36" i="142" s="1"/>
  <c r="P35" i="142"/>
  <c r="I35" i="142"/>
  <c r="J35" i="142" s="1"/>
  <c r="P34" i="142"/>
  <c r="I34" i="142"/>
  <c r="J34" i="142" s="1"/>
  <c r="J29" i="142"/>
  <c r="J28" i="142"/>
  <c r="N26" i="142"/>
  <c r="O26" i="142" s="1"/>
  <c r="J26" i="142"/>
  <c r="C17" i="142"/>
  <c r="C16" i="142"/>
  <c r="D43" i="142" s="1"/>
  <c r="N43" i="142" s="1"/>
  <c r="O43" i="142" s="1"/>
  <c r="C15" i="142"/>
  <c r="C14" i="142"/>
  <c r="AD12" i="142"/>
  <c r="AC12" i="142"/>
  <c r="AB12" i="142"/>
  <c r="AA12" i="142"/>
  <c r="Z12" i="142"/>
  <c r="Y12" i="142"/>
  <c r="X12" i="142"/>
  <c r="W12" i="142"/>
  <c r="V12" i="142"/>
  <c r="U12" i="142"/>
  <c r="T12" i="142"/>
  <c r="S12" i="142"/>
  <c r="D10" i="142"/>
  <c r="B10" i="142"/>
  <c r="C10" i="142" s="1"/>
  <c r="C9" i="142"/>
  <c r="C8" i="142"/>
  <c r="A6" i="142"/>
  <c r="A4" i="142"/>
  <c r="D68" i="141"/>
  <c r="P55" i="141"/>
  <c r="I55" i="141"/>
  <c r="J55" i="141" s="1"/>
  <c r="N55" i="141" s="1"/>
  <c r="O55" i="141" s="1"/>
  <c r="P54" i="141"/>
  <c r="I54" i="141"/>
  <c r="J54" i="141" s="1"/>
  <c r="P53" i="141"/>
  <c r="I53" i="141"/>
  <c r="J53" i="141" s="1"/>
  <c r="P52" i="141"/>
  <c r="I52" i="141"/>
  <c r="J52" i="141" s="1"/>
  <c r="P51" i="141"/>
  <c r="I51" i="141"/>
  <c r="J51" i="141" s="1"/>
  <c r="P50" i="141"/>
  <c r="I50" i="141"/>
  <c r="N50" i="141" s="1"/>
  <c r="O50" i="141" s="1"/>
  <c r="P49" i="141"/>
  <c r="I49" i="141"/>
  <c r="N49" i="141" s="1"/>
  <c r="O49" i="141" s="1"/>
  <c r="P48" i="141"/>
  <c r="I48" i="141"/>
  <c r="J48" i="141" s="1"/>
  <c r="P47" i="141"/>
  <c r="I47" i="141"/>
  <c r="N47" i="141" s="1"/>
  <c r="O47" i="141" s="1"/>
  <c r="P46" i="141"/>
  <c r="I46" i="141"/>
  <c r="J46" i="141" s="1"/>
  <c r="P45" i="141"/>
  <c r="I45" i="141"/>
  <c r="J45" i="141" s="1"/>
  <c r="P44" i="141"/>
  <c r="I44" i="141"/>
  <c r="J44" i="141" s="1"/>
  <c r="P43" i="141"/>
  <c r="I43" i="141"/>
  <c r="J43" i="141" s="1"/>
  <c r="P42" i="141"/>
  <c r="H42" i="141"/>
  <c r="J42" i="141" s="1"/>
  <c r="P41" i="141"/>
  <c r="H41" i="141"/>
  <c r="J41" i="141" s="1"/>
  <c r="P40" i="141"/>
  <c r="P39" i="141"/>
  <c r="I39" i="141"/>
  <c r="J39" i="141" s="1"/>
  <c r="P38" i="141"/>
  <c r="I38" i="141"/>
  <c r="J38" i="141" s="1"/>
  <c r="P37" i="141"/>
  <c r="I37" i="141"/>
  <c r="J37" i="141" s="1"/>
  <c r="P36" i="141"/>
  <c r="I36" i="141"/>
  <c r="J36" i="141" s="1"/>
  <c r="P35" i="141"/>
  <c r="I35" i="141"/>
  <c r="J35" i="141" s="1"/>
  <c r="P34" i="141"/>
  <c r="I34" i="141"/>
  <c r="J34" i="141" s="1"/>
  <c r="J29" i="141"/>
  <c r="J28" i="141"/>
  <c r="N26" i="141"/>
  <c r="O26" i="141" s="1"/>
  <c r="J26" i="141"/>
  <c r="C17" i="141"/>
  <c r="C16" i="141"/>
  <c r="D43" i="141" s="1"/>
  <c r="N43" i="141" s="1"/>
  <c r="O43" i="141" s="1"/>
  <c r="C15" i="141"/>
  <c r="C14" i="141"/>
  <c r="AD12" i="141"/>
  <c r="AC12" i="141"/>
  <c r="AB12" i="141"/>
  <c r="AA12" i="141"/>
  <c r="Z12" i="141"/>
  <c r="Y12" i="141"/>
  <c r="X12" i="141"/>
  <c r="W12" i="141"/>
  <c r="V12" i="141"/>
  <c r="U12" i="141"/>
  <c r="T12" i="141"/>
  <c r="S12" i="141"/>
  <c r="D10" i="141"/>
  <c r="B10" i="141"/>
  <c r="C10" i="141" s="1"/>
  <c r="C9" i="141"/>
  <c r="C8" i="141"/>
  <c r="A6" i="141"/>
  <c r="A4" i="141"/>
  <c r="C17" i="129"/>
  <c r="C17" i="40"/>
  <c r="J47" i="142" l="1"/>
  <c r="I15" i="142"/>
  <c r="J49" i="142"/>
  <c r="J50" i="142"/>
  <c r="D52" i="142"/>
  <c r="N52" i="142" s="1"/>
  <c r="O52" i="142" s="1"/>
  <c r="D37" i="142"/>
  <c r="N37" i="142" s="1"/>
  <c r="O37" i="142" s="1"/>
  <c r="D51" i="142"/>
  <c r="N51" i="142" s="1"/>
  <c r="O51" i="142" s="1"/>
  <c r="D53" i="142"/>
  <c r="N53" i="142" s="1"/>
  <c r="O53" i="142" s="1"/>
  <c r="D40" i="142"/>
  <c r="D34" i="142"/>
  <c r="D35" i="142" s="1"/>
  <c r="D36" i="142"/>
  <c r="N36" i="142" s="1"/>
  <c r="O36" i="142" s="1"/>
  <c r="D41" i="142"/>
  <c r="M41" i="142" s="1"/>
  <c r="J47" i="141"/>
  <c r="J49" i="141"/>
  <c r="J50" i="141"/>
  <c r="D52" i="141"/>
  <c r="N52" i="141" s="1"/>
  <c r="O52" i="141" s="1"/>
  <c r="I15" i="141"/>
  <c r="D51" i="141"/>
  <c r="N51" i="141" s="1"/>
  <c r="O51" i="141" s="1"/>
  <c r="D53" i="141"/>
  <c r="N53" i="141" s="1"/>
  <c r="O53" i="141" s="1"/>
  <c r="D37" i="141"/>
  <c r="N37" i="141" s="1"/>
  <c r="O37" i="141" s="1"/>
  <c r="D40" i="141"/>
  <c r="D34" i="141"/>
  <c r="D35" i="141" s="1"/>
  <c r="D36" i="141"/>
  <c r="N36" i="141" s="1"/>
  <c r="O36" i="141" s="1"/>
  <c r="D41" i="141"/>
  <c r="M41" i="141" s="1"/>
  <c r="D38" i="142" l="1"/>
  <c r="N38" i="142" s="1"/>
  <c r="O38" i="142" s="1"/>
  <c r="O41" i="142"/>
  <c r="L57" i="142"/>
  <c r="L59" i="142" s="1"/>
  <c r="O66" i="142" s="1"/>
  <c r="N34" i="142"/>
  <c r="N35" i="142"/>
  <c r="O35" i="142" s="1"/>
  <c r="O41" i="141"/>
  <c r="N34" i="141"/>
  <c r="L57" i="141"/>
  <c r="L59" i="141" s="1"/>
  <c r="O66" i="141" s="1"/>
  <c r="D38" i="141"/>
  <c r="N38" i="141" s="1"/>
  <c r="O38" i="141" s="1"/>
  <c r="N35" i="141"/>
  <c r="O35" i="141" s="1"/>
  <c r="J27" i="140"/>
  <c r="D18" i="140"/>
  <c r="D27" i="140" s="1"/>
  <c r="N27" i="140" s="1"/>
  <c r="P58" i="140"/>
  <c r="I58" i="140"/>
  <c r="J58" i="140" s="1"/>
  <c r="N58" i="140" s="1"/>
  <c r="O58" i="140" s="1"/>
  <c r="P57" i="140"/>
  <c r="I57" i="140"/>
  <c r="J57" i="140" s="1"/>
  <c r="P56" i="140"/>
  <c r="I56" i="140"/>
  <c r="J56" i="140" s="1"/>
  <c r="N56" i="140" s="1"/>
  <c r="O56" i="140" s="1"/>
  <c r="P55" i="140"/>
  <c r="I55" i="140"/>
  <c r="J55" i="140" s="1"/>
  <c r="P54" i="140"/>
  <c r="G54" i="140"/>
  <c r="J54" i="140" s="1"/>
  <c r="P53" i="140"/>
  <c r="I53" i="140"/>
  <c r="J53" i="140" s="1"/>
  <c r="P52" i="140"/>
  <c r="I52" i="140"/>
  <c r="J52" i="140" s="1"/>
  <c r="P51" i="140"/>
  <c r="I51" i="140"/>
  <c r="J51" i="140" s="1"/>
  <c r="P50" i="140"/>
  <c r="J50" i="140"/>
  <c r="P49" i="140"/>
  <c r="I49" i="140"/>
  <c r="J49" i="140" s="1"/>
  <c r="P48" i="140"/>
  <c r="I48" i="140"/>
  <c r="J48" i="140" s="1"/>
  <c r="P47" i="140"/>
  <c r="I47" i="140"/>
  <c r="J47" i="140" s="1"/>
  <c r="P46" i="140"/>
  <c r="I46" i="140"/>
  <c r="J46" i="140" s="1"/>
  <c r="P44" i="140"/>
  <c r="H44" i="140"/>
  <c r="J44" i="140" s="1"/>
  <c r="P43" i="140"/>
  <c r="P42" i="140"/>
  <c r="G42" i="140"/>
  <c r="J42" i="140" s="1"/>
  <c r="P41" i="140"/>
  <c r="G41" i="140"/>
  <c r="J41" i="140" s="1"/>
  <c r="P40" i="140"/>
  <c r="G40" i="140"/>
  <c r="J40" i="140" s="1"/>
  <c r="P39" i="140"/>
  <c r="I39" i="140"/>
  <c r="J39" i="140" s="1"/>
  <c r="P38" i="140"/>
  <c r="I38" i="140"/>
  <c r="J38" i="140" s="1"/>
  <c r="P37" i="140"/>
  <c r="I37" i="140"/>
  <c r="J37" i="140" s="1"/>
  <c r="P36" i="140"/>
  <c r="I36" i="140"/>
  <c r="J36" i="140" s="1"/>
  <c r="P35" i="140"/>
  <c r="I35" i="140"/>
  <c r="J35" i="140" s="1"/>
  <c r="P34" i="140"/>
  <c r="I34" i="140"/>
  <c r="J34" i="140" s="1"/>
  <c r="P33" i="140"/>
  <c r="I33" i="140"/>
  <c r="J33" i="140" s="1"/>
  <c r="P32" i="140"/>
  <c r="I32" i="140"/>
  <c r="J32" i="140" s="1"/>
  <c r="J26" i="140"/>
  <c r="N25" i="140"/>
  <c r="O25" i="140" s="1"/>
  <c r="J25" i="140"/>
  <c r="D17" i="140"/>
  <c r="D45" i="140" s="1"/>
  <c r="N45" i="140" s="1"/>
  <c r="D11" i="140"/>
  <c r="B11" i="140"/>
  <c r="C11" i="140" s="1"/>
  <c r="C10" i="140"/>
  <c r="C9" i="140"/>
  <c r="A6" i="140"/>
  <c r="A4" i="140"/>
  <c r="D38" i="140" l="1"/>
  <c r="N38" i="140" s="1"/>
  <c r="O38" i="140" s="1"/>
  <c r="O45" i="140"/>
  <c r="N49" i="140"/>
  <c r="O49" i="140" s="1"/>
  <c r="O34" i="142"/>
  <c r="O34" i="141"/>
  <c r="O27" i="140"/>
  <c r="D34" i="140"/>
  <c r="N34" i="140" s="1"/>
  <c r="O34" i="140" s="1"/>
  <c r="L42" i="140"/>
  <c r="O42" i="140" s="1"/>
  <c r="L54" i="140"/>
  <c r="O54" i="140" s="1"/>
  <c r="D57" i="140"/>
  <c r="N57" i="140" s="1"/>
  <c r="O57" i="140" s="1"/>
  <c r="D32" i="140"/>
  <c r="N32" i="140" s="1"/>
  <c r="O32" i="140" s="1"/>
  <c r="D36" i="140"/>
  <c r="N36" i="140" s="1"/>
  <c r="O36" i="140" s="1"/>
  <c r="L40" i="140"/>
  <c r="O40" i="140" s="1"/>
  <c r="N52" i="140"/>
  <c r="O52" i="140" s="1"/>
  <c r="N53" i="140"/>
  <c r="O53" i="140" s="1"/>
  <c r="D46" i="140"/>
  <c r="N46" i="140" s="1"/>
  <c r="O46" i="140" s="1"/>
  <c r="D50" i="140"/>
  <c r="O50" i="140" s="1"/>
  <c r="O65" i="140"/>
  <c r="D26" i="140"/>
  <c r="N26" i="140" s="1"/>
  <c r="O26" i="140" s="1"/>
  <c r="D33" i="140"/>
  <c r="N33" i="140" s="1"/>
  <c r="O33" i="140" s="1"/>
  <c r="D35" i="140"/>
  <c r="N35" i="140" s="1"/>
  <c r="O35" i="140" s="1"/>
  <c r="L41" i="140"/>
  <c r="O41" i="140" s="1"/>
  <c r="D55" i="140"/>
  <c r="N55" i="140" s="1"/>
  <c r="O55" i="140" s="1"/>
  <c r="D44" i="140"/>
  <c r="M44" i="140" s="1"/>
  <c r="J24" i="139"/>
  <c r="P39" i="139"/>
  <c r="H39" i="139"/>
  <c r="J39" i="139" s="1"/>
  <c r="D67" i="139"/>
  <c r="P54" i="139"/>
  <c r="I54" i="139"/>
  <c r="J54" i="139" s="1"/>
  <c r="N54" i="139" s="1"/>
  <c r="O54" i="139" s="1"/>
  <c r="P53" i="139"/>
  <c r="I53" i="139"/>
  <c r="J53" i="139" s="1"/>
  <c r="P52" i="139"/>
  <c r="I52" i="139"/>
  <c r="J52" i="139" s="1"/>
  <c r="P51" i="139"/>
  <c r="I51" i="139"/>
  <c r="J51" i="139" s="1"/>
  <c r="P50" i="139"/>
  <c r="I50" i="139"/>
  <c r="J50" i="139" s="1"/>
  <c r="P49" i="139"/>
  <c r="G49" i="139"/>
  <c r="J49" i="139" s="1"/>
  <c r="P48" i="139"/>
  <c r="I48" i="139"/>
  <c r="J48" i="139" s="1"/>
  <c r="P47" i="139"/>
  <c r="I47" i="139"/>
  <c r="J47" i="139" s="1"/>
  <c r="P46" i="139"/>
  <c r="I46" i="139"/>
  <c r="J46" i="139" s="1"/>
  <c r="P45" i="139"/>
  <c r="J45" i="139"/>
  <c r="P44" i="139"/>
  <c r="J44" i="139"/>
  <c r="P43" i="139"/>
  <c r="I43" i="139"/>
  <c r="N43" i="139" s="1"/>
  <c r="O43" i="139" s="1"/>
  <c r="P42" i="139"/>
  <c r="I42" i="139"/>
  <c r="J42" i="139" s="1"/>
  <c r="P41" i="139"/>
  <c r="I41" i="139"/>
  <c r="J41" i="139" s="1"/>
  <c r="P40" i="139"/>
  <c r="I40" i="139"/>
  <c r="J40" i="139" s="1"/>
  <c r="P38" i="139"/>
  <c r="P37" i="139"/>
  <c r="G37" i="139"/>
  <c r="J37" i="139" s="1"/>
  <c r="P36" i="139"/>
  <c r="G36" i="139"/>
  <c r="J36" i="139" s="1"/>
  <c r="P35" i="139"/>
  <c r="P34" i="139"/>
  <c r="I34" i="139"/>
  <c r="J34" i="139" s="1"/>
  <c r="P33" i="139"/>
  <c r="I33" i="139"/>
  <c r="J33" i="139" s="1"/>
  <c r="P32" i="139"/>
  <c r="I32" i="139"/>
  <c r="J32" i="139" s="1"/>
  <c r="P31" i="139"/>
  <c r="I31" i="139"/>
  <c r="J31" i="139" s="1"/>
  <c r="P30" i="139"/>
  <c r="I30" i="139"/>
  <c r="J30" i="139" s="1"/>
  <c r="P29" i="139"/>
  <c r="I29" i="139"/>
  <c r="J29" i="139" s="1"/>
  <c r="N23" i="139"/>
  <c r="O23" i="139" s="1"/>
  <c r="J23" i="139"/>
  <c r="C16" i="139"/>
  <c r="D40" i="139" s="1"/>
  <c r="N40" i="139" s="1"/>
  <c r="O40" i="139" s="1"/>
  <c r="C15" i="139"/>
  <c r="C14" i="139"/>
  <c r="AD12" i="139"/>
  <c r="AC12" i="139"/>
  <c r="AB12" i="139"/>
  <c r="AA12" i="139"/>
  <c r="Z12" i="139"/>
  <c r="Y12" i="139"/>
  <c r="X12" i="139"/>
  <c r="W12" i="139"/>
  <c r="V12" i="139"/>
  <c r="U12" i="139"/>
  <c r="T12" i="139"/>
  <c r="S12" i="139"/>
  <c r="D10" i="139"/>
  <c r="B10" i="139"/>
  <c r="J35" i="139" s="1"/>
  <c r="C9" i="139"/>
  <c r="C8" i="139"/>
  <c r="A6" i="139"/>
  <c r="A4" i="139"/>
  <c r="P39" i="138"/>
  <c r="H39" i="138"/>
  <c r="J39" i="138" s="1"/>
  <c r="N23" i="138"/>
  <c r="J24" i="138"/>
  <c r="D67" i="138"/>
  <c r="P54" i="138"/>
  <c r="I54" i="138"/>
  <c r="J54" i="138" s="1"/>
  <c r="N54" i="138" s="1"/>
  <c r="O54" i="138" s="1"/>
  <c r="P53" i="138"/>
  <c r="I53" i="138"/>
  <c r="J53" i="138" s="1"/>
  <c r="P52" i="138"/>
  <c r="I52" i="138"/>
  <c r="J52" i="138" s="1"/>
  <c r="P51" i="138"/>
  <c r="I51" i="138"/>
  <c r="J51" i="138" s="1"/>
  <c r="P50" i="138"/>
  <c r="I50" i="138"/>
  <c r="J50" i="138" s="1"/>
  <c r="P49" i="138"/>
  <c r="G49" i="138"/>
  <c r="J49" i="138" s="1"/>
  <c r="P48" i="138"/>
  <c r="I48" i="138"/>
  <c r="N48" i="138" s="1"/>
  <c r="O48" i="138" s="1"/>
  <c r="P47" i="138"/>
  <c r="I47" i="138"/>
  <c r="J47" i="138" s="1"/>
  <c r="P46" i="138"/>
  <c r="I46" i="138"/>
  <c r="J46" i="138" s="1"/>
  <c r="P45" i="138"/>
  <c r="J45" i="138"/>
  <c r="P44" i="138"/>
  <c r="J44" i="138"/>
  <c r="P43" i="138"/>
  <c r="I43" i="138"/>
  <c r="N43" i="138" s="1"/>
  <c r="O43" i="138" s="1"/>
  <c r="P42" i="138"/>
  <c r="I42" i="138"/>
  <c r="J42" i="138" s="1"/>
  <c r="P41" i="138"/>
  <c r="I41" i="138"/>
  <c r="J41" i="138" s="1"/>
  <c r="P40" i="138"/>
  <c r="I40" i="138"/>
  <c r="J40" i="138" s="1"/>
  <c r="P38" i="138"/>
  <c r="P37" i="138"/>
  <c r="G37" i="138"/>
  <c r="J37" i="138" s="1"/>
  <c r="P36" i="138"/>
  <c r="G36" i="138"/>
  <c r="J36" i="138" s="1"/>
  <c r="P35" i="138"/>
  <c r="P34" i="138"/>
  <c r="I34" i="138"/>
  <c r="J34" i="138" s="1"/>
  <c r="P33" i="138"/>
  <c r="I33" i="138"/>
  <c r="J33" i="138" s="1"/>
  <c r="P32" i="138"/>
  <c r="I32" i="138"/>
  <c r="J32" i="138" s="1"/>
  <c r="P31" i="138"/>
  <c r="I31" i="138"/>
  <c r="J31" i="138" s="1"/>
  <c r="P30" i="138"/>
  <c r="I30" i="138"/>
  <c r="J30" i="138" s="1"/>
  <c r="P29" i="138"/>
  <c r="I29" i="138"/>
  <c r="J29" i="138" s="1"/>
  <c r="O23" i="138"/>
  <c r="J23" i="138"/>
  <c r="C16" i="138"/>
  <c r="D40" i="138" s="1"/>
  <c r="N40" i="138" s="1"/>
  <c r="O40" i="138" s="1"/>
  <c r="C15" i="138"/>
  <c r="C14" i="138"/>
  <c r="AD12" i="138"/>
  <c r="AC12" i="138"/>
  <c r="AB12" i="138"/>
  <c r="AA12" i="138"/>
  <c r="Z12" i="138"/>
  <c r="Y12" i="138"/>
  <c r="X12" i="138"/>
  <c r="W12" i="138"/>
  <c r="V12" i="138"/>
  <c r="U12" i="138"/>
  <c r="T12" i="138"/>
  <c r="S12" i="138"/>
  <c r="D10" i="138"/>
  <c r="B10" i="138"/>
  <c r="C10" i="138" s="1"/>
  <c r="C9" i="138"/>
  <c r="C8" i="138"/>
  <c r="A6" i="138"/>
  <c r="A4" i="138"/>
  <c r="C16" i="136"/>
  <c r="C15" i="133"/>
  <c r="C14" i="132"/>
  <c r="D35" i="132" s="1"/>
  <c r="N35" i="132" s="1"/>
  <c r="O35" i="132" s="1"/>
  <c r="D17" i="131"/>
  <c r="C16" i="130"/>
  <c r="C16" i="129"/>
  <c r="C16" i="40"/>
  <c r="C15" i="119"/>
  <c r="C15" i="128"/>
  <c r="C15" i="37"/>
  <c r="D22" i="37" s="1"/>
  <c r="D17" i="127"/>
  <c r="C14" i="100"/>
  <c r="D17" i="34"/>
  <c r="D44" i="34" s="1"/>
  <c r="N44" i="34" s="1"/>
  <c r="O44" i="34" s="1"/>
  <c r="D38" i="100" l="1"/>
  <c r="D45" i="127"/>
  <c r="D40" i="131"/>
  <c r="D41" i="131"/>
  <c r="N41" i="131" s="1"/>
  <c r="O41" i="131" s="1"/>
  <c r="D25" i="119"/>
  <c r="D20" i="119"/>
  <c r="N20" i="119" s="1"/>
  <c r="O20" i="119" s="1"/>
  <c r="D26" i="127"/>
  <c r="D37" i="127"/>
  <c r="D25" i="126"/>
  <c r="D22" i="128"/>
  <c r="D53" i="128"/>
  <c r="N28" i="140"/>
  <c r="O28" i="140"/>
  <c r="O44" i="140"/>
  <c r="M60" i="140"/>
  <c r="M62" i="140" s="1"/>
  <c r="L60" i="140"/>
  <c r="L62" i="140" s="1"/>
  <c r="O70" i="140" s="1"/>
  <c r="C10" i="139"/>
  <c r="N47" i="139"/>
  <c r="O47" i="139" s="1"/>
  <c r="N48" i="139"/>
  <c r="O48" i="139" s="1"/>
  <c r="D32" i="139"/>
  <c r="N32" i="139" s="1"/>
  <c r="O32" i="139" s="1"/>
  <c r="J43" i="139"/>
  <c r="D50" i="139"/>
  <c r="N50" i="139" s="1"/>
  <c r="O50" i="139" s="1"/>
  <c r="D52" i="139"/>
  <c r="N52" i="139" s="1"/>
  <c r="O52" i="139" s="1"/>
  <c r="L36" i="139"/>
  <c r="O36" i="139" s="1"/>
  <c r="L49" i="139"/>
  <c r="O49" i="139" s="1"/>
  <c r="D51" i="139"/>
  <c r="N51" i="139" s="1"/>
  <c r="O51" i="139" s="1"/>
  <c r="I15" i="139"/>
  <c r="D29" i="139"/>
  <c r="D30" i="139" s="1"/>
  <c r="D31" i="139"/>
  <c r="N31" i="139" s="1"/>
  <c r="O31" i="139" s="1"/>
  <c r="L35" i="139"/>
  <c r="L37" i="139"/>
  <c r="O37" i="139" s="1"/>
  <c r="D39" i="139"/>
  <c r="M39" i="139" s="1"/>
  <c r="N47" i="138"/>
  <c r="O47" i="138" s="1"/>
  <c r="J35" i="138"/>
  <c r="D51" i="138"/>
  <c r="N51" i="138" s="1"/>
  <c r="O51" i="138" s="1"/>
  <c r="J48" i="138"/>
  <c r="J43" i="138"/>
  <c r="L49" i="138"/>
  <c r="O49" i="138" s="1"/>
  <c r="D32" i="138"/>
  <c r="N32" i="138" s="1"/>
  <c r="O32" i="138" s="1"/>
  <c r="L36" i="138"/>
  <c r="O36" i="138" s="1"/>
  <c r="D38" i="138"/>
  <c r="I15" i="138"/>
  <c r="D50" i="138"/>
  <c r="N50" i="138" s="1"/>
  <c r="O50" i="138" s="1"/>
  <c r="D52" i="138"/>
  <c r="N52" i="138" s="1"/>
  <c r="O52" i="138" s="1"/>
  <c r="D29" i="138"/>
  <c r="D30" i="138" s="1"/>
  <c r="D31" i="138"/>
  <c r="N31" i="138" s="1"/>
  <c r="O31" i="138" s="1"/>
  <c r="L37" i="138"/>
  <c r="O37" i="138" s="1"/>
  <c r="D39" i="138"/>
  <c r="M39" i="138" s="1"/>
  <c r="D67" i="136"/>
  <c r="P54" i="136"/>
  <c r="I54" i="136"/>
  <c r="J54" i="136" s="1"/>
  <c r="N54" i="136" s="1"/>
  <c r="O54" i="136" s="1"/>
  <c r="P53" i="136"/>
  <c r="I53" i="136"/>
  <c r="J53" i="136" s="1"/>
  <c r="P52" i="136"/>
  <c r="I52" i="136"/>
  <c r="J52" i="136" s="1"/>
  <c r="P51" i="136"/>
  <c r="I51" i="136"/>
  <c r="J51" i="136" s="1"/>
  <c r="P50" i="136"/>
  <c r="I50" i="136"/>
  <c r="J50" i="136" s="1"/>
  <c r="P49" i="136"/>
  <c r="I49" i="136"/>
  <c r="J49" i="136" s="1"/>
  <c r="P48" i="136"/>
  <c r="I48" i="136"/>
  <c r="J48" i="136" s="1"/>
  <c r="P47" i="136"/>
  <c r="I47" i="136"/>
  <c r="J47" i="136" s="1"/>
  <c r="P46" i="136"/>
  <c r="I46" i="136"/>
  <c r="N46" i="136" s="1"/>
  <c r="O46" i="136" s="1"/>
  <c r="P45" i="136"/>
  <c r="I45" i="136"/>
  <c r="J45" i="136" s="1"/>
  <c r="P44" i="136"/>
  <c r="I44" i="136"/>
  <c r="J44" i="136" s="1"/>
  <c r="I43" i="136"/>
  <c r="J43" i="136" s="1"/>
  <c r="P42" i="136"/>
  <c r="I42" i="136"/>
  <c r="J42" i="136" s="1"/>
  <c r="P41" i="136"/>
  <c r="H41" i="136"/>
  <c r="J41" i="136" s="1"/>
  <c r="P40" i="136"/>
  <c r="H40" i="136"/>
  <c r="J40" i="136" s="1"/>
  <c r="P39" i="136"/>
  <c r="P38" i="136"/>
  <c r="I38" i="136"/>
  <c r="J38" i="136" s="1"/>
  <c r="P37" i="136"/>
  <c r="I37" i="136"/>
  <c r="J37" i="136" s="1"/>
  <c r="P36" i="136"/>
  <c r="I36" i="136"/>
  <c r="J36" i="136" s="1"/>
  <c r="P35" i="136"/>
  <c r="I35" i="136"/>
  <c r="J35" i="136" s="1"/>
  <c r="P34" i="136"/>
  <c r="I34" i="136"/>
  <c r="J34" i="136" s="1"/>
  <c r="P33" i="136"/>
  <c r="I33" i="136"/>
  <c r="J33" i="136" s="1"/>
  <c r="J28" i="136"/>
  <c r="J27" i="136"/>
  <c r="C17" i="136"/>
  <c r="D51" i="136"/>
  <c r="C15" i="136"/>
  <c r="C14" i="136"/>
  <c r="AD12" i="136"/>
  <c r="AC12" i="136"/>
  <c r="AB12" i="136"/>
  <c r="AA12" i="136"/>
  <c r="Z12" i="136"/>
  <c r="Y12" i="136"/>
  <c r="X12" i="136"/>
  <c r="W12" i="136"/>
  <c r="V12" i="136"/>
  <c r="U12" i="136"/>
  <c r="T12" i="136"/>
  <c r="S12" i="136"/>
  <c r="D10" i="136"/>
  <c r="B10" i="136"/>
  <c r="C10" i="136" s="1"/>
  <c r="C9" i="136"/>
  <c r="C8" i="136"/>
  <c r="A6" i="136"/>
  <c r="A4" i="136"/>
  <c r="L51" i="133"/>
  <c r="P49" i="133"/>
  <c r="I49" i="133"/>
  <c r="J49" i="133" s="1"/>
  <c r="N49" i="133" s="1"/>
  <c r="O49" i="133" s="1"/>
  <c r="P48" i="133"/>
  <c r="I48" i="133"/>
  <c r="J48" i="133" s="1"/>
  <c r="P47" i="133"/>
  <c r="I47" i="133"/>
  <c r="J47" i="133" s="1"/>
  <c r="P46" i="133"/>
  <c r="I46" i="133"/>
  <c r="J46" i="133" s="1"/>
  <c r="P45" i="133"/>
  <c r="I45" i="133"/>
  <c r="J45" i="133" s="1"/>
  <c r="P44" i="133"/>
  <c r="I44" i="133"/>
  <c r="J44" i="133" s="1"/>
  <c r="P43" i="133"/>
  <c r="I43" i="133"/>
  <c r="N43" i="133" s="1"/>
  <c r="O43" i="133" s="1"/>
  <c r="P42" i="133"/>
  <c r="I42" i="133"/>
  <c r="J42" i="133" s="1"/>
  <c r="P41" i="133"/>
  <c r="I41" i="133"/>
  <c r="J41" i="133" s="1"/>
  <c r="P40" i="133"/>
  <c r="I40" i="133"/>
  <c r="J40" i="133" s="1"/>
  <c r="P39" i="133"/>
  <c r="I39" i="133"/>
  <c r="J39" i="133" s="1"/>
  <c r="P38" i="133"/>
  <c r="I38" i="133"/>
  <c r="J38" i="133" s="1"/>
  <c r="N38" i="133" s="1"/>
  <c r="O38" i="133" s="1"/>
  <c r="P37" i="133"/>
  <c r="I37" i="133"/>
  <c r="J37" i="133" s="1"/>
  <c r="P36" i="133"/>
  <c r="H36" i="133"/>
  <c r="J36" i="133" s="1"/>
  <c r="P35" i="133"/>
  <c r="P34" i="133"/>
  <c r="I34" i="133"/>
  <c r="J34" i="133" s="1"/>
  <c r="P33" i="133"/>
  <c r="I33" i="133"/>
  <c r="J33" i="133" s="1"/>
  <c r="P32" i="133"/>
  <c r="I32" i="133"/>
  <c r="J32" i="133" s="1"/>
  <c r="P31" i="133"/>
  <c r="I31" i="133"/>
  <c r="J31" i="133" s="1"/>
  <c r="P30" i="133"/>
  <c r="I30" i="133"/>
  <c r="J30" i="133" s="1"/>
  <c r="P29" i="133"/>
  <c r="I29" i="133"/>
  <c r="J29" i="133" s="1"/>
  <c r="P28" i="133"/>
  <c r="I28" i="133"/>
  <c r="J28" i="133" s="1"/>
  <c r="J23" i="133"/>
  <c r="J22" i="133"/>
  <c r="N21" i="133"/>
  <c r="J21" i="133"/>
  <c r="D37" i="133"/>
  <c r="N37" i="133" s="1"/>
  <c r="O37" i="133" s="1"/>
  <c r="AD13" i="133"/>
  <c r="AC13" i="133"/>
  <c r="AB13" i="133"/>
  <c r="AA13" i="133"/>
  <c r="Z13" i="133"/>
  <c r="Y13" i="133"/>
  <c r="X13" i="133"/>
  <c r="W13" i="133"/>
  <c r="V13" i="133"/>
  <c r="U13" i="133"/>
  <c r="T13" i="133"/>
  <c r="S13" i="133"/>
  <c r="D11" i="133"/>
  <c r="B11" i="133"/>
  <c r="C10" i="133"/>
  <c r="C9" i="133"/>
  <c r="A6" i="133"/>
  <c r="A4" i="133"/>
  <c r="P46" i="132"/>
  <c r="I46" i="132"/>
  <c r="J46" i="132" s="1"/>
  <c r="N46" i="132" s="1"/>
  <c r="O46" i="132" s="1"/>
  <c r="P45" i="132"/>
  <c r="I45" i="132"/>
  <c r="J45" i="132" s="1"/>
  <c r="P44" i="132"/>
  <c r="I44" i="132"/>
  <c r="J44" i="132" s="1"/>
  <c r="N44" i="132" s="1"/>
  <c r="O44" i="132" s="1"/>
  <c r="P43" i="132"/>
  <c r="I43" i="132"/>
  <c r="J43" i="132" s="1"/>
  <c r="P42" i="132"/>
  <c r="I42" i="132"/>
  <c r="J42" i="132" s="1"/>
  <c r="P41" i="132"/>
  <c r="I41" i="132"/>
  <c r="J41" i="132" s="1"/>
  <c r="P40" i="132"/>
  <c r="I40" i="132"/>
  <c r="J40" i="132" s="1"/>
  <c r="P39" i="132"/>
  <c r="I39" i="132"/>
  <c r="J39" i="132" s="1"/>
  <c r="P38" i="132"/>
  <c r="I38" i="132"/>
  <c r="J38" i="132" s="1"/>
  <c r="P37" i="132"/>
  <c r="I37" i="132"/>
  <c r="J37" i="132" s="1"/>
  <c r="P36" i="132"/>
  <c r="I36" i="132"/>
  <c r="J36" i="132" s="1"/>
  <c r="P34" i="132"/>
  <c r="H34" i="132"/>
  <c r="J34" i="132" s="1"/>
  <c r="P33" i="132"/>
  <c r="P32" i="132"/>
  <c r="I32" i="132"/>
  <c r="J32" i="132" s="1"/>
  <c r="P31" i="132"/>
  <c r="I31" i="132"/>
  <c r="J31" i="132" s="1"/>
  <c r="P30" i="132"/>
  <c r="I30" i="132"/>
  <c r="J30" i="132" s="1"/>
  <c r="P29" i="132"/>
  <c r="I29" i="132"/>
  <c r="J29" i="132" s="1"/>
  <c r="P28" i="132"/>
  <c r="I28" i="132"/>
  <c r="J28" i="132" s="1"/>
  <c r="P27" i="132"/>
  <c r="I27" i="132"/>
  <c r="J27" i="132" s="1"/>
  <c r="P26" i="132"/>
  <c r="I26" i="132"/>
  <c r="J26" i="132" s="1"/>
  <c r="P25" i="132"/>
  <c r="I25" i="132"/>
  <c r="J25" i="132" s="1"/>
  <c r="J20" i="132"/>
  <c r="AD19" i="132"/>
  <c r="AC19" i="132"/>
  <c r="AB19" i="132"/>
  <c r="AA19" i="132"/>
  <c r="Z19" i="132"/>
  <c r="Y19" i="132"/>
  <c r="X19" i="132"/>
  <c r="W19" i="132"/>
  <c r="V19" i="132"/>
  <c r="U19" i="132"/>
  <c r="T19" i="132"/>
  <c r="S19" i="132"/>
  <c r="N19" i="132"/>
  <c r="J19" i="132"/>
  <c r="AD18" i="132"/>
  <c r="AC18" i="132"/>
  <c r="AB18" i="132"/>
  <c r="AA18" i="132"/>
  <c r="Z18" i="132"/>
  <c r="Y18" i="132"/>
  <c r="X18" i="132"/>
  <c r="W18" i="132"/>
  <c r="V18" i="132"/>
  <c r="U18" i="132"/>
  <c r="T18" i="132"/>
  <c r="S18" i="132"/>
  <c r="AD17" i="132"/>
  <c r="AC17" i="132"/>
  <c r="AB17" i="132"/>
  <c r="AA17" i="132"/>
  <c r="Z17" i="132"/>
  <c r="Y17" i="132"/>
  <c r="X17" i="132"/>
  <c r="W17" i="132"/>
  <c r="V17" i="132"/>
  <c r="U17" i="132"/>
  <c r="T17" i="132"/>
  <c r="S17" i="132"/>
  <c r="AD16" i="132"/>
  <c r="AC16" i="132"/>
  <c r="AB16" i="132"/>
  <c r="AA16" i="132"/>
  <c r="Z16" i="132"/>
  <c r="Y16" i="132"/>
  <c r="X16" i="132"/>
  <c r="W16" i="132"/>
  <c r="V16" i="132"/>
  <c r="U16" i="132"/>
  <c r="T16" i="132"/>
  <c r="S16" i="132"/>
  <c r="C15" i="132"/>
  <c r="D20" i="132" s="1"/>
  <c r="D29" i="132"/>
  <c r="D10" i="132"/>
  <c r="B10" i="132"/>
  <c r="C10" i="132" s="1"/>
  <c r="C9" i="132"/>
  <c r="C8" i="132"/>
  <c r="A5" i="132"/>
  <c r="P52" i="131"/>
  <c r="I52" i="131"/>
  <c r="J52" i="131" s="1"/>
  <c r="N52" i="131" s="1"/>
  <c r="O52" i="131" s="1"/>
  <c r="P51" i="131"/>
  <c r="I51" i="131"/>
  <c r="J51" i="131" s="1"/>
  <c r="P50" i="131"/>
  <c r="I50" i="131"/>
  <c r="J50" i="131" s="1"/>
  <c r="N50" i="131" s="1"/>
  <c r="O50" i="131" s="1"/>
  <c r="P49" i="131"/>
  <c r="I49" i="131"/>
  <c r="J49" i="131" s="1"/>
  <c r="P48" i="131"/>
  <c r="I48" i="131"/>
  <c r="N48" i="131" s="1"/>
  <c r="O48" i="131" s="1"/>
  <c r="P47" i="131"/>
  <c r="I47" i="131"/>
  <c r="N47" i="131" s="1"/>
  <c r="O47" i="131" s="1"/>
  <c r="P46" i="131"/>
  <c r="I46" i="131"/>
  <c r="J46" i="131" s="1"/>
  <c r="P45" i="131"/>
  <c r="I45" i="131"/>
  <c r="N45" i="131" s="1"/>
  <c r="O45" i="131" s="1"/>
  <c r="P44" i="131"/>
  <c r="I44" i="131"/>
  <c r="J44" i="131" s="1"/>
  <c r="P43" i="131"/>
  <c r="I43" i="131"/>
  <c r="J43" i="131" s="1"/>
  <c r="P42" i="131"/>
  <c r="I42" i="131"/>
  <c r="J42" i="131" s="1"/>
  <c r="P40" i="131"/>
  <c r="H40" i="131"/>
  <c r="J40" i="131" s="1"/>
  <c r="P39" i="131"/>
  <c r="P38" i="131"/>
  <c r="I38" i="131"/>
  <c r="J38" i="131" s="1"/>
  <c r="P37" i="131"/>
  <c r="I37" i="131"/>
  <c r="J37" i="131" s="1"/>
  <c r="P36" i="131"/>
  <c r="I36" i="131"/>
  <c r="J36" i="131" s="1"/>
  <c r="P35" i="131"/>
  <c r="I35" i="131"/>
  <c r="J35" i="131" s="1"/>
  <c r="P34" i="131"/>
  <c r="I34" i="131"/>
  <c r="J34" i="131" s="1"/>
  <c r="P33" i="131"/>
  <c r="I33" i="131"/>
  <c r="J33" i="131" s="1"/>
  <c r="P32" i="131"/>
  <c r="I32" i="131"/>
  <c r="J32" i="131" s="1"/>
  <c r="P31" i="131"/>
  <c r="I31" i="131"/>
  <c r="J31" i="131" s="1"/>
  <c r="J26" i="131"/>
  <c r="N25" i="131"/>
  <c r="J25" i="131"/>
  <c r="D11" i="131"/>
  <c r="B11" i="131"/>
  <c r="C11" i="131" s="1"/>
  <c r="C10" i="131"/>
  <c r="C9" i="131"/>
  <c r="A6" i="131"/>
  <c r="A4" i="131"/>
  <c r="P55" i="130"/>
  <c r="G55" i="130"/>
  <c r="J55" i="130" s="1"/>
  <c r="P44" i="130"/>
  <c r="H44" i="130"/>
  <c r="J44" i="130" s="1"/>
  <c r="P43" i="130"/>
  <c r="H43" i="130"/>
  <c r="J43" i="130" s="1"/>
  <c r="P40" i="130"/>
  <c r="G40" i="130"/>
  <c r="J40" i="130" s="1"/>
  <c r="X12" i="130"/>
  <c r="Y12" i="130"/>
  <c r="Z12" i="130"/>
  <c r="AA12" i="130"/>
  <c r="W12" i="130"/>
  <c r="AC12" i="130"/>
  <c r="AD12" i="130"/>
  <c r="AB12" i="130"/>
  <c r="T12" i="130"/>
  <c r="U12" i="130"/>
  <c r="V12" i="130"/>
  <c r="S12" i="130"/>
  <c r="D73" i="130"/>
  <c r="P60" i="130"/>
  <c r="I60" i="130"/>
  <c r="J60" i="130" s="1"/>
  <c r="N60" i="130" s="1"/>
  <c r="O60" i="130" s="1"/>
  <c r="P59" i="130"/>
  <c r="I59" i="130"/>
  <c r="J59" i="130" s="1"/>
  <c r="P58" i="130"/>
  <c r="I58" i="130"/>
  <c r="J58" i="130" s="1"/>
  <c r="P57" i="130"/>
  <c r="I57" i="130"/>
  <c r="J57" i="130" s="1"/>
  <c r="P56" i="130"/>
  <c r="I56" i="130"/>
  <c r="J56" i="130" s="1"/>
  <c r="P54" i="130"/>
  <c r="I54" i="130"/>
  <c r="J54" i="130" s="1"/>
  <c r="P53" i="130"/>
  <c r="I53" i="130"/>
  <c r="J53" i="130" s="1"/>
  <c r="P52" i="130"/>
  <c r="I52" i="130"/>
  <c r="J52" i="130" s="1"/>
  <c r="P51" i="130"/>
  <c r="J51" i="130"/>
  <c r="P50" i="130"/>
  <c r="J50" i="130"/>
  <c r="P49" i="130"/>
  <c r="I49" i="130"/>
  <c r="P48" i="130"/>
  <c r="I48" i="130"/>
  <c r="J48" i="130" s="1"/>
  <c r="P47" i="130"/>
  <c r="I47" i="130"/>
  <c r="J47" i="130" s="1"/>
  <c r="I46" i="130"/>
  <c r="J46" i="130" s="1"/>
  <c r="P45" i="130"/>
  <c r="I45" i="130"/>
  <c r="J45" i="130" s="1"/>
  <c r="P42" i="130"/>
  <c r="P41" i="130"/>
  <c r="G41" i="130"/>
  <c r="J41" i="130" s="1"/>
  <c r="P39" i="130"/>
  <c r="P38" i="130"/>
  <c r="I38" i="130"/>
  <c r="J38" i="130" s="1"/>
  <c r="P37" i="130"/>
  <c r="I37" i="130"/>
  <c r="J37" i="130" s="1"/>
  <c r="P36" i="130"/>
  <c r="I36" i="130"/>
  <c r="J36" i="130" s="1"/>
  <c r="P35" i="130"/>
  <c r="I35" i="130"/>
  <c r="J35" i="130" s="1"/>
  <c r="P34" i="130"/>
  <c r="I34" i="130"/>
  <c r="J34" i="130" s="1"/>
  <c r="P33" i="130"/>
  <c r="I33" i="130"/>
  <c r="J33" i="130" s="1"/>
  <c r="J28" i="130"/>
  <c r="J27" i="130"/>
  <c r="C17" i="130"/>
  <c r="D45" i="130"/>
  <c r="N45" i="130" s="1"/>
  <c r="O45" i="130" s="1"/>
  <c r="C15" i="130"/>
  <c r="C14" i="130"/>
  <c r="D10" i="130"/>
  <c r="B10" i="130"/>
  <c r="C9" i="130"/>
  <c r="C8" i="130"/>
  <c r="A6" i="130"/>
  <c r="A4" i="130"/>
  <c r="Y12" i="129"/>
  <c r="Z12" i="129"/>
  <c r="AA12" i="129"/>
  <c r="X12" i="129"/>
  <c r="AD12" i="129"/>
  <c r="AC12" i="129"/>
  <c r="AB12" i="129"/>
  <c r="T12" i="129"/>
  <c r="U12" i="129"/>
  <c r="V12" i="129"/>
  <c r="W12" i="129"/>
  <c r="S12" i="129"/>
  <c r="P41" i="129"/>
  <c r="G41" i="129"/>
  <c r="J41" i="129" s="1"/>
  <c r="P56" i="129"/>
  <c r="G56" i="129"/>
  <c r="J56" i="129" s="1"/>
  <c r="I60" i="129"/>
  <c r="J60" i="129" s="1"/>
  <c r="H45" i="129"/>
  <c r="J45" i="129" s="1"/>
  <c r="H44" i="129"/>
  <c r="J44" i="129" s="1"/>
  <c r="D74" i="129"/>
  <c r="P61" i="129"/>
  <c r="I61" i="129"/>
  <c r="J61" i="129" s="1"/>
  <c r="N61" i="129" s="1"/>
  <c r="O61" i="129" s="1"/>
  <c r="P60" i="129"/>
  <c r="P59" i="129"/>
  <c r="I59" i="129"/>
  <c r="J59" i="129" s="1"/>
  <c r="P58" i="129"/>
  <c r="I58" i="129"/>
  <c r="J58" i="129" s="1"/>
  <c r="P57" i="129"/>
  <c r="I57" i="129"/>
  <c r="J57" i="129" s="1"/>
  <c r="P55" i="129"/>
  <c r="I55" i="129"/>
  <c r="J55" i="129" s="1"/>
  <c r="P54" i="129"/>
  <c r="I54" i="129"/>
  <c r="N54" i="129" s="1"/>
  <c r="O54" i="129" s="1"/>
  <c r="P53" i="129"/>
  <c r="I53" i="129"/>
  <c r="J53" i="129" s="1"/>
  <c r="P52" i="129"/>
  <c r="J52" i="129"/>
  <c r="P51" i="129"/>
  <c r="J51" i="129"/>
  <c r="P50" i="129"/>
  <c r="I50" i="129"/>
  <c r="P49" i="129"/>
  <c r="I49" i="129"/>
  <c r="J49" i="129" s="1"/>
  <c r="P48" i="129"/>
  <c r="I48" i="129"/>
  <c r="J48" i="129" s="1"/>
  <c r="P47" i="129"/>
  <c r="I47" i="129"/>
  <c r="J47" i="129" s="1"/>
  <c r="P46" i="129"/>
  <c r="I46" i="129"/>
  <c r="J46" i="129" s="1"/>
  <c r="P45" i="129"/>
  <c r="P44" i="129"/>
  <c r="P43" i="129"/>
  <c r="P42" i="129"/>
  <c r="G42" i="129"/>
  <c r="J42" i="129" s="1"/>
  <c r="P40" i="129"/>
  <c r="P39" i="129"/>
  <c r="I39" i="129"/>
  <c r="J39" i="129" s="1"/>
  <c r="P38" i="129"/>
  <c r="I38" i="129"/>
  <c r="J38" i="129" s="1"/>
  <c r="P37" i="129"/>
  <c r="I37" i="129"/>
  <c r="J37" i="129" s="1"/>
  <c r="P36" i="129"/>
  <c r="I36" i="129"/>
  <c r="J36" i="129" s="1"/>
  <c r="P35" i="129"/>
  <c r="I35" i="129"/>
  <c r="J35" i="129" s="1"/>
  <c r="P34" i="129"/>
  <c r="I34" i="129"/>
  <c r="J34" i="129" s="1"/>
  <c r="J29" i="129"/>
  <c r="J28" i="129"/>
  <c r="N26" i="129"/>
  <c r="O26" i="129" s="1"/>
  <c r="J26" i="129"/>
  <c r="D46" i="129"/>
  <c r="N46" i="129" s="1"/>
  <c r="O46" i="129" s="1"/>
  <c r="C15" i="129"/>
  <c r="C14" i="129"/>
  <c r="D10" i="129"/>
  <c r="B10" i="129"/>
  <c r="C10" i="129" s="1"/>
  <c r="C9" i="129"/>
  <c r="C8" i="129"/>
  <c r="A6" i="129"/>
  <c r="A4" i="129"/>
  <c r="P61" i="40"/>
  <c r="I61" i="40"/>
  <c r="J61" i="40" s="1"/>
  <c r="N61" i="40" s="1"/>
  <c r="O61" i="40" s="1"/>
  <c r="P60" i="40"/>
  <c r="I60" i="40"/>
  <c r="J60" i="40" s="1"/>
  <c r="P52" i="119"/>
  <c r="I52" i="119"/>
  <c r="J52" i="119" s="1"/>
  <c r="N52" i="119" s="1"/>
  <c r="O52" i="119" s="1"/>
  <c r="P51" i="119"/>
  <c r="I51" i="119"/>
  <c r="J51" i="119" s="1"/>
  <c r="D51" i="119"/>
  <c r="P54" i="128"/>
  <c r="I54" i="128"/>
  <c r="J54" i="128" s="1"/>
  <c r="N54" i="128" s="1"/>
  <c r="O54" i="128" s="1"/>
  <c r="P53" i="128"/>
  <c r="I53" i="128"/>
  <c r="J53" i="128" s="1"/>
  <c r="P53" i="37"/>
  <c r="I53" i="37"/>
  <c r="J53" i="37" s="1"/>
  <c r="N53" i="37" s="1"/>
  <c r="O53" i="37" s="1"/>
  <c r="P52" i="37"/>
  <c r="I52" i="37"/>
  <c r="J52" i="37" s="1"/>
  <c r="D37" i="37"/>
  <c r="P58" i="127"/>
  <c r="I58" i="127"/>
  <c r="J58" i="127" s="1"/>
  <c r="N58" i="127" s="1"/>
  <c r="O58" i="127" s="1"/>
  <c r="P57" i="127"/>
  <c r="I57" i="127"/>
  <c r="J57" i="127" s="1"/>
  <c r="D57" i="127"/>
  <c r="P52" i="126"/>
  <c r="I52" i="126"/>
  <c r="J52" i="126" s="1"/>
  <c r="N52" i="126" s="1"/>
  <c r="O52" i="126" s="1"/>
  <c r="P51" i="126"/>
  <c r="I51" i="126"/>
  <c r="J51" i="126" s="1"/>
  <c r="P51" i="100"/>
  <c r="I51" i="100"/>
  <c r="J51" i="100" s="1"/>
  <c r="N51" i="100" s="1"/>
  <c r="O51" i="100" s="1"/>
  <c r="P50" i="100"/>
  <c r="I50" i="100"/>
  <c r="J50" i="100" s="1"/>
  <c r="I31" i="100"/>
  <c r="J31" i="100" s="1"/>
  <c r="I37" i="34"/>
  <c r="J37" i="34" s="1"/>
  <c r="I32" i="100"/>
  <c r="J32" i="100" s="1"/>
  <c r="P57" i="34"/>
  <c r="I57" i="34"/>
  <c r="J57" i="34" s="1"/>
  <c r="N57" i="34" s="1"/>
  <c r="O57" i="34" s="1"/>
  <c r="P56" i="34"/>
  <c r="I56" i="34"/>
  <c r="J56" i="34" s="1"/>
  <c r="I38" i="34"/>
  <c r="J38" i="34" s="1"/>
  <c r="N20" i="126"/>
  <c r="D27" i="126"/>
  <c r="D31" i="100"/>
  <c r="P50" i="119"/>
  <c r="I50" i="119"/>
  <c r="J50" i="119" s="1"/>
  <c r="P49" i="119"/>
  <c r="I49" i="119"/>
  <c r="J49" i="119" s="1"/>
  <c r="P59" i="40"/>
  <c r="I59" i="40"/>
  <c r="J59" i="40" s="1"/>
  <c r="P58" i="40"/>
  <c r="I58" i="40"/>
  <c r="J58" i="40" s="1"/>
  <c r="I52" i="128"/>
  <c r="J52" i="128" s="1"/>
  <c r="I51" i="128"/>
  <c r="J51" i="128" s="1"/>
  <c r="P52" i="128"/>
  <c r="P51" i="128"/>
  <c r="P51" i="37"/>
  <c r="P50" i="37"/>
  <c r="I51" i="37"/>
  <c r="J51" i="37" s="1"/>
  <c r="I50" i="37"/>
  <c r="J50" i="37" s="1"/>
  <c r="P56" i="127"/>
  <c r="I56" i="127"/>
  <c r="J56" i="127" s="1"/>
  <c r="N56" i="127" s="1"/>
  <c r="O56" i="127" s="1"/>
  <c r="P50" i="126"/>
  <c r="I50" i="126"/>
  <c r="J50" i="126" s="1"/>
  <c r="N50" i="126" s="1"/>
  <c r="O50" i="126" s="1"/>
  <c r="P49" i="100"/>
  <c r="I49" i="100"/>
  <c r="J49" i="100" s="1"/>
  <c r="N49" i="100" s="1"/>
  <c r="O49" i="100" s="1"/>
  <c r="S16" i="100"/>
  <c r="T16" i="100"/>
  <c r="U16" i="100"/>
  <c r="V16" i="100"/>
  <c r="W16" i="100"/>
  <c r="X16" i="100"/>
  <c r="Y16" i="100"/>
  <c r="Z16" i="100"/>
  <c r="AA16" i="100"/>
  <c r="AB16" i="100"/>
  <c r="AC16" i="100"/>
  <c r="AD16" i="100"/>
  <c r="S17" i="100"/>
  <c r="T17" i="100"/>
  <c r="U17" i="100"/>
  <c r="V17" i="100"/>
  <c r="W17" i="100"/>
  <c r="X17" i="100"/>
  <c r="Y17" i="100"/>
  <c r="Z17" i="100"/>
  <c r="AA17" i="100"/>
  <c r="AB17" i="100"/>
  <c r="AC17" i="100"/>
  <c r="AD17" i="100"/>
  <c r="S18" i="100"/>
  <c r="T18" i="100"/>
  <c r="U18" i="100"/>
  <c r="V18" i="100"/>
  <c r="W18" i="100"/>
  <c r="X18" i="100"/>
  <c r="Y18" i="100"/>
  <c r="Z18" i="100"/>
  <c r="AA18" i="100"/>
  <c r="AB18" i="100"/>
  <c r="AC18" i="100"/>
  <c r="AD18" i="100"/>
  <c r="S19" i="100"/>
  <c r="T19" i="100"/>
  <c r="U19" i="100"/>
  <c r="V19" i="100"/>
  <c r="W19" i="100"/>
  <c r="X19" i="100"/>
  <c r="Y19" i="100"/>
  <c r="Z19" i="100"/>
  <c r="AA19" i="100"/>
  <c r="AB19" i="100"/>
  <c r="AC19" i="100"/>
  <c r="AD19" i="100"/>
  <c r="P55" i="34"/>
  <c r="I55" i="34"/>
  <c r="J55" i="34" s="1"/>
  <c r="N55" i="34" s="1"/>
  <c r="O55" i="34" s="1"/>
  <c r="G39" i="34"/>
  <c r="J39" i="34" s="1"/>
  <c r="P35" i="128"/>
  <c r="P36" i="128"/>
  <c r="G36" i="128"/>
  <c r="J36" i="128" s="1"/>
  <c r="G35" i="128"/>
  <c r="J35" i="128" s="1"/>
  <c r="D36" i="128"/>
  <c r="D35" i="128"/>
  <c r="P50" i="128"/>
  <c r="I50" i="128"/>
  <c r="J50" i="128" s="1"/>
  <c r="P49" i="128"/>
  <c r="G49" i="128"/>
  <c r="J49" i="128" s="1"/>
  <c r="P48" i="128"/>
  <c r="I48" i="128"/>
  <c r="N48" i="128" s="1"/>
  <c r="O48" i="128" s="1"/>
  <c r="P47" i="128"/>
  <c r="I47" i="128"/>
  <c r="N47" i="128" s="1"/>
  <c r="O47" i="128" s="1"/>
  <c r="P46" i="128"/>
  <c r="I46" i="128"/>
  <c r="J46" i="128" s="1"/>
  <c r="P45" i="128"/>
  <c r="J45" i="128"/>
  <c r="P44" i="128"/>
  <c r="I44" i="128"/>
  <c r="P43" i="128"/>
  <c r="I43" i="128"/>
  <c r="J43" i="128" s="1"/>
  <c r="P42" i="128"/>
  <c r="I42" i="128"/>
  <c r="J42" i="128" s="1"/>
  <c r="P41" i="128"/>
  <c r="I41" i="128"/>
  <c r="J41" i="128" s="1"/>
  <c r="N41" i="128" s="1"/>
  <c r="O41" i="128" s="1"/>
  <c r="P40" i="128"/>
  <c r="I40" i="128"/>
  <c r="J40" i="128" s="1"/>
  <c r="P39" i="128"/>
  <c r="H39" i="128"/>
  <c r="J39" i="128" s="1"/>
  <c r="P38" i="128"/>
  <c r="P37" i="128"/>
  <c r="G37" i="128"/>
  <c r="J37" i="128" s="1"/>
  <c r="P34" i="128"/>
  <c r="P33" i="128"/>
  <c r="I33" i="128"/>
  <c r="J33" i="128" s="1"/>
  <c r="P32" i="128"/>
  <c r="I32" i="128"/>
  <c r="J32" i="128" s="1"/>
  <c r="P31" i="128"/>
  <c r="I31" i="128"/>
  <c r="J31" i="128" s="1"/>
  <c r="P30" i="128"/>
  <c r="I30" i="128"/>
  <c r="J30" i="128" s="1"/>
  <c r="P29" i="128"/>
  <c r="I29" i="128"/>
  <c r="J29" i="128" s="1"/>
  <c r="P28" i="128"/>
  <c r="I28" i="128"/>
  <c r="J28" i="128" s="1"/>
  <c r="P27" i="128"/>
  <c r="I27" i="128"/>
  <c r="J27" i="128" s="1"/>
  <c r="N21" i="128"/>
  <c r="O21" i="128" s="1"/>
  <c r="J21" i="128"/>
  <c r="AD13" i="128"/>
  <c r="AC13" i="128"/>
  <c r="AB13" i="128"/>
  <c r="AA13" i="128"/>
  <c r="Z13" i="128"/>
  <c r="Y13" i="128"/>
  <c r="X13" i="128"/>
  <c r="W13" i="128"/>
  <c r="V13" i="128"/>
  <c r="U13" i="128"/>
  <c r="T13" i="128"/>
  <c r="S13" i="128"/>
  <c r="D11" i="128"/>
  <c r="B11" i="128"/>
  <c r="J34" i="128" s="1"/>
  <c r="C10" i="128"/>
  <c r="C9" i="128"/>
  <c r="A6" i="128"/>
  <c r="A4" i="128"/>
  <c r="P41" i="127"/>
  <c r="P40" i="127"/>
  <c r="G41" i="127"/>
  <c r="J41" i="127" s="1"/>
  <c r="G40" i="127"/>
  <c r="J40" i="127" s="1"/>
  <c r="P55" i="127"/>
  <c r="I55" i="127"/>
  <c r="J55" i="127" s="1"/>
  <c r="P54" i="127"/>
  <c r="G54" i="127"/>
  <c r="J54" i="127" s="1"/>
  <c r="P53" i="127"/>
  <c r="I53" i="127"/>
  <c r="N53" i="127" s="1"/>
  <c r="O53" i="127" s="1"/>
  <c r="P52" i="127"/>
  <c r="I52" i="127"/>
  <c r="J52" i="127" s="1"/>
  <c r="P51" i="127"/>
  <c r="I51" i="127"/>
  <c r="J51" i="127" s="1"/>
  <c r="P50" i="127"/>
  <c r="J50" i="127"/>
  <c r="P49" i="127"/>
  <c r="I49" i="127"/>
  <c r="N49" i="127" s="1"/>
  <c r="O49" i="127" s="1"/>
  <c r="P48" i="127"/>
  <c r="I48" i="127"/>
  <c r="J48" i="127" s="1"/>
  <c r="P47" i="127"/>
  <c r="I47" i="127"/>
  <c r="J47" i="127" s="1"/>
  <c r="P46" i="127"/>
  <c r="I46" i="127"/>
  <c r="J46" i="127" s="1"/>
  <c r="P44" i="127"/>
  <c r="H44" i="127"/>
  <c r="J44" i="127" s="1"/>
  <c r="P43" i="127"/>
  <c r="P42" i="127"/>
  <c r="G42" i="127"/>
  <c r="J42" i="127" s="1"/>
  <c r="P39" i="127"/>
  <c r="P38" i="127"/>
  <c r="I38" i="127"/>
  <c r="J38" i="127" s="1"/>
  <c r="P37" i="127"/>
  <c r="I37" i="127"/>
  <c r="J37" i="127" s="1"/>
  <c r="P36" i="127"/>
  <c r="I36" i="127"/>
  <c r="J36" i="127" s="1"/>
  <c r="P35" i="127"/>
  <c r="I35" i="127"/>
  <c r="J35" i="127" s="1"/>
  <c r="P34" i="127"/>
  <c r="I34" i="127"/>
  <c r="J34" i="127" s="1"/>
  <c r="P33" i="127"/>
  <c r="I33" i="127"/>
  <c r="J33" i="127" s="1"/>
  <c r="P32" i="127"/>
  <c r="I32" i="127"/>
  <c r="J32" i="127" s="1"/>
  <c r="P31" i="127"/>
  <c r="I31" i="127"/>
  <c r="J31" i="127" s="1"/>
  <c r="J26" i="127"/>
  <c r="N25" i="127"/>
  <c r="O25" i="127" s="1"/>
  <c r="J25" i="127"/>
  <c r="AD15" i="127"/>
  <c r="AC15" i="127"/>
  <c r="AB15" i="127"/>
  <c r="AA15" i="127"/>
  <c r="Z15" i="127"/>
  <c r="Y15" i="127"/>
  <c r="X15" i="127"/>
  <c r="W15" i="127"/>
  <c r="V15" i="127"/>
  <c r="U15" i="127"/>
  <c r="T15" i="127"/>
  <c r="S15" i="127"/>
  <c r="AD14" i="127"/>
  <c r="AC14" i="127"/>
  <c r="AB14" i="127"/>
  <c r="AA14" i="127"/>
  <c r="Z14" i="127"/>
  <c r="Y14" i="127"/>
  <c r="X14" i="127"/>
  <c r="W14" i="127"/>
  <c r="V14" i="127"/>
  <c r="U14" i="127"/>
  <c r="T14" i="127"/>
  <c r="S14" i="127"/>
  <c r="AD13" i="127"/>
  <c r="AC13" i="127"/>
  <c r="AB13" i="127"/>
  <c r="AA13" i="127"/>
  <c r="Z13" i="127"/>
  <c r="Y13" i="127"/>
  <c r="X13" i="127"/>
  <c r="W13" i="127"/>
  <c r="V13" i="127"/>
  <c r="U13" i="127"/>
  <c r="T13" i="127"/>
  <c r="S13" i="127"/>
  <c r="D11" i="127"/>
  <c r="B11" i="127"/>
  <c r="C11" i="127" s="1"/>
  <c r="J39" i="127"/>
  <c r="C10" i="127"/>
  <c r="C9" i="127"/>
  <c r="A6" i="127"/>
  <c r="A4" i="127"/>
  <c r="P46" i="119"/>
  <c r="N46" i="119"/>
  <c r="O46" i="119" s="1"/>
  <c r="I46" i="119"/>
  <c r="J46" i="119" s="1"/>
  <c r="P55" i="40"/>
  <c r="I55" i="40"/>
  <c r="N55" i="40" s="1"/>
  <c r="O55" i="40" s="1"/>
  <c r="P47" i="37"/>
  <c r="I47" i="37"/>
  <c r="N47" i="37" s="1"/>
  <c r="O47" i="37" s="1"/>
  <c r="P47" i="126"/>
  <c r="I47" i="126"/>
  <c r="J47" i="126" s="1"/>
  <c r="P46" i="100"/>
  <c r="I46" i="100"/>
  <c r="N46" i="100" s="1"/>
  <c r="O46" i="100" s="1"/>
  <c r="P52" i="34"/>
  <c r="I52" i="34"/>
  <c r="N52" i="34" s="1"/>
  <c r="O52" i="34" s="1"/>
  <c r="D48" i="120"/>
  <c r="D49" i="120"/>
  <c r="A4" i="119"/>
  <c r="A5" i="119"/>
  <c r="C9" i="119"/>
  <c r="C10" i="119"/>
  <c r="B11" i="119"/>
  <c r="C11" i="119" s="1"/>
  <c r="D11" i="119"/>
  <c r="S13" i="119"/>
  <c r="T13" i="119"/>
  <c r="U13" i="119"/>
  <c r="V13" i="119"/>
  <c r="W13" i="119"/>
  <c r="X13" i="119"/>
  <c r="Y13" i="119"/>
  <c r="Z13" i="119"/>
  <c r="AA13" i="119"/>
  <c r="AB13" i="119"/>
  <c r="AC13" i="119"/>
  <c r="AD13" i="119"/>
  <c r="J19" i="119"/>
  <c r="N19" i="119"/>
  <c r="O19" i="119" s="1"/>
  <c r="I25" i="119"/>
  <c r="J25" i="119" s="1"/>
  <c r="P25" i="119"/>
  <c r="I26" i="119"/>
  <c r="J26" i="119" s="1"/>
  <c r="P26" i="119"/>
  <c r="I27" i="119"/>
  <c r="J27" i="119" s="1"/>
  <c r="P27" i="119"/>
  <c r="I28" i="119"/>
  <c r="J28" i="119" s="1"/>
  <c r="P28" i="119"/>
  <c r="I29" i="119"/>
  <c r="J29" i="119" s="1"/>
  <c r="P29" i="119"/>
  <c r="I30" i="119"/>
  <c r="J30" i="119" s="1"/>
  <c r="P30" i="119"/>
  <c r="P31" i="119"/>
  <c r="J32" i="119"/>
  <c r="J33" i="119"/>
  <c r="G34" i="119"/>
  <c r="J34" i="119" s="1"/>
  <c r="P34" i="119"/>
  <c r="P35" i="119"/>
  <c r="H36" i="119"/>
  <c r="J36" i="119" s="1"/>
  <c r="P36" i="119"/>
  <c r="I37" i="119"/>
  <c r="J37" i="119" s="1"/>
  <c r="P37" i="119"/>
  <c r="I38" i="119"/>
  <c r="J38" i="119" s="1"/>
  <c r="N38" i="119" s="1"/>
  <c r="O38" i="119" s="1"/>
  <c r="P38" i="119"/>
  <c r="I39" i="119"/>
  <c r="J39" i="119" s="1"/>
  <c r="P39" i="119"/>
  <c r="I40" i="119"/>
  <c r="J40" i="119" s="1"/>
  <c r="P40" i="119"/>
  <c r="I41" i="119"/>
  <c r="N41" i="119" s="1"/>
  <c r="O41" i="119" s="1"/>
  <c r="P41" i="119"/>
  <c r="J42" i="119"/>
  <c r="P42" i="119"/>
  <c r="J43" i="119"/>
  <c r="P43" i="119"/>
  <c r="I44" i="119"/>
  <c r="J44" i="119" s="1"/>
  <c r="P44" i="119"/>
  <c r="I45" i="119"/>
  <c r="J45" i="119" s="1"/>
  <c r="P45" i="119"/>
  <c r="G47" i="119"/>
  <c r="J47" i="119" s="1"/>
  <c r="P47" i="119"/>
  <c r="I48" i="119"/>
  <c r="J48" i="119" s="1"/>
  <c r="P48" i="119"/>
  <c r="A4" i="40"/>
  <c r="A6" i="40"/>
  <c r="C8" i="40"/>
  <c r="C9" i="40"/>
  <c r="B10" i="40"/>
  <c r="D10" i="40"/>
  <c r="S12" i="40"/>
  <c r="T12" i="40"/>
  <c r="U12" i="40"/>
  <c r="V12" i="40"/>
  <c r="W12" i="40"/>
  <c r="X12" i="40"/>
  <c r="Y12" i="40"/>
  <c r="Z12" i="40"/>
  <c r="AA12" i="40"/>
  <c r="AB12" i="40"/>
  <c r="AC12" i="40"/>
  <c r="AD12" i="40"/>
  <c r="C14" i="40"/>
  <c r="D45" i="40" s="1"/>
  <c r="C15" i="40"/>
  <c r="J26" i="40"/>
  <c r="N26" i="40"/>
  <c r="O26" i="40" s="1"/>
  <c r="J28" i="40"/>
  <c r="J29" i="40"/>
  <c r="I34" i="40"/>
  <c r="J34" i="40" s="1"/>
  <c r="P34" i="40"/>
  <c r="I35" i="40"/>
  <c r="J35" i="40" s="1"/>
  <c r="P35" i="40"/>
  <c r="I36" i="40"/>
  <c r="J36" i="40" s="1"/>
  <c r="P36" i="40"/>
  <c r="I37" i="40"/>
  <c r="J37" i="40" s="1"/>
  <c r="P37" i="40"/>
  <c r="I38" i="40"/>
  <c r="J38" i="40" s="1"/>
  <c r="P38" i="40"/>
  <c r="I39" i="40"/>
  <c r="J39" i="40" s="1"/>
  <c r="P39" i="40"/>
  <c r="P40" i="40"/>
  <c r="G41" i="40"/>
  <c r="J41" i="40" s="1"/>
  <c r="P41" i="40"/>
  <c r="G42" i="40"/>
  <c r="J42" i="40" s="1"/>
  <c r="P42" i="40"/>
  <c r="P43" i="40"/>
  <c r="H44" i="40"/>
  <c r="J44" i="40" s="1"/>
  <c r="P44" i="40"/>
  <c r="H45" i="40"/>
  <c r="J45" i="40" s="1"/>
  <c r="P45" i="40"/>
  <c r="I46" i="40"/>
  <c r="J46" i="40" s="1"/>
  <c r="P46" i="40"/>
  <c r="I47" i="40"/>
  <c r="J47" i="40" s="1"/>
  <c r="P47" i="40"/>
  <c r="I48" i="40"/>
  <c r="J48" i="40" s="1"/>
  <c r="P48" i="40"/>
  <c r="I49" i="40"/>
  <c r="J49" i="40" s="1"/>
  <c r="P49" i="40"/>
  <c r="I50" i="40"/>
  <c r="N50" i="40" s="1"/>
  <c r="O50" i="40" s="1"/>
  <c r="P50" i="40"/>
  <c r="J51" i="40"/>
  <c r="P51" i="40"/>
  <c r="J52" i="40"/>
  <c r="P52" i="40"/>
  <c r="I53" i="40"/>
  <c r="J53" i="40" s="1"/>
  <c r="P53" i="40"/>
  <c r="I54" i="40"/>
  <c r="N54" i="40" s="1"/>
  <c r="O54" i="40" s="1"/>
  <c r="P54" i="40"/>
  <c r="G56" i="40"/>
  <c r="J56" i="40" s="1"/>
  <c r="P56" i="40"/>
  <c r="I57" i="40"/>
  <c r="J57" i="40" s="1"/>
  <c r="P57" i="40"/>
  <c r="D74" i="40"/>
  <c r="A4" i="37"/>
  <c r="A6" i="37"/>
  <c r="C9" i="37"/>
  <c r="C10" i="37"/>
  <c r="B11" i="37"/>
  <c r="C11" i="37" s="1"/>
  <c r="D11" i="37"/>
  <c r="S13" i="37"/>
  <c r="T13" i="37"/>
  <c r="U13" i="37"/>
  <c r="V13" i="37"/>
  <c r="W13" i="37"/>
  <c r="X13" i="37"/>
  <c r="Y13" i="37"/>
  <c r="Z13" i="37"/>
  <c r="AA13" i="37"/>
  <c r="AB13" i="37"/>
  <c r="AC13" i="37"/>
  <c r="AD13" i="37"/>
  <c r="J21" i="37"/>
  <c r="N21" i="37"/>
  <c r="O21" i="37" s="1"/>
  <c r="I27" i="37"/>
  <c r="J27" i="37" s="1"/>
  <c r="P27" i="37"/>
  <c r="I28" i="37"/>
  <c r="J28" i="37" s="1"/>
  <c r="P28" i="37"/>
  <c r="I29" i="37"/>
  <c r="J29" i="37" s="1"/>
  <c r="P29" i="37"/>
  <c r="I30" i="37"/>
  <c r="J30" i="37" s="1"/>
  <c r="P30" i="37"/>
  <c r="I31" i="37"/>
  <c r="J31" i="37" s="1"/>
  <c r="P31" i="37"/>
  <c r="I32" i="37"/>
  <c r="J32" i="37" s="1"/>
  <c r="P32" i="37"/>
  <c r="I33" i="37"/>
  <c r="J33" i="37" s="1"/>
  <c r="P33" i="37"/>
  <c r="P34" i="37"/>
  <c r="G35" i="37"/>
  <c r="J35" i="37" s="1"/>
  <c r="P35" i="37"/>
  <c r="G36" i="37"/>
  <c r="J36" i="37" s="1"/>
  <c r="P36" i="37"/>
  <c r="P37" i="37"/>
  <c r="H38" i="37"/>
  <c r="J38" i="37" s="1"/>
  <c r="P38" i="37"/>
  <c r="I39" i="37"/>
  <c r="J39" i="37" s="1"/>
  <c r="P39" i="37"/>
  <c r="I40" i="37"/>
  <c r="J40" i="37" s="1"/>
  <c r="N40" i="37" s="1"/>
  <c r="O40" i="37" s="1"/>
  <c r="P40" i="37"/>
  <c r="I41" i="37"/>
  <c r="J41" i="37" s="1"/>
  <c r="P41" i="37"/>
  <c r="I42" i="37"/>
  <c r="J42" i="37" s="1"/>
  <c r="P42" i="37"/>
  <c r="I43" i="37"/>
  <c r="P43" i="37"/>
  <c r="J44" i="37"/>
  <c r="P44" i="37"/>
  <c r="I45" i="37"/>
  <c r="J45" i="37" s="1"/>
  <c r="P45" i="37"/>
  <c r="I46" i="37"/>
  <c r="N46" i="37" s="1"/>
  <c r="O46" i="37" s="1"/>
  <c r="P46" i="37"/>
  <c r="G48" i="37"/>
  <c r="P48" i="37"/>
  <c r="I49" i="37"/>
  <c r="J49" i="37" s="1"/>
  <c r="P49" i="37"/>
  <c r="A4" i="126"/>
  <c r="A6" i="126"/>
  <c r="C9" i="126"/>
  <c r="C10" i="126"/>
  <c r="B11" i="126"/>
  <c r="C11" i="126" s="1"/>
  <c r="D11" i="126"/>
  <c r="S15" i="126"/>
  <c r="T15" i="126"/>
  <c r="U15" i="126"/>
  <c r="V15" i="126"/>
  <c r="W15" i="126"/>
  <c r="X15" i="126"/>
  <c r="Y15" i="126"/>
  <c r="Z15" i="126"/>
  <c r="AA15" i="126"/>
  <c r="AB15" i="126"/>
  <c r="AC15" i="126"/>
  <c r="AD15" i="126"/>
  <c r="J19" i="126"/>
  <c r="N19" i="126"/>
  <c r="O19" i="126" s="1"/>
  <c r="I25" i="126"/>
  <c r="J25" i="126" s="1"/>
  <c r="P25" i="126"/>
  <c r="I26" i="126"/>
  <c r="J26" i="126" s="1"/>
  <c r="P26" i="126"/>
  <c r="I27" i="126"/>
  <c r="J27" i="126" s="1"/>
  <c r="P27" i="126"/>
  <c r="I28" i="126"/>
  <c r="J28" i="126" s="1"/>
  <c r="P28" i="126"/>
  <c r="I29" i="126"/>
  <c r="J29" i="126" s="1"/>
  <c r="P29" i="126"/>
  <c r="I30" i="126"/>
  <c r="J30" i="126" s="1"/>
  <c r="P30" i="126"/>
  <c r="I31" i="126"/>
  <c r="J31" i="126" s="1"/>
  <c r="P31" i="126"/>
  <c r="I32" i="126"/>
  <c r="J32" i="126" s="1"/>
  <c r="P32" i="126"/>
  <c r="P33" i="126"/>
  <c r="G34" i="126"/>
  <c r="J34" i="126" s="1"/>
  <c r="P34" i="126"/>
  <c r="G35" i="126"/>
  <c r="J35" i="126" s="1"/>
  <c r="P35" i="126"/>
  <c r="G36" i="126"/>
  <c r="J36" i="126" s="1"/>
  <c r="P36" i="126"/>
  <c r="P37" i="126"/>
  <c r="H38" i="126"/>
  <c r="J38" i="126" s="1"/>
  <c r="P38" i="126"/>
  <c r="I40" i="126"/>
  <c r="J40" i="126" s="1"/>
  <c r="P40" i="126"/>
  <c r="I41" i="126"/>
  <c r="J41" i="126" s="1"/>
  <c r="P41" i="126"/>
  <c r="I42" i="126"/>
  <c r="J42" i="126" s="1"/>
  <c r="P42" i="126"/>
  <c r="I43" i="126"/>
  <c r="J43" i="126" s="1"/>
  <c r="P43" i="126"/>
  <c r="J44" i="126"/>
  <c r="P44" i="126"/>
  <c r="I45" i="126"/>
  <c r="J45" i="126" s="1"/>
  <c r="P45" i="126"/>
  <c r="I46" i="126"/>
  <c r="N46" i="126" s="1"/>
  <c r="O46" i="126" s="1"/>
  <c r="P46" i="126"/>
  <c r="G48" i="126"/>
  <c r="J48" i="126" s="1"/>
  <c r="P48" i="126"/>
  <c r="I49" i="126"/>
  <c r="J49" i="126" s="1"/>
  <c r="P49" i="126"/>
  <c r="A5" i="100"/>
  <c r="C8" i="100"/>
  <c r="C9" i="100"/>
  <c r="B10" i="100"/>
  <c r="D10" i="100"/>
  <c r="C15" i="100"/>
  <c r="D20" i="100" s="1"/>
  <c r="J19" i="100"/>
  <c r="N19" i="100"/>
  <c r="O19" i="100" s="1"/>
  <c r="I25" i="100"/>
  <c r="J25" i="100" s="1"/>
  <c r="P25" i="100"/>
  <c r="I26" i="100"/>
  <c r="J26" i="100" s="1"/>
  <c r="P26" i="100"/>
  <c r="I27" i="100"/>
  <c r="J27" i="100" s="1"/>
  <c r="P27" i="100"/>
  <c r="I28" i="100"/>
  <c r="J28" i="100" s="1"/>
  <c r="P28" i="100"/>
  <c r="I29" i="100"/>
  <c r="J29" i="100" s="1"/>
  <c r="P29" i="100"/>
  <c r="I30" i="100"/>
  <c r="J30" i="100" s="1"/>
  <c r="P30" i="100"/>
  <c r="P31" i="100"/>
  <c r="P32" i="100"/>
  <c r="G35" i="100"/>
  <c r="J35" i="100" s="1"/>
  <c r="P35" i="100"/>
  <c r="P36" i="100"/>
  <c r="H37" i="100"/>
  <c r="J37" i="100" s="1"/>
  <c r="P37" i="100"/>
  <c r="I39" i="100"/>
  <c r="J39" i="100" s="1"/>
  <c r="P39" i="100"/>
  <c r="I40" i="100"/>
  <c r="J40" i="100" s="1"/>
  <c r="P40" i="100"/>
  <c r="I41" i="100"/>
  <c r="J41" i="100" s="1"/>
  <c r="P41" i="100"/>
  <c r="I42" i="100"/>
  <c r="J42" i="100" s="1"/>
  <c r="P42" i="100"/>
  <c r="J43" i="100"/>
  <c r="P43" i="100"/>
  <c r="I44" i="100"/>
  <c r="J44" i="100" s="1"/>
  <c r="P44" i="100"/>
  <c r="I45" i="100"/>
  <c r="J45" i="100" s="1"/>
  <c r="P45" i="100"/>
  <c r="G47" i="100"/>
  <c r="J47" i="100" s="1"/>
  <c r="P47" i="100"/>
  <c r="I48" i="100"/>
  <c r="J48" i="100" s="1"/>
  <c r="P48" i="100"/>
  <c r="A4" i="34"/>
  <c r="A6" i="34"/>
  <c r="C9" i="34"/>
  <c r="C10" i="34"/>
  <c r="B11" i="34"/>
  <c r="C11" i="34" s="1"/>
  <c r="D11" i="34"/>
  <c r="J25" i="34"/>
  <c r="N25" i="34"/>
  <c r="O25" i="34" s="1"/>
  <c r="J26" i="34"/>
  <c r="I31" i="34"/>
  <c r="J31" i="34" s="1"/>
  <c r="P31" i="34"/>
  <c r="I32" i="34"/>
  <c r="J32" i="34" s="1"/>
  <c r="P32" i="34"/>
  <c r="I33" i="34"/>
  <c r="J33" i="34" s="1"/>
  <c r="P33" i="34"/>
  <c r="I34" i="34"/>
  <c r="J34" i="34" s="1"/>
  <c r="P34" i="34"/>
  <c r="I35" i="34"/>
  <c r="J35" i="34" s="1"/>
  <c r="P35" i="34"/>
  <c r="I36" i="34"/>
  <c r="J36" i="34" s="1"/>
  <c r="P36" i="34"/>
  <c r="P37" i="34"/>
  <c r="P38" i="34"/>
  <c r="G40" i="34"/>
  <c r="J40" i="34" s="1"/>
  <c r="P40" i="34"/>
  <c r="G41" i="34"/>
  <c r="J41" i="34" s="1"/>
  <c r="P41" i="34"/>
  <c r="P42" i="34"/>
  <c r="H43" i="34"/>
  <c r="J43" i="34" s="1"/>
  <c r="P43" i="34"/>
  <c r="I45" i="34"/>
  <c r="J45" i="34" s="1"/>
  <c r="P45" i="34"/>
  <c r="I46" i="34"/>
  <c r="J46" i="34" s="1"/>
  <c r="P46" i="34"/>
  <c r="I47" i="34"/>
  <c r="J47" i="34" s="1"/>
  <c r="P47" i="34"/>
  <c r="I48" i="34"/>
  <c r="N48" i="34" s="1"/>
  <c r="O48" i="34" s="1"/>
  <c r="P48" i="34"/>
  <c r="J49" i="34"/>
  <c r="P49" i="34"/>
  <c r="I50" i="34"/>
  <c r="J50" i="34" s="1"/>
  <c r="P50" i="34"/>
  <c r="I51" i="34"/>
  <c r="J51" i="34" s="1"/>
  <c r="P51" i="34"/>
  <c r="G53" i="34"/>
  <c r="J53" i="34" s="1"/>
  <c r="P53" i="34"/>
  <c r="I54" i="34"/>
  <c r="J54" i="34" s="1"/>
  <c r="P54" i="34"/>
  <c r="E18" i="1"/>
  <c r="C19" i="136" s="1"/>
  <c r="D29" i="1"/>
  <c r="J22" i="37"/>
  <c r="D38" i="37"/>
  <c r="J20" i="119"/>
  <c r="D44" i="127"/>
  <c r="D49" i="34"/>
  <c r="O49" i="34" s="1"/>
  <c r="J20" i="126"/>
  <c r="D32" i="37"/>
  <c r="D35" i="119"/>
  <c r="N45" i="127" l="1"/>
  <c r="O45" i="127" s="1"/>
  <c r="N38" i="100"/>
  <c r="O38" i="100" s="1"/>
  <c r="J52" i="34"/>
  <c r="I39" i="146"/>
  <c r="J39" i="146" s="1"/>
  <c r="N39" i="146" s="1"/>
  <c r="N56" i="146" s="1"/>
  <c r="N58" i="146" s="1"/>
  <c r="I39" i="154"/>
  <c r="J39" i="154" s="1"/>
  <c r="N39" i="154" s="1"/>
  <c r="I38" i="152"/>
  <c r="J38" i="152" s="1"/>
  <c r="N38" i="152" s="1"/>
  <c r="I38" i="153"/>
  <c r="J38" i="153" s="1"/>
  <c r="N38" i="153" s="1"/>
  <c r="I38" i="151"/>
  <c r="J38" i="151" s="1"/>
  <c r="N38" i="151" s="1"/>
  <c r="I38" i="148"/>
  <c r="J38" i="148" s="1"/>
  <c r="N38" i="148" s="1"/>
  <c r="I38" i="149"/>
  <c r="J38" i="149" s="1"/>
  <c r="N38" i="149" s="1"/>
  <c r="I38" i="147"/>
  <c r="J38" i="147" s="1"/>
  <c r="N38" i="147" s="1"/>
  <c r="N51" i="34"/>
  <c r="O51" i="34" s="1"/>
  <c r="I38" i="144"/>
  <c r="J38" i="144" s="1"/>
  <c r="N38" i="144" s="1"/>
  <c r="I38" i="145"/>
  <c r="J38" i="145" s="1"/>
  <c r="N38" i="145" s="1"/>
  <c r="N42" i="100"/>
  <c r="O42" i="100" s="1"/>
  <c r="C20" i="40"/>
  <c r="D17" i="40" s="1"/>
  <c r="N21" i="126"/>
  <c r="D30" i="126" s="1"/>
  <c r="N30" i="126" s="1"/>
  <c r="O30" i="126" s="1"/>
  <c r="J47" i="128"/>
  <c r="N43" i="126"/>
  <c r="O43" i="126" s="1"/>
  <c r="N32" i="37"/>
  <c r="O32" i="37" s="1"/>
  <c r="C20" i="141"/>
  <c r="C18" i="141" s="1"/>
  <c r="D18" i="141" s="1"/>
  <c r="C20" i="142"/>
  <c r="C18" i="142" s="1"/>
  <c r="C17" i="139"/>
  <c r="C17" i="138"/>
  <c r="C19" i="130"/>
  <c r="J46" i="37"/>
  <c r="J54" i="129"/>
  <c r="J34" i="100"/>
  <c r="J33" i="100"/>
  <c r="D30" i="1"/>
  <c r="I35" i="133"/>
  <c r="J35" i="133" s="1"/>
  <c r="I40" i="142"/>
  <c r="J40" i="142" s="1"/>
  <c r="N40" i="142" s="1"/>
  <c r="O40" i="142" s="1"/>
  <c r="I40" i="141"/>
  <c r="J40" i="141" s="1"/>
  <c r="N40" i="141" s="1"/>
  <c r="I38" i="139"/>
  <c r="J38" i="139" s="1"/>
  <c r="N38" i="139" s="1"/>
  <c r="O38" i="139" s="1"/>
  <c r="I38" i="138"/>
  <c r="J38" i="138" s="1"/>
  <c r="N38" i="138" s="1"/>
  <c r="O38" i="138" s="1"/>
  <c r="I43" i="127"/>
  <c r="J43" i="127" s="1"/>
  <c r="N43" i="127" s="1"/>
  <c r="O43" i="127" s="1"/>
  <c r="I43" i="140"/>
  <c r="J43" i="140" s="1"/>
  <c r="N43" i="140" s="1"/>
  <c r="O43" i="140" s="1"/>
  <c r="I42" i="34"/>
  <c r="J42" i="34" s="1"/>
  <c r="N42" i="34" s="1"/>
  <c r="O42" i="34" s="1"/>
  <c r="I37" i="126"/>
  <c r="J37" i="126" s="1"/>
  <c r="N37" i="126" s="1"/>
  <c r="O37" i="126" s="1"/>
  <c r="N55" i="129"/>
  <c r="O55" i="129" s="1"/>
  <c r="J48" i="128"/>
  <c r="J40" i="40"/>
  <c r="D47" i="140"/>
  <c r="N47" i="140" s="1"/>
  <c r="O47" i="140" s="1"/>
  <c r="D48" i="140"/>
  <c r="N48" i="140" s="1"/>
  <c r="O48" i="140" s="1"/>
  <c r="D51" i="140"/>
  <c r="N51" i="140" s="1"/>
  <c r="O51" i="140" s="1"/>
  <c r="D39" i="140"/>
  <c r="N39" i="140" s="1"/>
  <c r="O39" i="140" s="1"/>
  <c r="D37" i="140"/>
  <c r="N37" i="140" s="1"/>
  <c r="J31" i="119"/>
  <c r="L32" i="119"/>
  <c r="O32" i="119" s="1"/>
  <c r="C10" i="40"/>
  <c r="C11" i="128"/>
  <c r="D33" i="139"/>
  <c r="N33" i="139" s="1"/>
  <c r="O33" i="139" s="1"/>
  <c r="D45" i="139"/>
  <c r="O45" i="139" s="1"/>
  <c r="N30" i="139"/>
  <c r="O30" i="139" s="1"/>
  <c r="N29" i="139"/>
  <c r="D44" i="139"/>
  <c r="O44" i="139" s="1"/>
  <c r="O39" i="139"/>
  <c r="M56" i="139"/>
  <c r="M58" i="139" s="1"/>
  <c r="L56" i="139"/>
  <c r="L58" i="139" s="1"/>
  <c r="O65" i="139" s="1"/>
  <c r="O35" i="139"/>
  <c r="L35" i="138"/>
  <c r="O35" i="138" s="1"/>
  <c r="O39" i="138"/>
  <c r="M56" i="138"/>
  <c r="M58" i="138" s="1"/>
  <c r="N29" i="138"/>
  <c r="D44" i="138"/>
  <c r="O44" i="138" s="1"/>
  <c r="D45" i="138"/>
  <c r="O45" i="138" s="1"/>
  <c r="N30" i="138"/>
  <c r="O30" i="138" s="1"/>
  <c r="D33" i="138"/>
  <c r="N33" i="138" s="1"/>
  <c r="O33" i="138" s="1"/>
  <c r="D35" i="133"/>
  <c r="D27" i="128"/>
  <c r="N27" i="128" s="1"/>
  <c r="O27" i="128" s="1"/>
  <c r="D27" i="37"/>
  <c r="N27" i="37" s="1"/>
  <c r="O27" i="37" s="1"/>
  <c r="D51" i="37"/>
  <c r="N51" i="37" s="1"/>
  <c r="O51" i="37" s="1"/>
  <c r="D29" i="100"/>
  <c r="N29" i="100" s="1"/>
  <c r="O29" i="100" s="1"/>
  <c r="L47" i="119"/>
  <c r="O47" i="119" s="1"/>
  <c r="L34" i="128"/>
  <c r="O34" i="128" s="1"/>
  <c r="D59" i="40"/>
  <c r="N59" i="40" s="1"/>
  <c r="O59" i="40" s="1"/>
  <c r="L40" i="40"/>
  <c r="D38" i="128"/>
  <c r="D49" i="119"/>
  <c r="N49" i="119" s="1"/>
  <c r="O49" i="119" s="1"/>
  <c r="D49" i="37"/>
  <c r="N49" i="37" s="1"/>
  <c r="O49" i="37" s="1"/>
  <c r="D31" i="37"/>
  <c r="N31" i="37" s="1"/>
  <c r="O31" i="37" s="1"/>
  <c r="D31" i="128"/>
  <c r="N31" i="128" s="1"/>
  <c r="O31" i="128" s="1"/>
  <c r="L49" i="128"/>
  <c r="O49" i="128" s="1"/>
  <c r="D32" i="128"/>
  <c r="N32" i="128" s="1"/>
  <c r="O32" i="128" s="1"/>
  <c r="D34" i="127"/>
  <c r="N34" i="127" s="1"/>
  <c r="O34" i="127" s="1"/>
  <c r="D44" i="37"/>
  <c r="O44" i="37" s="1"/>
  <c r="D44" i="40"/>
  <c r="M44" i="40" s="1"/>
  <c r="O44" i="40" s="1"/>
  <c r="L35" i="126"/>
  <c r="O35" i="126" s="1"/>
  <c r="D30" i="37"/>
  <c r="N30" i="37" s="1"/>
  <c r="O30" i="37" s="1"/>
  <c r="D29" i="37"/>
  <c r="N29" i="37" s="1"/>
  <c r="O29" i="37" s="1"/>
  <c r="D51" i="128"/>
  <c r="N51" i="128" s="1"/>
  <c r="O51" i="128" s="1"/>
  <c r="D50" i="119"/>
  <c r="N50" i="119" s="1"/>
  <c r="O50" i="119" s="1"/>
  <c r="L37" i="128"/>
  <c r="O37" i="128" s="1"/>
  <c r="D28" i="37"/>
  <c r="N28" i="37" s="1"/>
  <c r="O28" i="37" s="1"/>
  <c r="D39" i="128"/>
  <c r="M39" i="128" s="1"/>
  <c r="M56" i="128" s="1"/>
  <c r="M58" i="128" s="1"/>
  <c r="D52" i="37"/>
  <c r="N52" i="37" s="1"/>
  <c r="O52" i="37" s="1"/>
  <c r="I39" i="136"/>
  <c r="J39" i="136" s="1"/>
  <c r="J48" i="34"/>
  <c r="L48" i="37"/>
  <c r="O48" i="37" s="1"/>
  <c r="I35" i="119"/>
  <c r="J35" i="119" s="1"/>
  <c r="N35" i="119" s="1"/>
  <c r="O35" i="119" s="1"/>
  <c r="N39" i="132"/>
  <c r="O39" i="132" s="1"/>
  <c r="I36" i="100"/>
  <c r="J36" i="100" s="1"/>
  <c r="N36" i="100" s="1"/>
  <c r="O36" i="100" s="1"/>
  <c r="D45" i="128"/>
  <c r="O45" i="128" s="1"/>
  <c r="D50" i="128"/>
  <c r="N50" i="128" s="1"/>
  <c r="O50" i="128" s="1"/>
  <c r="D29" i="128"/>
  <c r="N29" i="128" s="1"/>
  <c r="O29" i="128" s="1"/>
  <c r="D34" i="34"/>
  <c r="N34" i="34" s="1"/>
  <c r="O34" i="34" s="1"/>
  <c r="D40" i="128"/>
  <c r="N40" i="128" s="1"/>
  <c r="O40" i="128" s="1"/>
  <c r="D37" i="34"/>
  <c r="N37" i="34" s="1"/>
  <c r="O37" i="34" s="1"/>
  <c r="C10" i="100"/>
  <c r="M38" i="37"/>
  <c r="M55" i="37" s="1"/>
  <c r="M57" i="37" s="1"/>
  <c r="I37" i="37"/>
  <c r="J37" i="37" s="1"/>
  <c r="N37" i="37" s="1"/>
  <c r="O37" i="37" s="1"/>
  <c r="N57" i="127"/>
  <c r="O57" i="127" s="1"/>
  <c r="N53" i="128"/>
  <c r="O53" i="128" s="1"/>
  <c r="D43" i="129"/>
  <c r="L56" i="129"/>
  <c r="O56" i="129" s="1"/>
  <c r="I39" i="131"/>
  <c r="J39" i="131" s="1"/>
  <c r="N39" i="131" s="1"/>
  <c r="O39" i="131" s="1"/>
  <c r="I33" i="132"/>
  <c r="J33" i="132" s="1"/>
  <c r="N33" i="132" s="1"/>
  <c r="O33" i="132" s="1"/>
  <c r="I38" i="128"/>
  <c r="J38" i="128" s="1"/>
  <c r="J55" i="40"/>
  <c r="N22" i="37"/>
  <c r="L36" i="37"/>
  <c r="O36" i="37" s="1"/>
  <c r="D39" i="37"/>
  <c r="N39" i="37" s="1"/>
  <c r="O39" i="37" s="1"/>
  <c r="D52" i="128"/>
  <c r="N52" i="128" s="1"/>
  <c r="O52" i="128" s="1"/>
  <c r="J22" i="128"/>
  <c r="D30" i="128"/>
  <c r="N30" i="128" s="1"/>
  <c r="O30" i="128" s="1"/>
  <c r="D28" i="128"/>
  <c r="N28" i="128" s="1"/>
  <c r="O28" i="128" s="1"/>
  <c r="D31" i="34"/>
  <c r="N31" i="34" s="1"/>
  <c r="O31" i="34" s="1"/>
  <c r="D55" i="127"/>
  <c r="N55" i="127" s="1"/>
  <c r="O55" i="127" s="1"/>
  <c r="D50" i="37"/>
  <c r="N50" i="37" s="1"/>
  <c r="O50" i="37" s="1"/>
  <c r="J53" i="127"/>
  <c r="I43" i="40"/>
  <c r="J43" i="40" s="1"/>
  <c r="N47" i="126"/>
  <c r="O47" i="126" s="1"/>
  <c r="N51" i="119"/>
  <c r="O51" i="119" s="1"/>
  <c r="I15" i="129"/>
  <c r="C20" i="129"/>
  <c r="D14" i="129" s="1"/>
  <c r="D45" i="129" s="1"/>
  <c r="N54" i="130"/>
  <c r="O54" i="130" s="1"/>
  <c r="N45" i="119"/>
  <c r="O45" i="119" s="1"/>
  <c r="L36" i="128"/>
  <c r="O36" i="128" s="1"/>
  <c r="I43" i="129"/>
  <c r="J43" i="129" s="1"/>
  <c r="J47" i="37"/>
  <c r="J46" i="126"/>
  <c r="N27" i="126"/>
  <c r="O27" i="126" s="1"/>
  <c r="I42" i="130"/>
  <c r="J42" i="130" s="1"/>
  <c r="J43" i="37"/>
  <c r="N43" i="37"/>
  <c r="O43" i="37" s="1"/>
  <c r="N50" i="129"/>
  <c r="O50" i="129" s="1"/>
  <c r="J50" i="129"/>
  <c r="L56" i="40"/>
  <c r="O56" i="40" s="1"/>
  <c r="J48" i="37"/>
  <c r="M44" i="127"/>
  <c r="O44" i="127" s="1"/>
  <c r="J44" i="128"/>
  <c r="N44" i="128"/>
  <c r="O44" i="128" s="1"/>
  <c r="N45" i="100"/>
  <c r="O45" i="100" s="1"/>
  <c r="J49" i="130"/>
  <c r="N49" i="130"/>
  <c r="O49" i="130" s="1"/>
  <c r="N29" i="132"/>
  <c r="O29" i="132" s="1"/>
  <c r="L40" i="127"/>
  <c r="O40" i="127" s="1"/>
  <c r="L40" i="34"/>
  <c r="O40" i="34" s="1"/>
  <c r="J54" i="40"/>
  <c r="J41" i="119"/>
  <c r="L35" i="37"/>
  <c r="O35" i="37" s="1"/>
  <c r="L41" i="40"/>
  <c r="O41" i="40" s="1"/>
  <c r="L41" i="127"/>
  <c r="O41" i="127" s="1"/>
  <c r="L35" i="128"/>
  <c r="O35" i="128" s="1"/>
  <c r="L39" i="127"/>
  <c r="D26" i="100"/>
  <c r="N26" i="100" s="1"/>
  <c r="O26" i="100" s="1"/>
  <c r="D35" i="127"/>
  <c r="N35" i="127" s="1"/>
  <c r="O35" i="127" s="1"/>
  <c r="N26" i="127"/>
  <c r="O26" i="127" s="1"/>
  <c r="O27" i="127" s="1"/>
  <c r="N37" i="127"/>
  <c r="O37" i="127" s="1"/>
  <c r="D31" i="127"/>
  <c r="N31" i="127" s="1"/>
  <c r="O31" i="127" s="1"/>
  <c r="D28" i="100"/>
  <c r="N28" i="100" s="1"/>
  <c r="O28" i="100" s="1"/>
  <c r="D27" i="100"/>
  <c r="N27" i="100" s="1"/>
  <c r="O27" i="100" s="1"/>
  <c r="L34" i="126"/>
  <c r="O34" i="126" s="1"/>
  <c r="D36" i="130"/>
  <c r="N36" i="130" s="1"/>
  <c r="O36" i="130" s="1"/>
  <c r="D58" i="130"/>
  <c r="N58" i="130" s="1"/>
  <c r="O58" i="130" s="1"/>
  <c r="D32" i="127"/>
  <c r="N32" i="127" s="1"/>
  <c r="O32" i="127" s="1"/>
  <c r="D33" i="127"/>
  <c r="N33" i="127" s="1"/>
  <c r="O33" i="127" s="1"/>
  <c r="L54" i="127"/>
  <c r="O54" i="127" s="1"/>
  <c r="L33" i="119"/>
  <c r="O33" i="119" s="1"/>
  <c r="L40" i="130"/>
  <c r="O40" i="130" s="1"/>
  <c r="D25" i="100"/>
  <c r="N25" i="100" s="1"/>
  <c r="O25" i="100" s="1"/>
  <c r="D50" i="127"/>
  <c r="O50" i="127" s="1"/>
  <c r="O65" i="127"/>
  <c r="L42" i="127"/>
  <c r="O42" i="127" s="1"/>
  <c r="D46" i="127"/>
  <c r="N46" i="127" s="1"/>
  <c r="O46" i="127" s="1"/>
  <c r="D37" i="129"/>
  <c r="N37" i="129" s="1"/>
  <c r="O37" i="129" s="1"/>
  <c r="D51" i="126"/>
  <c r="N51" i="126" s="1"/>
  <c r="O51" i="126" s="1"/>
  <c r="D44" i="126"/>
  <c r="O44" i="126" s="1"/>
  <c r="D36" i="119"/>
  <c r="M36" i="119" s="1"/>
  <c r="M54" i="119" s="1"/>
  <c r="M56" i="119" s="1"/>
  <c r="D27" i="119"/>
  <c r="N27" i="119" s="1"/>
  <c r="D48" i="119"/>
  <c r="N48" i="119" s="1"/>
  <c r="O48" i="119" s="1"/>
  <c r="D37" i="119"/>
  <c r="N37" i="119" s="1"/>
  <c r="O37" i="119" s="1"/>
  <c r="D56" i="34"/>
  <c r="N56" i="34" s="1"/>
  <c r="O56" i="34" s="1"/>
  <c r="D50" i="100"/>
  <c r="N50" i="100" s="1"/>
  <c r="O50" i="100" s="1"/>
  <c r="D58" i="129"/>
  <c r="N58" i="129" s="1"/>
  <c r="O58" i="129" s="1"/>
  <c r="D56" i="130"/>
  <c r="N56" i="130" s="1"/>
  <c r="O56" i="130" s="1"/>
  <c r="D28" i="119"/>
  <c r="N28" i="119" s="1"/>
  <c r="O28" i="119" s="1"/>
  <c r="L34" i="119"/>
  <c r="O34" i="119" s="1"/>
  <c r="D26" i="119"/>
  <c r="N21" i="119"/>
  <c r="D44" i="119" s="1"/>
  <c r="N44" i="119" s="1"/>
  <c r="O44" i="119" s="1"/>
  <c r="L41" i="129"/>
  <c r="O41" i="129" s="1"/>
  <c r="J40" i="129"/>
  <c r="J33" i="126"/>
  <c r="J46" i="136"/>
  <c r="N49" i="136"/>
  <c r="O49" i="136" s="1"/>
  <c r="N48" i="136"/>
  <c r="O48" i="136" s="1"/>
  <c r="D14" i="136"/>
  <c r="D15" i="136"/>
  <c r="D35" i="136"/>
  <c r="N35" i="136" s="1"/>
  <c r="O35" i="136" s="1"/>
  <c r="D42" i="136"/>
  <c r="N42" i="136" s="1"/>
  <c r="O42" i="136" s="1"/>
  <c r="D16" i="136"/>
  <c r="D53" i="136" s="1"/>
  <c r="N53" i="136" s="1"/>
  <c r="O53" i="136" s="1"/>
  <c r="I15" i="136"/>
  <c r="D17" i="136"/>
  <c r="D33" i="136"/>
  <c r="N33" i="136" s="1"/>
  <c r="O33" i="136" s="1"/>
  <c r="D40" i="136"/>
  <c r="M40" i="136" s="1"/>
  <c r="O40" i="136" s="1"/>
  <c r="N51" i="136"/>
  <c r="O51" i="136" s="1"/>
  <c r="D36" i="136"/>
  <c r="N36" i="136" s="1"/>
  <c r="O36" i="136" s="1"/>
  <c r="D39" i="136"/>
  <c r="D50" i="136"/>
  <c r="N50" i="136" s="1"/>
  <c r="O50" i="136" s="1"/>
  <c r="D52" i="136"/>
  <c r="N52" i="136" s="1"/>
  <c r="O52" i="136" s="1"/>
  <c r="D28" i="133"/>
  <c r="N28" i="133" s="1"/>
  <c r="O28" i="133" s="1"/>
  <c r="D46" i="133"/>
  <c r="N46" i="133" s="1"/>
  <c r="O46" i="133" s="1"/>
  <c r="D32" i="133"/>
  <c r="N32" i="133" s="1"/>
  <c r="O32" i="133" s="1"/>
  <c r="D30" i="133"/>
  <c r="N30" i="133" s="1"/>
  <c r="O30" i="133" s="1"/>
  <c r="D48" i="133"/>
  <c r="N48" i="133" s="1"/>
  <c r="O48" i="133" s="1"/>
  <c r="J43" i="133"/>
  <c r="C11" i="133"/>
  <c r="O21" i="133"/>
  <c r="N41" i="133"/>
  <c r="O41" i="133" s="1"/>
  <c r="N44" i="133"/>
  <c r="O44" i="133" s="1"/>
  <c r="D22" i="133"/>
  <c r="N22" i="133" s="1"/>
  <c r="O22" i="133" s="1"/>
  <c r="D23" i="133"/>
  <c r="N23" i="133" s="1"/>
  <c r="O23" i="133" s="1"/>
  <c r="D29" i="133"/>
  <c r="N29" i="133" s="1"/>
  <c r="O29" i="133" s="1"/>
  <c r="D31" i="133"/>
  <c r="N31" i="133" s="1"/>
  <c r="O31" i="133" s="1"/>
  <c r="D33" i="133"/>
  <c r="N33" i="133" s="1"/>
  <c r="O33" i="133" s="1"/>
  <c r="D36" i="133"/>
  <c r="M36" i="133" s="1"/>
  <c r="D45" i="133"/>
  <c r="N45" i="133" s="1"/>
  <c r="O45" i="133" s="1"/>
  <c r="D47" i="133"/>
  <c r="N47" i="133" s="1"/>
  <c r="O47" i="133" s="1"/>
  <c r="N42" i="132"/>
  <c r="O42" i="132" s="1"/>
  <c r="N41" i="132"/>
  <c r="O41" i="132" s="1"/>
  <c r="D27" i="132"/>
  <c r="N27" i="132" s="1"/>
  <c r="O27" i="132" s="1"/>
  <c r="D31" i="132"/>
  <c r="N31" i="132" s="1"/>
  <c r="O31" i="132" s="1"/>
  <c r="N20" i="132"/>
  <c r="O20" i="132" s="1"/>
  <c r="D25" i="132"/>
  <c r="N25" i="132" s="1"/>
  <c r="O25" i="132" s="1"/>
  <c r="O19" i="132"/>
  <c r="D36" i="132"/>
  <c r="N36" i="132" s="1"/>
  <c r="O36" i="132" s="1"/>
  <c r="D45" i="132"/>
  <c r="N45" i="132" s="1"/>
  <c r="O45" i="132" s="1"/>
  <c r="D26" i="132"/>
  <c r="N26" i="132" s="1"/>
  <c r="O26" i="132" s="1"/>
  <c r="D28" i="132"/>
  <c r="N28" i="132" s="1"/>
  <c r="O28" i="132" s="1"/>
  <c r="D43" i="132"/>
  <c r="N43" i="132" s="1"/>
  <c r="O43" i="132" s="1"/>
  <c r="D34" i="132"/>
  <c r="M34" i="132" s="1"/>
  <c r="J47" i="131"/>
  <c r="D37" i="131"/>
  <c r="N37" i="131" s="1"/>
  <c r="O37" i="131" s="1"/>
  <c r="D33" i="131"/>
  <c r="N33" i="131" s="1"/>
  <c r="O33" i="131" s="1"/>
  <c r="J48" i="131"/>
  <c r="D31" i="131"/>
  <c r="N31" i="131" s="1"/>
  <c r="O31" i="131" s="1"/>
  <c r="D35" i="131"/>
  <c r="N35" i="131" s="1"/>
  <c r="O35" i="131" s="1"/>
  <c r="J45" i="131"/>
  <c r="O25" i="131"/>
  <c r="D42" i="131"/>
  <c r="N42" i="131" s="1"/>
  <c r="O42" i="131" s="1"/>
  <c r="D51" i="131"/>
  <c r="N51" i="131" s="1"/>
  <c r="O51" i="131" s="1"/>
  <c r="D26" i="131"/>
  <c r="N26" i="131" s="1"/>
  <c r="O26" i="131" s="1"/>
  <c r="D32" i="131"/>
  <c r="N32" i="131" s="1"/>
  <c r="O32" i="131" s="1"/>
  <c r="D34" i="131"/>
  <c r="N34" i="131" s="1"/>
  <c r="O34" i="131" s="1"/>
  <c r="D49" i="131"/>
  <c r="N49" i="131" s="1"/>
  <c r="O49" i="131" s="1"/>
  <c r="M40" i="131"/>
  <c r="C10" i="130"/>
  <c r="N53" i="130"/>
  <c r="O53" i="130" s="1"/>
  <c r="L55" i="130"/>
  <c r="O55" i="130" s="1"/>
  <c r="D57" i="130"/>
  <c r="N57" i="130" s="1"/>
  <c r="O57" i="130" s="1"/>
  <c r="I15" i="130"/>
  <c r="D42" i="130"/>
  <c r="D33" i="130"/>
  <c r="D34" i="130" s="1"/>
  <c r="D51" i="130" s="1"/>
  <c r="O51" i="130" s="1"/>
  <c r="D35" i="130"/>
  <c r="N35" i="130" s="1"/>
  <c r="O35" i="130" s="1"/>
  <c r="L41" i="130"/>
  <c r="O41" i="130" s="1"/>
  <c r="D43" i="130"/>
  <c r="M43" i="130" s="1"/>
  <c r="D57" i="129"/>
  <c r="N57" i="129" s="1"/>
  <c r="O57" i="129" s="1"/>
  <c r="D59" i="129"/>
  <c r="N59" i="129" s="1"/>
  <c r="O59" i="129" s="1"/>
  <c r="D34" i="129"/>
  <c r="D35" i="129" s="1"/>
  <c r="D52" i="129" s="1"/>
  <c r="O52" i="129" s="1"/>
  <c r="D36" i="129"/>
  <c r="N36" i="129" s="1"/>
  <c r="O36" i="129" s="1"/>
  <c r="L42" i="129"/>
  <c r="O42" i="129" s="1"/>
  <c r="D44" i="129"/>
  <c r="M44" i="129" s="1"/>
  <c r="D43" i="40"/>
  <c r="I15" i="40"/>
  <c r="L42" i="40"/>
  <c r="O42" i="40" s="1"/>
  <c r="D46" i="40"/>
  <c r="N46" i="40" s="1"/>
  <c r="O46" i="40" s="1"/>
  <c r="D57" i="40"/>
  <c r="N57" i="40" s="1"/>
  <c r="O57" i="40" s="1"/>
  <c r="D34" i="40"/>
  <c r="D35" i="40" s="1"/>
  <c r="D52" i="40" s="1"/>
  <c r="O52" i="40" s="1"/>
  <c r="D58" i="40"/>
  <c r="N58" i="40" s="1"/>
  <c r="O58" i="40" s="1"/>
  <c r="D36" i="40"/>
  <c r="D37" i="40"/>
  <c r="N37" i="40" s="1"/>
  <c r="O37" i="40" s="1"/>
  <c r="J50" i="40"/>
  <c r="O21" i="119"/>
  <c r="N52" i="127"/>
  <c r="O52" i="127" s="1"/>
  <c r="J49" i="127"/>
  <c r="D40" i="126"/>
  <c r="N40" i="126" s="1"/>
  <c r="O40" i="126" s="1"/>
  <c r="D49" i="126"/>
  <c r="N49" i="126" s="1"/>
  <c r="O49" i="126" s="1"/>
  <c r="L36" i="126"/>
  <c r="O36" i="126" s="1"/>
  <c r="N25" i="126"/>
  <c r="L48" i="126"/>
  <c r="O48" i="126" s="1"/>
  <c r="D29" i="126"/>
  <c r="N29" i="126" s="1"/>
  <c r="O29" i="126" s="1"/>
  <c r="D31" i="126"/>
  <c r="N31" i="126" s="1"/>
  <c r="O31" i="126" s="1"/>
  <c r="D28" i="126"/>
  <c r="N28" i="126" s="1"/>
  <c r="O28" i="126" s="1"/>
  <c r="D26" i="126"/>
  <c r="N26" i="126" s="1"/>
  <c r="O26" i="126" s="1"/>
  <c r="D38" i="126"/>
  <c r="M38" i="126" s="1"/>
  <c r="M54" i="126" s="1"/>
  <c r="O20" i="126"/>
  <c r="J46" i="100"/>
  <c r="N31" i="100"/>
  <c r="O31" i="100" s="1"/>
  <c r="L35" i="100"/>
  <c r="O35" i="100" s="1"/>
  <c r="D39" i="100"/>
  <c r="N39" i="100" s="1"/>
  <c r="O39" i="100" s="1"/>
  <c r="D43" i="100"/>
  <c r="O43" i="100" s="1"/>
  <c r="J20" i="100"/>
  <c r="L34" i="100"/>
  <c r="O34" i="100" s="1"/>
  <c r="D48" i="100"/>
  <c r="N48" i="100" s="1"/>
  <c r="O48" i="100" s="1"/>
  <c r="D37" i="100"/>
  <c r="M37" i="100" s="1"/>
  <c r="M53" i="100" s="1"/>
  <c r="L47" i="100"/>
  <c r="O47" i="100" s="1"/>
  <c r="N20" i="100"/>
  <c r="D35" i="34"/>
  <c r="N35" i="34" s="1"/>
  <c r="O35" i="34" s="1"/>
  <c r="D32" i="34"/>
  <c r="N32" i="34" s="1"/>
  <c r="O32" i="34" s="1"/>
  <c r="D26" i="34"/>
  <c r="N26" i="34" s="1"/>
  <c r="D33" i="34"/>
  <c r="N33" i="34" s="1"/>
  <c r="O33" i="34" s="1"/>
  <c r="D54" i="34"/>
  <c r="N54" i="34" s="1"/>
  <c r="O54" i="34" s="1"/>
  <c r="L39" i="34"/>
  <c r="L41" i="34"/>
  <c r="O41" i="34" s="1"/>
  <c r="L53" i="34"/>
  <c r="O53" i="34" s="1"/>
  <c r="D45" i="34"/>
  <c r="N45" i="34" s="1"/>
  <c r="O45" i="34" s="1"/>
  <c r="D43" i="34"/>
  <c r="M43" i="34" s="1"/>
  <c r="M59" i="34" s="1"/>
  <c r="O64" i="34"/>
  <c r="O39" i="146" l="1"/>
  <c r="O56" i="146" s="1"/>
  <c r="O58" i="146" s="1"/>
  <c r="O65" i="146" s="1"/>
  <c r="O39" i="154"/>
  <c r="O56" i="154" s="1"/>
  <c r="O58" i="154" s="1"/>
  <c r="O61" i="154" s="1"/>
  <c r="N56" i="154"/>
  <c r="N58" i="154" s="1"/>
  <c r="D16" i="40"/>
  <c r="C18" i="40"/>
  <c r="D18" i="40" s="1"/>
  <c r="O38" i="151"/>
  <c r="O56" i="151" s="1"/>
  <c r="N56" i="151"/>
  <c r="N58" i="151" s="1"/>
  <c r="O38" i="153"/>
  <c r="O56" i="153" s="1"/>
  <c r="N56" i="153"/>
  <c r="N58" i="153" s="1"/>
  <c r="O38" i="152"/>
  <c r="O56" i="152" s="1"/>
  <c r="N56" i="152"/>
  <c r="N58" i="152" s="1"/>
  <c r="I25" i="136"/>
  <c r="J25" i="136" s="1"/>
  <c r="D41" i="136"/>
  <c r="C18" i="129"/>
  <c r="D18" i="129" s="1"/>
  <c r="D15" i="40"/>
  <c r="D14" i="40"/>
  <c r="D28" i="40" s="1"/>
  <c r="O61" i="146"/>
  <c r="O38" i="147"/>
  <c r="O56" i="147" s="1"/>
  <c r="N56" i="147"/>
  <c r="N58" i="147" s="1"/>
  <c r="O38" i="149"/>
  <c r="O56" i="149" s="1"/>
  <c r="N56" i="149"/>
  <c r="N58" i="149" s="1"/>
  <c r="O38" i="148"/>
  <c r="O56" i="148" s="1"/>
  <c r="N56" i="148"/>
  <c r="N58" i="148" s="1"/>
  <c r="D19" i="40"/>
  <c r="O38" i="145"/>
  <c r="O56" i="145" s="1"/>
  <c r="N56" i="145"/>
  <c r="N58" i="145" s="1"/>
  <c r="O38" i="144"/>
  <c r="O56" i="144" s="1"/>
  <c r="N56" i="144"/>
  <c r="N58" i="144" s="1"/>
  <c r="D18" i="136"/>
  <c r="D28" i="136" s="1"/>
  <c r="N28" i="136" s="1"/>
  <c r="O28" i="136" s="1"/>
  <c r="D14" i="130"/>
  <c r="D44" i="130" s="1"/>
  <c r="D27" i="136"/>
  <c r="D14" i="139"/>
  <c r="D16" i="139"/>
  <c r="D15" i="139"/>
  <c r="D17" i="142"/>
  <c r="D19" i="142"/>
  <c r="D15" i="142"/>
  <c r="D16" i="142"/>
  <c r="D14" i="142"/>
  <c r="D15" i="129"/>
  <c r="D28" i="129" s="1"/>
  <c r="D19" i="129"/>
  <c r="D17" i="129"/>
  <c r="D16" i="129"/>
  <c r="D60" i="129" s="1"/>
  <c r="N60" i="129" s="1"/>
  <c r="O60" i="129" s="1"/>
  <c r="D19" i="141"/>
  <c r="D14" i="141"/>
  <c r="D15" i="141"/>
  <c r="D16" i="141"/>
  <c r="D17" i="141"/>
  <c r="D15" i="130"/>
  <c r="D16" i="130"/>
  <c r="D59" i="130" s="1"/>
  <c r="N59" i="130" s="1"/>
  <c r="O59" i="130" s="1"/>
  <c r="D14" i="138"/>
  <c r="D16" i="138"/>
  <c r="D15" i="138"/>
  <c r="D17" i="130"/>
  <c r="D18" i="142"/>
  <c r="D34" i="136"/>
  <c r="N34" i="136" s="1"/>
  <c r="L31" i="119"/>
  <c r="O31" i="119" s="1"/>
  <c r="N35" i="133"/>
  <c r="O35" i="133" s="1"/>
  <c r="O40" i="141"/>
  <c r="N42" i="130"/>
  <c r="O42" i="130" s="1"/>
  <c r="N39" i="136"/>
  <c r="O39" i="136" s="1"/>
  <c r="O22" i="37"/>
  <c r="O23" i="37" s="1"/>
  <c r="N23" i="37"/>
  <c r="D41" i="37" s="1"/>
  <c r="N41" i="37" s="1"/>
  <c r="O41" i="37" s="1"/>
  <c r="O21" i="126"/>
  <c r="N27" i="127"/>
  <c r="O37" i="140"/>
  <c r="O60" i="140" s="1"/>
  <c r="O62" i="140" s="1"/>
  <c r="N60" i="140"/>
  <c r="N62" i="140" s="1"/>
  <c r="L62" i="130"/>
  <c r="L64" i="130" s="1"/>
  <c r="O71" i="130" s="1"/>
  <c r="L60" i="127"/>
  <c r="L62" i="127" s="1"/>
  <c r="O70" i="127" s="1"/>
  <c r="L56" i="138"/>
  <c r="L58" i="138" s="1"/>
  <c r="O65" i="138" s="1"/>
  <c r="O29" i="139"/>
  <c r="O29" i="138"/>
  <c r="N38" i="128"/>
  <c r="O38" i="128" s="1"/>
  <c r="N34" i="130"/>
  <c r="O34" i="130" s="1"/>
  <c r="O39" i="128"/>
  <c r="D40" i="119"/>
  <c r="N40" i="119" s="1"/>
  <c r="O40" i="119" s="1"/>
  <c r="N43" i="129"/>
  <c r="O43" i="129" s="1"/>
  <c r="D39" i="119"/>
  <c r="N39" i="119" s="1"/>
  <c r="O39" i="119" s="1"/>
  <c r="N43" i="40"/>
  <c r="O43" i="40" s="1"/>
  <c r="O39" i="127"/>
  <c r="D37" i="136"/>
  <c r="N37" i="136" s="1"/>
  <c r="O37" i="136" s="1"/>
  <c r="L56" i="128"/>
  <c r="L58" i="128" s="1"/>
  <c r="O66" i="128" s="1"/>
  <c r="O38" i="37"/>
  <c r="N22" i="128"/>
  <c r="O22" i="128" s="1"/>
  <c r="L40" i="129"/>
  <c r="L63" i="129" s="1"/>
  <c r="L65" i="129" s="1"/>
  <c r="O72" i="129" s="1"/>
  <c r="D30" i="119"/>
  <c r="N30" i="119" s="1"/>
  <c r="O30" i="119" s="1"/>
  <c r="N35" i="40"/>
  <c r="O35" i="40" s="1"/>
  <c r="D41" i="126"/>
  <c r="N41" i="126" s="1"/>
  <c r="O41" i="126" s="1"/>
  <c r="O36" i="119"/>
  <c r="N35" i="129"/>
  <c r="O35" i="129" s="1"/>
  <c r="L33" i="100"/>
  <c r="M60" i="127"/>
  <c r="M62" i="127" s="1"/>
  <c r="L33" i="126"/>
  <c r="D32" i="126"/>
  <c r="N32" i="126" s="1"/>
  <c r="O32" i="126" s="1"/>
  <c r="D45" i="126"/>
  <c r="N45" i="126" s="1"/>
  <c r="O45" i="126" s="1"/>
  <c r="D29" i="119"/>
  <c r="N29" i="119" s="1"/>
  <c r="O29" i="119" s="1"/>
  <c r="L59" i="34"/>
  <c r="L61" i="34" s="1"/>
  <c r="O69" i="34" s="1"/>
  <c r="D42" i="126"/>
  <c r="N42" i="126" s="1"/>
  <c r="O42" i="126" s="1"/>
  <c r="O25" i="126"/>
  <c r="D37" i="130"/>
  <c r="N37" i="130" s="1"/>
  <c r="O37" i="130" s="1"/>
  <c r="N21" i="132"/>
  <c r="D37" i="132" s="1"/>
  <c r="N37" i="132" s="1"/>
  <c r="O37" i="132" s="1"/>
  <c r="D43" i="119"/>
  <c r="O43" i="119" s="1"/>
  <c r="N26" i="119"/>
  <c r="O26" i="119" s="1"/>
  <c r="D27" i="40"/>
  <c r="D60" i="40"/>
  <c r="N60" i="40" s="1"/>
  <c r="O60" i="40" s="1"/>
  <c r="D42" i="119"/>
  <c r="O42" i="119" s="1"/>
  <c r="N25" i="119"/>
  <c r="O40" i="40"/>
  <c r="L63" i="40"/>
  <c r="L65" i="40" s="1"/>
  <c r="O72" i="40" s="1"/>
  <c r="D26" i="136"/>
  <c r="L56" i="136"/>
  <c r="L58" i="136" s="1"/>
  <c r="O65" i="136" s="1"/>
  <c r="L53" i="133"/>
  <c r="O61" i="133" s="1"/>
  <c r="O24" i="133"/>
  <c r="O36" i="133"/>
  <c r="M51" i="133"/>
  <c r="M53" i="133" s="1"/>
  <c r="N24" i="133"/>
  <c r="O21" i="132"/>
  <c r="O34" i="132"/>
  <c r="M48" i="132"/>
  <c r="M50" i="132" s="1"/>
  <c r="N27" i="131"/>
  <c r="D38" i="131" s="1"/>
  <c r="N38" i="131" s="1"/>
  <c r="O38" i="131" s="1"/>
  <c r="O40" i="131"/>
  <c r="M54" i="131"/>
  <c r="M56" i="131" s="1"/>
  <c r="L54" i="131"/>
  <c r="L56" i="131" s="1"/>
  <c r="O64" i="131" s="1"/>
  <c r="O27" i="131"/>
  <c r="O59" i="131"/>
  <c r="O39" i="130"/>
  <c r="D50" i="130"/>
  <c r="O50" i="130" s="1"/>
  <c r="N33" i="130"/>
  <c r="O43" i="130"/>
  <c r="D51" i="129"/>
  <c r="O51" i="129" s="1"/>
  <c r="N34" i="129"/>
  <c r="D38" i="129"/>
  <c r="N38" i="129" s="1"/>
  <c r="O38" i="129" s="1"/>
  <c r="O44" i="129"/>
  <c r="D38" i="40"/>
  <c r="N38" i="40" s="1"/>
  <c r="O38" i="40" s="1"/>
  <c r="N36" i="40"/>
  <c r="O36" i="40" s="1"/>
  <c r="N34" i="40"/>
  <c r="O34" i="40" s="1"/>
  <c r="D51" i="40"/>
  <c r="O51" i="40" s="1"/>
  <c r="O27" i="119"/>
  <c r="L34" i="37"/>
  <c r="L55" i="37" s="1"/>
  <c r="J34" i="37"/>
  <c r="O38" i="126"/>
  <c r="M56" i="126"/>
  <c r="O20" i="100"/>
  <c r="O21" i="100" s="1"/>
  <c r="N21" i="100"/>
  <c r="D30" i="100" s="1"/>
  <c r="O37" i="100"/>
  <c r="M55" i="100"/>
  <c r="O43" i="34"/>
  <c r="M61" i="34"/>
  <c r="O39" i="34"/>
  <c r="N27" i="34"/>
  <c r="O26" i="34"/>
  <c r="O27" i="34" s="1"/>
  <c r="O63" i="146" l="1"/>
  <c r="D29" i="40"/>
  <c r="N29" i="40" s="1"/>
  <c r="O29" i="40" s="1"/>
  <c r="M45" i="129"/>
  <c r="O45" i="129" s="1"/>
  <c r="N28" i="129"/>
  <c r="O63" i="154"/>
  <c r="O65" i="154"/>
  <c r="O61" i="152"/>
  <c r="O58" i="152"/>
  <c r="O61" i="153"/>
  <c r="O58" i="153"/>
  <c r="O61" i="151"/>
  <c r="O58" i="151"/>
  <c r="O58" i="148"/>
  <c r="O61" i="148"/>
  <c r="O58" i="147"/>
  <c r="O61" i="147"/>
  <c r="O61" i="149"/>
  <c r="O58" i="149"/>
  <c r="O58" i="144"/>
  <c r="O61" i="144"/>
  <c r="O61" i="145"/>
  <c r="O58" i="145"/>
  <c r="D27" i="130"/>
  <c r="M44" i="130" s="1"/>
  <c r="D29" i="129"/>
  <c r="N29" i="129" s="1"/>
  <c r="O29" i="129" s="1"/>
  <c r="N27" i="136"/>
  <c r="O27" i="136" s="1"/>
  <c r="M41" i="136"/>
  <c r="O41" i="136" s="1"/>
  <c r="I25" i="130"/>
  <c r="N25" i="130" s="1"/>
  <c r="O25" i="130" s="1"/>
  <c r="D47" i="40"/>
  <c r="N47" i="40" s="1"/>
  <c r="O47" i="40" s="1"/>
  <c r="M45" i="40"/>
  <c r="O45" i="40" s="1"/>
  <c r="D29" i="142"/>
  <c r="N29" i="142" s="1"/>
  <c r="O29" i="142" s="1"/>
  <c r="D29" i="141"/>
  <c r="N29" i="141" s="1"/>
  <c r="O29" i="141" s="1"/>
  <c r="D18" i="130"/>
  <c r="D28" i="130" s="1"/>
  <c r="N28" i="130" s="1"/>
  <c r="O28" i="130" s="1"/>
  <c r="D26" i="130"/>
  <c r="D27" i="129"/>
  <c r="N28" i="40"/>
  <c r="N30" i="40" s="1"/>
  <c r="D48" i="40" s="1"/>
  <c r="D43" i="136"/>
  <c r="N43" i="136" s="1"/>
  <c r="O43" i="136" s="1"/>
  <c r="D28" i="142"/>
  <c r="D28" i="141"/>
  <c r="D53" i="138"/>
  <c r="N53" i="138" s="1"/>
  <c r="O53" i="138" s="1"/>
  <c r="D24" i="138"/>
  <c r="N24" i="138" s="1"/>
  <c r="D54" i="141"/>
  <c r="N54" i="141" s="1"/>
  <c r="O54" i="141" s="1"/>
  <c r="D27" i="141"/>
  <c r="D53" i="139"/>
  <c r="N53" i="139" s="1"/>
  <c r="O53" i="139" s="1"/>
  <c r="D24" i="139"/>
  <c r="N24" i="139" s="1"/>
  <c r="D54" i="142"/>
  <c r="N54" i="142" s="1"/>
  <c r="O54" i="142" s="1"/>
  <c r="D27" i="142"/>
  <c r="D38" i="127"/>
  <c r="N38" i="127" s="1"/>
  <c r="O38" i="127" s="1"/>
  <c r="D36" i="127"/>
  <c r="N36" i="127" s="1"/>
  <c r="O36" i="127" s="1"/>
  <c r="D51" i="127"/>
  <c r="N51" i="127" s="1"/>
  <c r="O51" i="127" s="1"/>
  <c r="N25" i="136"/>
  <c r="D47" i="129"/>
  <c r="N47" i="129" s="1"/>
  <c r="O47" i="129" s="1"/>
  <c r="O28" i="129"/>
  <c r="D48" i="127"/>
  <c r="N48" i="127" s="1"/>
  <c r="O48" i="127" s="1"/>
  <c r="L54" i="119"/>
  <c r="L56" i="119" s="1"/>
  <c r="D47" i="127"/>
  <c r="N47" i="127" s="1"/>
  <c r="O47" i="127" s="1"/>
  <c r="O67" i="140"/>
  <c r="O69" i="140"/>
  <c r="D30" i="132"/>
  <c r="N30" i="132" s="1"/>
  <c r="O30" i="132" s="1"/>
  <c r="L53" i="100"/>
  <c r="L55" i="100" s="1"/>
  <c r="O62" i="100" s="1"/>
  <c r="D43" i="131"/>
  <c r="N43" i="131" s="1"/>
  <c r="O43" i="131" s="1"/>
  <c r="O40" i="129"/>
  <c r="D45" i="37"/>
  <c r="N45" i="37" s="1"/>
  <c r="O45" i="37" s="1"/>
  <c r="D33" i="37"/>
  <c r="N33" i="37" s="1"/>
  <c r="O33" i="37" s="1"/>
  <c r="D44" i="131"/>
  <c r="N44" i="131" s="1"/>
  <c r="O44" i="131" s="1"/>
  <c r="O33" i="100"/>
  <c r="D42" i="37"/>
  <c r="N42" i="37" s="1"/>
  <c r="O42" i="37" s="1"/>
  <c r="O23" i="128"/>
  <c r="N23" i="128"/>
  <c r="L54" i="126"/>
  <c r="L56" i="126" s="1"/>
  <c r="O64" i="126" s="1"/>
  <c r="O33" i="126"/>
  <c r="O54" i="126" s="1"/>
  <c r="O56" i="126" s="1"/>
  <c r="O63" i="126" s="1"/>
  <c r="N54" i="126"/>
  <c r="N56" i="126" s="1"/>
  <c r="D32" i="132"/>
  <c r="N32" i="132" s="1"/>
  <c r="O32" i="132" s="1"/>
  <c r="D40" i="132"/>
  <c r="N40" i="132" s="1"/>
  <c r="O40" i="132" s="1"/>
  <c r="O25" i="119"/>
  <c r="O54" i="119" s="1"/>
  <c r="O56" i="119" s="1"/>
  <c r="N54" i="119"/>
  <c r="N56" i="119" s="1"/>
  <c r="D38" i="132"/>
  <c r="N38" i="132" s="1"/>
  <c r="O38" i="132" s="1"/>
  <c r="O34" i="136"/>
  <c r="D34" i="133"/>
  <c r="N34" i="133" s="1"/>
  <c r="D40" i="133"/>
  <c r="N40" i="133" s="1"/>
  <c r="O40" i="133" s="1"/>
  <c r="D42" i="133"/>
  <c r="N42" i="133" s="1"/>
  <c r="O42" i="133" s="1"/>
  <c r="D39" i="133"/>
  <c r="N39" i="133" s="1"/>
  <c r="O39" i="133" s="1"/>
  <c r="L48" i="132"/>
  <c r="L50" i="132" s="1"/>
  <c r="O57" i="132" s="1"/>
  <c r="D46" i="131"/>
  <c r="N46" i="131" s="1"/>
  <c r="O46" i="131" s="1"/>
  <c r="D36" i="131"/>
  <c r="N36" i="131" s="1"/>
  <c r="O36" i="131" s="1"/>
  <c r="O33" i="130"/>
  <c r="O34" i="129"/>
  <c r="O34" i="37"/>
  <c r="L57" i="37"/>
  <c r="O65" i="37" s="1"/>
  <c r="D41" i="100"/>
  <c r="N41" i="100" s="1"/>
  <c r="O41" i="100" s="1"/>
  <c r="N30" i="100"/>
  <c r="D40" i="100"/>
  <c r="N40" i="100" s="1"/>
  <c r="O40" i="100" s="1"/>
  <c r="D44" i="100"/>
  <c r="N44" i="100" s="1"/>
  <c r="O44" i="100" s="1"/>
  <c r="D32" i="100"/>
  <c r="N32" i="100" s="1"/>
  <c r="O32" i="100" s="1"/>
  <c r="D50" i="34"/>
  <c r="N50" i="34" s="1"/>
  <c r="O50" i="34" s="1"/>
  <c r="D47" i="34"/>
  <c r="N47" i="34" s="1"/>
  <c r="O47" i="34" s="1"/>
  <c r="D46" i="34"/>
  <c r="N46" i="34" s="1"/>
  <c r="O46" i="34" s="1"/>
  <c r="D36" i="34"/>
  <c r="N36" i="34" s="1"/>
  <c r="D38" i="34"/>
  <c r="N38" i="34" s="1"/>
  <c r="O38" i="34" s="1"/>
  <c r="M63" i="129" l="1"/>
  <c r="M65" i="129" s="1"/>
  <c r="O63" i="151"/>
  <c r="O65" i="151"/>
  <c r="O63" i="153"/>
  <c r="O65" i="153"/>
  <c r="O63" i="152"/>
  <c r="O65" i="152"/>
  <c r="O65" i="149"/>
  <c r="O63" i="149"/>
  <c r="O65" i="147"/>
  <c r="O63" i="147"/>
  <c r="O65" i="148"/>
  <c r="O63" i="148"/>
  <c r="M56" i="136"/>
  <c r="M58" i="136" s="1"/>
  <c r="O65" i="145"/>
  <c r="O63" i="145"/>
  <c r="O63" i="144"/>
  <c r="O65" i="144"/>
  <c r="N27" i="130"/>
  <c r="O27" i="130" s="1"/>
  <c r="O29" i="130" s="1"/>
  <c r="D46" i="130"/>
  <c r="N46" i="130" s="1"/>
  <c r="O46" i="130" s="1"/>
  <c r="J25" i="130"/>
  <c r="N29" i="136"/>
  <c r="D44" i="136" s="1"/>
  <c r="D44" i="141"/>
  <c r="N44" i="141" s="1"/>
  <c r="O44" i="141" s="1"/>
  <c r="D42" i="141"/>
  <c r="M42" i="141" s="1"/>
  <c r="D44" i="142"/>
  <c r="N44" i="142" s="1"/>
  <c r="O44" i="142" s="1"/>
  <c r="D42" i="142"/>
  <c r="M42" i="142" s="1"/>
  <c r="M63" i="40"/>
  <c r="M65" i="40" s="1"/>
  <c r="O25" i="136"/>
  <c r="O29" i="136" s="1"/>
  <c r="D49" i="40"/>
  <c r="O30" i="129"/>
  <c r="N49" i="40"/>
  <c r="O49" i="40" s="1"/>
  <c r="D39" i="40"/>
  <c r="N39" i="40" s="1"/>
  <c r="O39" i="40" s="1"/>
  <c r="N53" i="40"/>
  <c r="O53" i="40" s="1"/>
  <c r="D53" i="40"/>
  <c r="N48" i="40"/>
  <c r="O48" i="40" s="1"/>
  <c r="O28" i="40"/>
  <c r="O30" i="40" s="1"/>
  <c r="N28" i="142"/>
  <c r="O28" i="142" s="1"/>
  <c r="O30" i="142" s="1"/>
  <c r="O24" i="139"/>
  <c r="O25" i="139" s="1"/>
  <c r="N25" i="139"/>
  <c r="O24" i="138"/>
  <c r="O25" i="138" s="1"/>
  <c r="N25" i="138"/>
  <c r="N28" i="141"/>
  <c r="N30" i="129"/>
  <c r="N53" i="129" s="1"/>
  <c r="O53" i="129" s="1"/>
  <c r="O60" i="127"/>
  <c r="O62" i="127" s="1"/>
  <c r="O69" i="127" s="1"/>
  <c r="N60" i="127"/>
  <c r="N62" i="127" s="1"/>
  <c r="O44" i="130"/>
  <c r="M62" i="130"/>
  <c r="M64" i="130" s="1"/>
  <c r="O59" i="119"/>
  <c r="O61" i="119" s="1"/>
  <c r="N55" i="37"/>
  <c r="N57" i="37" s="1"/>
  <c r="D33" i="128"/>
  <c r="N33" i="128" s="1"/>
  <c r="D43" i="128"/>
  <c r="N43" i="128" s="1"/>
  <c r="O43" i="128" s="1"/>
  <c r="D46" i="128"/>
  <c r="N46" i="128" s="1"/>
  <c r="O46" i="128" s="1"/>
  <c r="D42" i="128"/>
  <c r="N42" i="128" s="1"/>
  <c r="O42" i="128" s="1"/>
  <c r="N48" i="132"/>
  <c r="N50" i="132" s="1"/>
  <c r="O48" i="132"/>
  <c r="O50" i="132" s="1"/>
  <c r="O52" i="132" s="1"/>
  <c r="O59" i="126"/>
  <c r="O61" i="126" s="1"/>
  <c r="N59" i="34"/>
  <c r="N61" i="34" s="1"/>
  <c r="O55" i="37"/>
  <c r="O60" i="37" s="1"/>
  <c r="N53" i="100"/>
  <c r="N55" i="100" s="1"/>
  <c r="O34" i="133"/>
  <c r="O51" i="133" s="1"/>
  <c r="N51" i="133"/>
  <c r="N53" i="133" s="1"/>
  <c r="O54" i="131"/>
  <c r="O56" i="131" s="1"/>
  <c r="O63" i="131" s="1"/>
  <c r="N54" i="131"/>
  <c r="N56" i="131" s="1"/>
  <c r="O63" i="119"/>
  <c r="O30" i="100"/>
  <c r="O36" i="34"/>
  <c r="N47" i="136" l="1"/>
  <c r="O47" i="136" s="1"/>
  <c r="N29" i="130"/>
  <c r="N48" i="130" s="1"/>
  <c r="O48" i="130" s="1"/>
  <c r="D38" i="136"/>
  <c r="N38" i="136" s="1"/>
  <c r="O38" i="136" s="1"/>
  <c r="D45" i="136"/>
  <c r="N44" i="136"/>
  <c r="O44" i="136" s="1"/>
  <c r="N45" i="136"/>
  <c r="O45" i="136" s="1"/>
  <c r="D47" i="136"/>
  <c r="O42" i="142"/>
  <c r="M57" i="142"/>
  <c r="M59" i="142" s="1"/>
  <c r="O42" i="141"/>
  <c r="M57" i="141"/>
  <c r="M59" i="141" s="1"/>
  <c r="N63" i="40"/>
  <c r="N65" i="40" s="1"/>
  <c r="N30" i="142"/>
  <c r="N46" i="142" s="1"/>
  <c r="O46" i="142" s="1"/>
  <c r="N41" i="138"/>
  <c r="O41" i="138" s="1"/>
  <c r="D42" i="138"/>
  <c r="D34" i="138"/>
  <c r="N34" i="138" s="1"/>
  <c r="D41" i="138"/>
  <c r="N42" i="138"/>
  <c r="O42" i="138" s="1"/>
  <c r="N46" i="138"/>
  <c r="O46" i="138" s="1"/>
  <c r="D46" i="138"/>
  <c r="D42" i="139"/>
  <c r="N46" i="139"/>
  <c r="O46" i="139" s="1"/>
  <c r="D41" i="139"/>
  <c r="D46" i="139"/>
  <c r="D34" i="139"/>
  <c r="N34" i="139" s="1"/>
  <c r="N41" i="139"/>
  <c r="O41" i="139" s="1"/>
  <c r="N42" i="139"/>
  <c r="O42" i="139" s="1"/>
  <c r="O28" i="141"/>
  <c r="O30" i="141" s="1"/>
  <c r="N30" i="141"/>
  <c r="D49" i="129"/>
  <c r="D48" i="129"/>
  <c r="D53" i="129"/>
  <c r="O67" i="127"/>
  <c r="D39" i="129"/>
  <c r="N39" i="129" s="1"/>
  <c r="O39" i="129" s="1"/>
  <c r="N49" i="129"/>
  <c r="O49" i="129" s="1"/>
  <c r="N48" i="129"/>
  <c r="O48" i="129" s="1"/>
  <c r="O54" i="132"/>
  <c r="O57" i="37"/>
  <c r="O62" i="37" s="1"/>
  <c r="O56" i="132"/>
  <c r="O33" i="128"/>
  <c r="O56" i="128" s="1"/>
  <c r="N56" i="128"/>
  <c r="N58" i="128" s="1"/>
  <c r="O59" i="34"/>
  <c r="O61" i="34" s="1"/>
  <c r="O56" i="133"/>
  <c r="O53" i="133"/>
  <c r="O61" i="131"/>
  <c r="O53" i="100"/>
  <c r="O55" i="100" s="1"/>
  <c r="O57" i="100" s="1"/>
  <c r="O63" i="40"/>
  <c r="O65" i="40" s="1"/>
  <c r="D52" i="130" l="1"/>
  <c r="N47" i="130"/>
  <c r="O47" i="130" s="1"/>
  <c r="D47" i="130"/>
  <c r="N52" i="130"/>
  <c r="O52" i="130" s="1"/>
  <c r="D38" i="130"/>
  <c r="N38" i="130" s="1"/>
  <c r="O38" i="130" s="1"/>
  <c r="D48" i="130"/>
  <c r="O56" i="136"/>
  <c r="O60" i="136" s="1"/>
  <c r="N56" i="136"/>
  <c r="N58" i="136" s="1"/>
  <c r="D39" i="142"/>
  <c r="N39" i="142" s="1"/>
  <c r="O39" i="142" s="1"/>
  <c r="D46" i="142"/>
  <c r="D48" i="142"/>
  <c r="N45" i="142"/>
  <c r="O45" i="142" s="1"/>
  <c r="D45" i="142"/>
  <c r="N48" i="142"/>
  <c r="O48" i="142" s="1"/>
  <c r="D39" i="141"/>
  <c r="N39" i="141" s="1"/>
  <c r="N48" i="141"/>
  <c r="O48" i="141" s="1"/>
  <c r="N46" i="141"/>
  <c r="O46" i="141" s="1"/>
  <c r="N45" i="141"/>
  <c r="O45" i="141" s="1"/>
  <c r="D48" i="141"/>
  <c r="D46" i="141"/>
  <c r="D45" i="141"/>
  <c r="O34" i="139"/>
  <c r="O56" i="139" s="1"/>
  <c r="N56" i="139"/>
  <c r="N58" i="139" s="1"/>
  <c r="O34" i="138"/>
  <c r="O56" i="138" s="1"/>
  <c r="N56" i="138"/>
  <c r="N58" i="138" s="1"/>
  <c r="O63" i="129"/>
  <c r="O65" i="129" s="1"/>
  <c r="N63" i="129"/>
  <c r="N65" i="129" s="1"/>
  <c r="O64" i="37"/>
  <c r="O61" i="128"/>
  <c r="O58" i="128"/>
  <c r="O68" i="34"/>
  <c r="O66" i="34"/>
  <c r="O58" i="133"/>
  <c r="O60" i="133"/>
  <c r="O61" i="100"/>
  <c r="O59" i="100"/>
  <c r="O67" i="40"/>
  <c r="O69" i="40" s="1"/>
  <c r="O71" i="40" s="1"/>
  <c r="O62" i="130" l="1"/>
  <c r="O64" i="130" s="1"/>
  <c r="N62" i="130"/>
  <c r="N64" i="130" s="1"/>
  <c r="O58" i="136"/>
  <c r="O62" i="136" s="1"/>
  <c r="O64" i="136" s="1"/>
  <c r="N57" i="142"/>
  <c r="N59" i="142" s="1"/>
  <c r="O57" i="142"/>
  <c r="O61" i="142" s="1"/>
  <c r="O58" i="138"/>
  <c r="O60" i="138"/>
  <c r="O39" i="141"/>
  <c r="O57" i="141" s="1"/>
  <c r="N57" i="141"/>
  <c r="N59" i="141" s="1"/>
  <c r="O60" i="139"/>
  <c r="O58" i="139"/>
  <c r="O67" i="129"/>
  <c r="O69" i="129" s="1"/>
  <c r="O71" i="129" s="1"/>
  <c r="O63" i="128"/>
  <c r="O65" i="128"/>
  <c r="O66" i="130" l="1"/>
  <c r="O68" i="130" s="1"/>
  <c r="O70" i="130" s="1"/>
  <c r="O59" i="142"/>
  <c r="O63" i="142" s="1"/>
  <c r="O65" i="142" s="1"/>
  <c r="O62" i="139"/>
  <c r="O64" i="139" s="1"/>
  <c r="O62" i="138"/>
  <c r="O64" i="138" s="1"/>
  <c r="O59" i="141"/>
  <c r="O61" i="141"/>
  <c r="O63" i="141" l="1"/>
  <c r="O65" i="1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4" authorId="0" shapeId="0" xr:uid="{00000000-0006-0000-0000-000001000000}">
      <text>
        <r>
          <rPr>
            <b/>
            <sz val="8"/>
            <color indexed="81"/>
            <rFont val="Tahoma"/>
            <family val="2"/>
          </rPr>
          <t xml:space="preserve">Enter the kW contract capacity for GS-2 and GS-3 services.  </t>
        </r>
      </text>
    </comment>
    <comment ref="F14" authorId="1" shapeId="0" xr:uid="{00000000-0006-0000-0000-000002000000}">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5" authorId="2" shapeId="0" xr:uid="{00000000-0006-0000-0000-00000300000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6" authorId="0" shapeId="0" xr:uid="{00000000-0006-0000-0000-000004000000}">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8" authorId="0" shapeId="0" xr:uid="{00000000-0006-0000-0000-000005000000}">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19" authorId="0" shapeId="0" xr:uid="{00000000-0006-0000-0000-000006000000}">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1" authorId="3" shapeId="0" xr:uid="{00000000-0006-0000-0000-000007000000}">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2" authorId="3" shapeId="0" xr:uid="{00000000-0006-0000-0000-000008000000}">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3" authorId="2" shapeId="0" xr:uid="{00000000-0006-0000-0000-000009000000}">
      <text>
        <r>
          <rPr>
            <b/>
            <sz val="8"/>
            <color indexed="81"/>
            <rFont val="Tahoma"/>
            <family val="2"/>
          </rPr>
          <t xml:space="preserve">GS-3 only - Enter the "Received" kWh (energy sent back to Ohio Power).
</t>
        </r>
      </text>
    </comment>
    <comment ref="A26" authorId="3" shapeId="0" xr:uid="{00000000-0006-0000-0000-00000A000000}">
      <text>
        <r>
          <rPr>
            <b/>
            <sz val="8"/>
            <color indexed="81"/>
            <rFont val="Tahoma"/>
            <family val="2"/>
          </rPr>
          <t>Enter highest kVAR demand.  GS-4 customers only.</t>
        </r>
        <r>
          <rPr>
            <sz val="8"/>
            <color indexed="81"/>
            <rFont val="Tahoma"/>
            <family val="2"/>
          </rPr>
          <t xml:space="preserve">
</t>
        </r>
      </text>
    </comment>
    <comment ref="A27" authorId="0" shapeId="0" xr:uid="{00000000-0006-0000-0000-00000B000000}">
      <text>
        <r>
          <rPr>
            <b/>
            <sz val="8"/>
            <color indexed="81"/>
            <rFont val="Tahoma"/>
            <family val="2"/>
          </rPr>
          <t xml:space="preserve">Enter the reactive hours, if measured.  It applies to GS2 and GS3.  If preferred, power factor can be entered in lieu below. </t>
        </r>
      </text>
    </comment>
    <comment ref="A29" authorId="0" shapeId="0" xr:uid="{00000000-0006-0000-0000-00000C000000}">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2" authorId="4" shapeId="0" xr:uid="{00000000-0006-0000-0000-00000D000000}">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3" authorId="3" shapeId="0" xr:uid="{00000000-0006-0000-0000-00000E000000}">
      <text>
        <r>
          <rPr>
            <b/>
            <sz val="8"/>
            <color indexed="81"/>
            <rFont val="Tahoma"/>
            <family val="2"/>
          </rPr>
          <t>Federal Government accounts are exempt from the KWH Tax rider.</t>
        </r>
        <r>
          <rPr>
            <sz val="8"/>
            <color indexed="81"/>
            <rFont val="Tahoma"/>
            <family val="2"/>
          </rPr>
          <t xml:space="preserve">
</t>
        </r>
      </text>
    </comment>
    <comment ref="A34" authorId="5" shapeId="0" xr:uid="{00000000-0006-0000-0000-00000F000000}">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<sst xmlns="http://schemas.openxmlformats.org/spreadsheetml/2006/main" count="4819" uniqueCount="343">
  <si>
    <r>
      <t xml:space="preserve">Power Factor (%) </t>
    </r>
    <r>
      <rPr>
        <sz val="8"/>
        <color indexed="10"/>
        <rFont val="Arial"/>
        <family val="2"/>
      </rPr>
      <t>optional</t>
    </r>
  </si>
  <si>
    <t>Rate</t>
  </si>
  <si>
    <t>Customer Name:</t>
  </si>
  <si>
    <t>Billing Month:</t>
  </si>
  <si>
    <t>Energy Efficiency Fund</t>
  </si>
  <si>
    <t>Gross Receipts Tax Credit</t>
  </si>
  <si>
    <t>Application</t>
  </si>
  <si>
    <t>Effective Date</t>
  </si>
  <si>
    <t>x</t>
  </si>
  <si>
    <t>Regulatory Assest Charge (GS1)</t>
  </si>
  <si>
    <t>Regulatory Assest Charge (GS2)</t>
  </si>
  <si>
    <t>Regulatory Assest Charge (GS3)</t>
  </si>
  <si>
    <t>Regulatory Assest Charge (GS4)</t>
  </si>
  <si>
    <t>Municipal Income Tax (open access)</t>
  </si>
  <si>
    <t>Municipal Income Tax (bundled)</t>
  </si>
  <si>
    <t xml:space="preserve"> </t>
  </si>
  <si>
    <t>Franchise Tax (open access)</t>
  </si>
  <si>
    <t>Franchise Tax (bundled)</t>
  </si>
  <si>
    <t>Property Tax Credit (Residential)</t>
  </si>
  <si>
    <t>Property Tax Credit (GS1)</t>
  </si>
  <si>
    <t>Property Tax Credit (GS2)</t>
  </si>
  <si>
    <t>Property Tax Credit (GS3)</t>
  </si>
  <si>
    <t>Property Tax Credit (GS4)</t>
  </si>
  <si>
    <t>Rider</t>
  </si>
  <si>
    <t>Customer Load Information</t>
  </si>
  <si>
    <t>Move mouse over red corner marker to see notes.</t>
  </si>
  <si>
    <t>Account #:</t>
  </si>
  <si>
    <t>Billing Parameters</t>
  </si>
  <si>
    <t>On-Peak Demand:</t>
  </si>
  <si>
    <t>Off-Peak Demand:</t>
  </si>
  <si>
    <t>Load Factor:</t>
  </si>
  <si>
    <t>Bill Calculation</t>
  </si>
  <si>
    <t>Customer Charge</t>
  </si>
  <si>
    <t>Demand Charge</t>
  </si>
  <si>
    <t>Total</t>
  </si>
  <si>
    <t>Title Note:</t>
  </si>
  <si>
    <t>Columbus Southern Power Riders</t>
  </si>
  <si>
    <t>Minimum Charge</t>
  </si>
  <si>
    <t>*</t>
  </si>
  <si>
    <t>* Not applicable to Federal accounts</t>
  </si>
  <si>
    <t>Residential Shopping Incentive Credit</t>
  </si>
  <si>
    <t>kWh</t>
  </si>
  <si>
    <t>/kWh</t>
  </si>
  <si>
    <t>kWh Usage:</t>
  </si>
  <si>
    <t>/kW</t>
  </si>
  <si>
    <t>kW</t>
  </si>
  <si>
    <t>kVARh</t>
  </si>
  <si>
    <t>kWh Tax  (first 2000 kWh)</t>
  </si>
  <si>
    <t>kWh Tax  (next 13,000 kWh)</t>
  </si>
  <si>
    <t>kWh Tax  (in excess of 15,000 kWh)</t>
  </si>
  <si>
    <t>Base Charges</t>
  </si>
  <si>
    <t>meter multiplier adjustment</t>
  </si>
  <si>
    <t>Metered kWh Usage:</t>
  </si>
  <si>
    <t>Metered Reactive Hours:</t>
  </si>
  <si>
    <t>Metered Voltage Adjustment:</t>
  </si>
  <si>
    <t>Metered</t>
  </si>
  <si>
    <t>Adjusted</t>
  </si>
  <si>
    <t>Effective Date:</t>
  </si>
  <si>
    <t>Base $</t>
  </si>
  <si>
    <t>Activated</t>
  </si>
  <si>
    <t>Metered KWH</t>
  </si>
  <si>
    <t>Universal Service Fund (first 833,000 kwh)</t>
  </si>
  <si>
    <t>Universal Service Fund (in excess of 833,000 kwh)</t>
  </si>
  <si>
    <t>Regulatory Assest Charge (Residential)</t>
  </si>
  <si>
    <t xml:space="preserve">kW </t>
  </si>
  <si>
    <t>Generation</t>
  </si>
  <si>
    <t>Transmission</t>
  </si>
  <si>
    <t>Distribution</t>
  </si>
  <si>
    <t>Rates</t>
  </si>
  <si>
    <t>Billing</t>
  </si>
  <si>
    <t>Riders</t>
  </si>
  <si>
    <t>Riders Total</t>
  </si>
  <si>
    <t>Base + Rider Total</t>
  </si>
  <si>
    <t>Energy Charge;   (First 1000 kWh)</t>
  </si>
  <si>
    <t xml:space="preserve">                            (Over 1000 kWh)</t>
  </si>
  <si>
    <t>Base Charge</t>
  </si>
  <si>
    <t>Bill Calculation - Summer (June-September)</t>
  </si>
  <si>
    <t>Metered On-Peak Demand:</t>
  </si>
  <si>
    <t>Metered Off-Peak Demand:</t>
  </si>
  <si>
    <t>Universal Service Fund (first 833,000 kWh)</t>
  </si>
  <si>
    <t>Universal Service Fund (in excess of 833,000 kWh)</t>
  </si>
  <si>
    <t>Economic Development Cost Recovery</t>
  </si>
  <si>
    <t xml:space="preserve">Enhanced Service Reliability </t>
  </si>
  <si>
    <t>Energy Efficiency &amp; Peak Demand Reduction Cost Recovery</t>
  </si>
  <si>
    <t>GS-1 Bundled Service</t>
  </si>
  <si>
    <t>Demand (kW)</t>
  </si>
  <si>
    <t xml:space="preserve">Average Energy Cost </t>
  </si>
  <si>
    <t>Cents/kWh</t>
  </si>
  <si>
    <t>Metered kWh (On-Peak):</t>
  </si>
  <si>
    <t>Metered kWh (Off-Peak):</t>
  </si>
  <si>
    <t>Ohio Power Billing Analysis</t>
  </si>
  <si>
    <t>Year</t>
  </si>
  <si>
    <t xml:space="preserve">/kWh </t>
  </si>
  <si>
    <t>Minimum Charge:</t>
  </si>
  <si>
    <t xml:space="preserve">Base + Rider Total </t>
  </si>
  <si>
    <t>Breakdown of Charges Based on Entered Information</t>
  </si>
  <si>
    <t>Energy Efficiency and Peak Demand Reduction Cost Recovery</t>
  </si>
  <si>
    <t>kWh Tax (first 2000 kWh)</t>
  </si>
  <si>
    <t>kWh Tax (next 13,000 kWh)</t>
  </si>
  <si>
    <t>kWh Tax (in excess of 15,000 kWh)</t>
  </si>
  <si>
    <t>Billing Month/Year:</t>
  </si>
  <si>
    <t>Month (1, 2, …, 12)</t>
  </si>
  <si>
    <t>January</t>
  </si>
  <si>
    <t>February</t>
  </si>
  <si>
    <t>March</t>
  </si>
  <si>
    <t>April</t>
  </si>
  <si>
    <t>May</t>
  </si>
  <si>
    <t>June</t>
  </si>
  <si>
    <t>July</t>
  </si>
  <si>
    <t>August</t>
  </si>
  <si>
    <t>September</t>
  </si>
  <si>
    <t>November</t>
  </si>
  <si>
    <t>October</t>
  </si>
  <si>
    <t>December</t>
  </si>
  <si>
    <t>Residential Distribution Credit Rider</t>
  </si>
  <si>
    <t>Month</t>
  </si>
  <si>
    <t>Residential Secondary Bundled Service</t>
  </si>
  <si>
    <t>Total Ohio Power Billing Charge:</t>
  </si>
  <si>
    <t>Dist Rate 1</t>
  </si>
  <si>
    <t>Dist Rate 2</t>
  </si>
  <si>
    <t>Ohio Power Company</t>
  </si>
  <si>
    <t xml:space="preserve">Average Energy Cost: </t>
  </si>
  <si>
    <t>Base (Dist)</t>
  </si>
  <si>
    <t>Dist Rate 3</t>
  </si>
  <si>
    <t xml:space="preserve">Bill Calculation </t>
  </si>
  <si>
    <t>Apply Self Assessor Option</t>
  </si>
  <si>
    <t>kVAR</t>
  </si>
  <si>
    <t>Metered Reactive Demand</t>
  </si>
  <si>
    <t>Federal Government Account</t>
  </si>
  <si>
    <t>Peak kVAR:</t>
  </si>
  <si>
    <t>Highest Previous Demand:</t>
  </si>
  <si>
    <t>Avg. PF</t>
  </si>
  <si>
    <t>Energy Charge</t>
  </si>
  <si>
    <t xml:space="preserve">Rider </t>
  </si>
  <si>
    <t>0-833,000</t>
  </si>
  <si>
    <t>&gt;833,000</t>
  </si>
  <si>
    <t>Universal Service Fund Rider (kWh)</t>
  </si>
  <si>
    <t>KWH Tax Rider (kWh)</t>
  </si>
  <si>
    <t>0-2000</t>
  </si>
  <si>
    <t>&gt;115,000</t>
  </si>
  <si>
    <t>2001-15,000</t>
  </si>
  <si>
    <t>Residential Distribution Credit Rider (%)</t>
  </si>
  <si>
    <t>RS</t>
  </si>
  <si>
    <t>GS-1</t>
  </si>
  <si>
    <t>GS-TOD</t>
  </si>
  <si>
    <t>Sec</t>
  </si>
  <si>
    <t>Pri</t>
  </si>
  <si>
    <t>Sub/Tran</t>
  </si>
  <si>
    <t xml:space="preserve">GS-2 </t>
  </si>
  <si>
    <t xml:space="preserve">GS-3 </t>
  </si>
  <si>
    <t xml:space="preserve">GS-4 </t>
  </si>
  <si>
    <t>Economic Development Cost Recovery Rider (%)</t>
  </si>
  <si>
    <t>Enhanced Service Reliability Rider (%)</t>
  </si>
  <si>
    <t>Residential</t>
  </si>
  <si>
    <t>Non-Residential</t>
  </si>
  <si>
    <t>Distribution Investment Rider (%)</t>
  </si>
  <si>
    <t>Distribution Investment Rider</t>
  </si>
  <si>
    <t>Alternative Energy Rider</t>
  </si>
  <si>
    <t>Pilot Throughput Balance Adjustment Rider</t>
  </si>
  <si>
    <t>Pilot Throughput Balancing Adjustment Rider</t>
  </si>
  <si>
    <t xml:space="preserve">Generation Capacity Rider  </t>
  </si>
  <si>
    <t>Generation Capacity Rider</t>
  </si>
  <si>
    <t>Generation Capacity Rider (On-Peak)</t>
  </si>
  <si>
    <t>Gen Cap 1</t>
  </si>
  <si>
    <t>Gen Cap 2</t>
  </si>
  <si>
    <t>Gen Cap 3</t>
  </si>
  <si>
    <t>Summer</t>
  </si>
  <si>
    <t>Winter</t>
  </si>
  <si>
    <t xml:space="preserve">Dist Rate - Off </t>
  </si>
  <si>
    <t xml:space="preserve">Dist Rate - On </t>
  </si>
  <si>
    <t>RS-TOD (Off Peak)</t>
  </si>
  <si>
    <t>RS-TOD (On Peak)</t>
  </si>
  <si>
    <t>Generation Capacity Rider (Off Peak)</t>
  </si>
  <si>
    <t>Generation Capacity Rider (On Peak)</t>
  </si>
  <si>
    <t>Residential Time-of-Day Bundled Service</t>
  </si>
  <si>
    <t>Rider Rate 1</t>
  </si>
  <si>
    <t>Rider Rate 2</t>
  </si>
  <si>
    <t xml:space="preserve">Energy Charge </t>
  </si>
  <si>
    <t xml:space="preserve">Generation Energy Rider  </t>
  </si>
  <si>
    <t>GS-1, GS-TOD</t>
  </si>
  <si>
    <t>Demand Metered Secondary</t>
  </si>
  <si>
    <t>Demand Metered Primary</t>
  </si>
  <si>
    <t>Demand Metered Trans/Subtrans</t>
  </si>
  <si>
    <t>Auction Cost Reconciliation Rider (kWh)</t>
  </si>
  <si>
    <t>Basic Transmission Cost Rider (kWh)</t>
  </si>
  <si>
    <t>Basic Transmission Cost Rider (kW)</t>
  </si>
  <si>
    <t>Generation Energy Rider</t>
  </si>
  <si>
    <t>Gen En</t>
  </si>
  <si>
    <t xml:space="preserve">RR, RR1 </t>
  </si>
  <si>
    <t>Basic Transmission Cost Rider</t>
  </si>
  <si>
    <t>Price to Compare (excludes Distribution Charges and some Transmission Charges):</t>
  </si>
  <si>
    <t>Gen En 1</t>
  </si>
  <si>
    <t xml:space="preserve">Generation Energy Rider </t>
  </si>
  <si>
    <t>Auction Cost Reconciliation Rider</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</si>
  <si>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</si>
  <si>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Energy Efficiency and Peak Demand Reduction Cost Recovery Rider (Fixed)</t>
  </si>
  <si>
    <t>Energy Efficiency and Peak Demand Reduction Cost Recovery Rider (kW)</t>
  </si>
  <si>
    <t>GS-2 (0-833,000 kWh)</t>
  </si>
  <si>
    <t>GS-2 (&gt;833,000 kWh)</t>
  </si>
  <si>
    <t>GS-TOD (0-833,000 kWh)</t>
  </si>
  <si>
    <t>GS-TOD (&gt;833,000 kWh)</t>
  </si>
  <si>
    <t>GS-3 (0-833,000 kWh)</t>
  </si>
  <si>
    <t>GS-3 (&gt;833,000 kWh)</t>
  </si>
  <si>
    <t>GS-4 (0-833,000 kWh)</t>
  </si>
  <si>
    <t>GS-4 (&gt;833,000 kWh)</t>
  </si>
  <si>
    <t>Alternative Energy Rider (kWh)</t>
  </si>
  <si>
    <t>gridSMART Phase 2 Rider</t>
  </si>
  <si>
    <t>IRP Rate</t>
  </si>
  <si>
    <t>Tax Savings Credit Rider</t>
  </si>
  <si>
    <t>Smart City Rider</t>
  </si>
  <si>
    <t>Legacy Generation Resource Rider</t>
  </si>
  <si>
    <t>Residential ($/month)</t>
  </si>
  <si>
    <t>Non-Residential ($/kWh up to 833,000 kWh)</t>
  </si>
  <si>
    <t>Part A</t>
  </si>
  <si>
    <t>Part B</t>
  </si>
  <si>
    <t>Effective</t>
  </si>
  <si>
    <t>DSM Energy Efficiency Opt Out</t>
  </si>
  <si>
    <t>Storm Damage Recovery Rider</t>
  </si>
  <si>
    <t>Storm Damage Recover Rider</t>
  </si>
  <si>
    <t>Generation Capacity Rider (Off-Peak)</t>
  </si>
  <si>
    <t>Available for residential electric service through one meter to individual residential customers. (Schedule Codes: 036)</t>
  </si>
  <si>
    <t>On-Peak kWh Usage</t>
  </si>
  <si>
    <t>Off-Peak kWh Usage</t>
  </si>
  <si>
    <t>RS-TOU On Peak</t>
  </si>
  <si>
    <t>RS-TOU Off Peak</t>
  </si>
  <si>
    <t>On-Peak kWh Usage:</t>
  </si>
  <si>
    <t>Off-Peak kWh Usage:</t>
  </si>
  <si>
    <t>GS-TOU Off-Peak</t>
  </si>
  <si>
    <t>GS-TOU On-Peak</t>
  </si>
  <si>
    <t>Available for general service to customers with maximum demands less than 10 KW.  (Schedule Codes 284)</t>
  </si>
  <si>
    <t>Solar Generation Fund Rider</t>
  </si>
  <si>
    <t>&lt;&lt;Cap Limit</t>
  </si>
  <si>
    <r>
      <t xml:space="preserve">Billing Month/Year </t>
    </r>
    <r>
      <rPr>
        <b/>
        <sz val="10"/>
        <rFont val="Arial"/>
        <family val="2"/>
      </rPr>
      <t>(</t>
    </r>
    <r>
      <rPr>
        <b/>
        <sz val="10"/>
        <color indexed="10"/>
        <rFont val="Arial"/>
        <family val="2"/>
      </rPr>
      <t>REQUIRED)</t>
    </r>
    <r>
      <rPr>
        <sz val="10"/>
        <rFont val="Arial"/>
        <family val="2"/>
      </rPr>
      <t>:</t>
    </r>
  </si>
  <si>
    <t>Solar Generation Fund Rider (first 833,000 kWh)</t>
  </si>
  <si>
    <t>Solar Generation Fund Rider (in excess of 833,000 kWh)</t>
  </si>
  <si>
    <t>Available for residential electric service through one meter to individual residential customers. (Schedule Codes: 015)</t>
  </si>
  <si>
    <t>Available to individual residential customers.   Availability is limited to the first 500 customers applying for service under this schedule. (Schedule Code 019, 030, 032)</t>
  </si>
  <si>
    <t>Bad Debt Rider</t>
  </si>
  <si>
    <t>Bad Debt Rider (%)</t>
  </si>
  <si>
    <t>Retail Reconciliation Rider</t>
  </si>
  <si>
    <t>Retail Reconciliatoin Rider (kWh)</t>
  </si>
  <si>
    <t>Power Forward Rider</t>
  </si>
  <si>
    <t>SSO Credit Rider</t>
  </si>
  <si>
    <t>Pilot Demand Response Rider</t>
  </si>
  <si>
    <t>Placeholder</t>
  </si>
  <si>
    <t>Residential Service - Demand Metered</t>
  </si>
  <si>
    <t>Energy Charge:     kW</t>
  </si>
  <si>
    <t xml:space="preserve">Available for optional residential electric service through one meter to individual residential customers.  Requires the installation of demand metering facilities. (Schedule Codes: 010)  </t>
  </si>
  <si>
    <t>Account</t>
  </si>
  <si>
    <t>Available for general service to customers with maximum demands less than 10 KW.  (Schedule Codes 211, 212)</t>
  </si>
  <si>
    <t>Available for general service customers with maximum demands less than 500 kW.  Availability is limited to secondary service and the first 1,000 customers applying for service under this schedule. (Schedule Codes: 220, 223, 225, 228, 229)</t>
  </si>
  <si>
    <t>Retail Reconciliation Rider (first 833,000 kWh)</t>
  </si>
  <si>
    <t>Retail Reconciliation Rider (in excess of 833,000 kWh)</t>
  </si>
  <si>
    <t>GS-2-Time-of-Day Secondary Bundled Service</t>
  </si>
  <si>
    <t>Available for general service to customers with maximum demands of 10 KW or greater. (Schedule Codes 208, 215, 231, 265)</t>
  </si>
  <si>
    <t>Excess kVAR:</t>
  </si>
  <si>
    <t>KVAR</t>
  </si>
  <si>
    <t>GS Secondary Bundled Service</t>
  </si>
  <si>
    <t>kVar</t>
  </si>
  <si>
    <t>KVA</t>
  </si>
  <si>
    <t>Excess Reactive Demand Charge</t>
  </si>
  <si>
    <t>(Schedule Codes 217, 218, 232, 266, 322)</t>
  </si>
  <si>
    <t>GS Primary Bundled Service</t>
  </si>
  <si>
    <t>GS Transmission Bundled Service</t>
  </si>
  <si>
    <t>(Schedule Codes 238, 239, 258, 270, 275)</t>
  </si>
  <si>
    <t>Available for residential electric service through one meter to individual residential customers. (Schedule Codes: 820)</t>
  </si>
  <si>
    <t>Residential Secondary Open Access Distribution Service</t>
  </si>
  <si>
    <t>Residential Service - Demand Metered - OAD</t>
  </si>
  <si>
    <t>Available for general service to customers with maximum demands less than 10 KW.  (Schedule Codes 830)</t>
  </si>
  <si>
    <t>GS-1 Open Access Distribution Service</t>
  </si>
  <si>
    <t>GS Transmission Open Access Distribution Service</t>
  </si>
  <si>
    <t>Received kWh</t>
  </si>
  <si>
    <t>Contract Capacity:</t>
  </si>
  <si>
    <t>Contract Minimum Demand:</t>
  </si>
  <si>
    <t>Available for general service to customers with maximum demands of 10 KW or greater. (Schedule Codes 315)</t>
  </si>
  <si>
    <t>GS Service - Fair</t>
  </si>
  <si>
    <t>County Fair SEC</t>
  </si>
  <si>
    <t>County Fair PRI</t>
  </si>
  <si>
    <t>Ohio Power Rate Zone</t>
  </si>
  <si>
    <r>
      <t xml:space="preserve">RS </t>
    </r>
    <r>
      <rPr>
        <b/>
        <sz val="10"/>
        <rFont val="Arial"/>
        <family val="2"/>
      </rPr>
      <t>(OP Rate Zone)</t>
    </r>
  </si>
  <si>
    <r>
      <t xml:space="preserve">General Service-Non Demand Metered </t>
    </r>
    <r>
      <rPr>
        <b/>
        <sz val="10"/>
        <rFont val="Arial"/>
        <family val="2"/>
      </rPr>
      <t>(OP Rate Zone)</t>
    </r>
  </si>
  <si>
    <t>Pilot Plug-In Electric Vehicle Schedule</t>
  </si>
  <si>
    <t>Metered kW Usage:</t>
  </si>
  <si>
    <t>On-Peak Demand Charge</t>
  </si>
  <si>
    <t>Reactive Hours:</t>
  </si>
  <si>
    <t>Peak kVA</t>
  </si>
  <si>
    <t>Allowable kVA:</t>
  </si>
  <si>
    <t>KVARh</t>
  </si>
  <si>
    <t>kVA</t>
  </si>
  <si>
    <t>GS Secondary Open Access Distribution</t>
  </si>
  <si>
    <t>GS Primary Open Access Distribution</t>
  </si>
  <si>
    <t>Available for general service to customers with maximum demands of 10 KW or greater. (Schedule Codes 770, 840, 842, 845)</t>
  </si>
  <si>
    <t>(Schedule Codes 774, 841, 843, 846, 861)</t>
  </si>
  <si>
    <t>(Schedule Codes 779, 790, 826, 827, 858, 853)</t>
  </si>
  <si>
    <t xml:space="preserve">Available for optional residential electric service through one meter to individual residential customers.  Requires the installation of demand metering facilities. (Schedule Codes: 810)  </t>
  </si>
  <si>
    <t>GS-TOD On-Peak</t>
  </si>
  <si>
    <t>GS-TOD Off-Peak</t>
  </si>
  <si>
    <t xml:space="preserve">Energy Charge:   </t>
  </si>
  <si>
    <t>GS-1, GS-TOD, GS-TOU</t>
  </si>
  <si>
    <r>
      <t xml:space="preserve">Solar Generation Rider - </t>
    </r>
    <r>
      <rPr>
        <sz val="9"/>
        <rFont val="Arial"/>
        <family val="2"/>
      </rPr>
      <t>This rider is to fund disbursements to qualifying solar resources as required by the General Assembly.</t>
    </r>
  </si>
  <si>
    <r>
      <t xml:space="preserve">Smart City Rider - </t>
    </r>
    <r>
      <rPr>
        <sz val="9"/>
        <rFont val="Arial"/>
        <family val="2"/>
      </rPr>
      <t>This rider allows the Company to recover costs associated with Smart City technologies.</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</si>
  <si>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</si>
  <si>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</si>
  <si>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</si>
  <si>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</si>
  <si>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</si>
  <si>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</si>
  <si>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</si>
  <si>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</si>
  <si>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</si>
  <si>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</si>
  <si>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</si>
  <si>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</si>
  <si>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Distribution Investment Rider </t>
    </r>
    <r>
      <rPr>
        <sz val="9"/>
        <rFont val="Arial"/>
        <family val="2"/>
      </rPr>
      <t>- This Rider allows the Company to move to a proactive replacement strategy of its distribution infrastructure.</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</si>
  <si>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</si>
  <si>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</si>
  <si>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</si>
  <si>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t>gridSMART  Rider (fixed)</t>
  </si>
  <si>
    <t>Residential PEV</t>
  </si>
  <si>
    <t xml:space="preserve"> (Schedule Code 048 and 807)</t>
  </si>
  <si>
    <t>Residential PEV (Sheet 271-1)</t>
  </si>
  <si>
    <t>Bus PEV - Sec</t>
  </si>
  <si>
    <t>Bus PEV - Pri</t>
  </si>
  <si>
    <t>Bus PEV - Trans Low</t>
  </si>
  <si>
    <t>Bus PEV - Trans High</t>
  </si>
  <si>
    <t>Bus PEV Sec</t>
  </si>
  <si>
    <t>(Schedule Codes 340 and 800)</t>
  </si>
  <si>
    <t>(Schedule Codes 342 and 802)</t>
  </si>
  <si>
    <t>Bus PEV Trans</t>
  </si>
  <si>
    <t>Bus PEV Primary</t>
  </si>
  <si>
    <t>(Schedule Codes 344, 346, 804, and 806)</t>
  </si>
  <si>
    <t>On-Peak Energy Charge</t>
  </si>
  <si>
    <t>Off-Peak Energy Charge</t>
  </si>
  <si>
    <t>Metered On-Peak kWh Usage:</t>
  </si>
  <si>
    <t>Metered Off-Peak kWh Usage:</t>
  </si>
  <si>
    <t>Total kWh</t>
  </si>
  <si>
    <t>BUS - Sec</t>
  </si>
  <si>
    <t>BUS - Pri</t>
  </si>
  <si>
    <t>BUS - Tran</t>
  </si>
  <si>
    <t>Energy Efficiency Rider</t>
  </si>
  <si>
    <t>Energy Efficiency and Peak Demand Reduction Cost Recovery Rider (kWh)</t>
  </si>
  <si>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</si>
  <si>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t>Revised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</si>
</sst>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quot;$&quot;* #,##0.000000_);_(&quot;$&quot;* \(#,##0.000000\);_(&quot;$&quot;* &quot;-&quot;??????_);_(@_)"/>
    <numFmt numFmtId="165" formatCode="0.00000%"/>
    <numFmt numFmtId="166" formatCode="_(&quot;$&quot;* #,##0.0000000_);_(&quot;$&quot;* \(#,##0.0000000\);_(&quot;$&quot;* &quot;-&quot;???????_);_(@_)"/>
    <numFmt numFmtId="167" formatCode="_(* #,##0.0_);_(* \(#,##0.0\);_(* &quot;-&quot;??_);_(@_)"/>
    <numFmt numFmtId="168" formatCode="mm/dd/yy"/>
    <numFmt numFmtId="169" formatCode="&quot;$&quot;#,##0.0000000"/>
    <numFmt numFmtId="170" formatCode="0.0%"/>
    <numFmt numFmtId="171" formatCode="0.0000%"/>
    <numFmt numFmtId="172" formatCode="_(&quot;$&quot;* #,##0.000_);_(&quot;$&quot;* \(#,##0.000\);_(&quot;$&quot;* &quot;-&quot;??_);_(@_)"/>
    <numFmt numFmtId="173" formatCode="_(&quot;$&quot;* #,##0.00000_);_(&quot;$&quot;* \(#,##0.00000\);_(&quot;$&quot;* &quot;-&quot;??_);_(@_)"/>
    <numFmt numFmtId="174" formatCode="_(&quot;$&quot;* #,##0.000000_);_(&quot;$&quot;* \(#,##0.000000\);_(&quot;$&quot;* &quot;-&quot;??_);_(@_)"/>
    <numFmt numFmtId="175" formatCode="_(&quot;$&quot;* #,##0.0000000_);_(&quot;$&quot;* \(#,##0.0000000\);_(&quot;$&quot;* &quot;-&quot;??_);_(@_)"/>
    <numFmt numFmtId="176" formatCode="#,##0.0"/>
    <numFmt numFmtId="177" formatCode="_(&quot;$&quot;* #,##0.00000_);_(&quot;$&quot;* \(#,##0.00000\);_(&quot;$&quot;* &quot;-&quot;?????_);_(@_)"/>
    <numFmt numFmtId="178" formatCode="_(&quot;$&quot;* #,##0.00000000_);_(&quot;$&quot;* \(#,##0.00000000\);_(&quot;$&quot;* &quot;-&quot;???????_);_(@_)"/>
    <numFmt numFmtId="179" formatCode="_(* #,##0.0_);_(* \(#,##0.0\);_(* &quot;-&quot;?_);_(@_)"/>
    <numFmt numFmtId="180" formatCode="_(&quot;$&quot;* #,##0.000_);_(&quot;$&quot;* \(#,##0.000\);_(&quot;$&quot;* &quot;-&quot;???_);_(@_)"/>
    <numFmt numFmtId="181" formatCode="_(&quot;$&quot;* #,##0.0000_);_(&quot;$&quot;* \(#,##0.0000\);_(&quot;$&quot;* &quot;-&quot;????_);_(@_)"/>
    <numFmt numFmtId="182" formatCode="_(* #,##0.000_);_(* \(#,##0.000\);_(* &quot;-&quot;???_);_(@_)"/>
    <numFmt numFmtId="183" formatCode="0.0000000"/>
    <numFmt numFmtId="184" formatCode="0.00000"/>
    <numFmt numFmtId="185" formatCode="#,##0.000"/>
    <numFmt numFmtId="186" formatCode="_(&quot;$&quot;* #,##0.00_);_(&quot;$&quot;* \(#,##0.00\);_(&quot;$&quot;* &quot;-&quot;???????_);_(@_)"/>
    <numFmt numFmtId="187" formatCode="m/d/yyyy;@"/>
    <numFmt numFmtId="188" formatCode="_(* #,##0_);_(* \(#,##0\);_(* &quot;-&quot;???_);_(@_)"/>
  </numFmts>
  <fonts count="53" x14ac:knownFonts="1">
    <font>
      <sz val="10"/>
      <name val="Arial"/>
    </font>
    <font>
      <sz val="10"/>
      <name val="Arial"/>
      <family val="2"/>
    </font>
    <font>
      <sz val="10"/>
      <name val="Arial"/>
      <family val="2"/>
    </font>
    <font>
      <b/>
      <sz val="10"/>
      <name val="Arial"/>
      <family val="2"/>
    </font>
    <font>
      <sz val="8"/>
      <color indexed="81"/>
      <name val="Tahoma"/>
      <family val="2"/>
    </font>
    <font>
      <b/>
      <sz val="8"/>
      <color indexed="81"/>
      <name val="Tahoma"/>
      <family val="2"/>
    </font>
    <font>
      <sz val="10"/>
      <color indexed="10"/>
      <name val="Arial"/>
      <family val="2"/>
    </font>
    <font>
      <b/>
      <sz val="10"/>
      <color indexed="48"/>
      <name val="Arial"/>
      <family val="2"/>
    </font>
    <font>
      <sz val="10"/>
      <color indexed="12"/>
      <name val="Arial"/>
      <family val="2"/>
    </font>
    <font>
      <b/>
      <sz val="10"/>
      <color indexed="12"/>
      <name val="Arial"/>
      <family val="2"/>
    </font>
    <font>
      <b/>
      <sz val="16"/>
      <name val="Arial"/>
      <family val="2"/>
    </font>
    <font>
      <b/>
      <sz val="14"/>
      <color indexed="8"/>
      <name val="Arial"/>
      <family val="2"/>
    </font>
    <font>
      <b/>
      <sz val="10"/>
      <color indexed="8"/>
      <name val="Arial"/>
      <family val="2"/>
    </font>
    <font>
      <sz val="12"/>
      <color indexed="12"/>
      <name val="Arial"/>
      <family val="2"/>
    </font>
    <font>
      <b/>
      <sz val="10"/>
      <color indexed="10"/>
      <name val="Arial"/>
      <family val="2"/>
    </font>
    <font>
      <sz val="10"/>
      <color indexed="8"/>
      <name val="Arial"/>
      <family val="2"/>
    </font>
    <font>
      <sz val="9"/>
      <name val="Arial"/>
      <family val="2"/>
    </font>
    <font>
      <b/>
      <sz val="9"/>
      <name val="Arial"/>
      <family val="2"/>
    </font>
    <font>
      <sz val="12"/>
      <color indexed="8"/>
      <name val="Arial"/>
      <family val="2"/>
    </font>
    <font>
      <sz val="10"/>
      <color indexed="9"/>
      <name val="Arial"/>
      <family val="2"/>
    </font>
    <font>
      <sz val="10"/>
      <color indexed="43"/>
      <name val="Arial"/>
      <family val="2"/>
    </font>
    <font>
      <sz val="8"/>
      <name val="Arial"/>
      <family val="2"/>
    </font>
    <font>
      <b/>
      <i/>
      <sz val="10"/>
      <name val="Arial"/>
      <family val="2"/>
    </font>
    <font>
      <u/>
      <sz val="10"/>
      <color indexed="12"/>
      <name val="Arial"/>
      <family val="2"/>
    </font>
    <font>
      <sz val="10"/>
      <color indexed="12"/>
      <name val="Arial"/>
      <family val="2"/>
    </font>
    <font>
      <sz val="9"/>
      <color indexed="12"/>
      <name val="Arial"/>
      <family val="2"/>
    </font>
    <font>
      <b/>
      <sz val="12"/>
      <name val="Arial"/>
      <family val="2"/>
    </font>
    <font>
      <sz val="12"/>
      <name val="Arial"/>
      <family val="2"/>
    </font>
    <font>
      <sz val="8"/>
      <name val="Arial"/>
      <family val="2"/>
    </font>
    <font>
      <b/>
      <sz val="12"/>
      <color indexed="17"/>
      <name val="Arial"/>
      <family val="2"/>
    </font>
    <font>
      <u/>
      <sz val="10"/>
      <name val="Arial"/>
      <family val="2"/>
    </font>
    <font>
      <sz val="10"/>
      <color indexed="17"/>
      <name val="Arial"/>
      <family val="2"/>
    </font>
    <font>
      <b/>
      <sz val="9"/>
      <color indexed="10"/>
      <name val="Arial"/>
      <family val="2"/>
    </font>
    <font>
      <b/>
      <sz val="10"/>
      <color indexed="17"/>
      <name val="Arial"/>
      <family val="2"/>
    </font>
    <font>
      <sz val="8"/>
      <color indexed="9"/>
      <name val="Arial"/>
      <family val="2"/>
    </font>
    <font>
      <b/>
      <sz val="20"/>
      <color indexed="10"/>
      <name val="Arial"/>
      <family val="2"/>
    </font>
    <font>
      <b/>
      <sz val="8"/>
      <color indexed="10"/>
      <name val="Tahoma"/>
      <family val="2"/>
    </font>
    <font>
      <b/>
      <sz val="16"/>
      <color indexed="10"/>
      <name val="Arial"/>
      <family val="2"/>
    </font>
    <font>
      <b/>
      <sz val="8"/>
      <name val="Arial"/>
      <family val="2"/>
    </font>
    <font>
      <sz val="8"/>
      <color indexed="10"/>
      <name val="Arial"/>
      <family val="2"/>
    </font>
    <font>
      <sz val="9"/>
      <color indexed="81"/>
      <name val="Tahoma"/>
      <family val="2"/>
    </font>
    <font>
      <b/>
      <sz val="9"/>
      <color indexed="81"/>
      <name val="Tahoma"/>
      <family val="2"/>
    </font>
    <font>
      <sz val="10"/>
      <name val="Arial"/>
      <family val="2"/>
    </font>
    <font>
      <b/>
      <u/>
      <sz val="10"/>
      <color indexed="12"/>
      <name val="Arial"/>
      <family val="2"/>
    </font>
    <font>
      <b/>
      <u/>
      <sz val="8"/>
      <color indexed="81"/>
      <name val="Tahoma"/>
      <family val="2"/>
    </font>
    <font>
      <b/>
      <sz val="10"/>
      <color rgb="FF0000FF"/>
      <name val="Arial"/>
      <family val="2"/>
    </font>
    <font>
      <sz val="10"/>
      <color rgb="FFFFFF00"/>
      <name val="Arial"/>
      <family val="2"/>
    </font>
    <font>
      <sz val="10"/>
      <color rgb="FFFF0000"/>
      <name val="Arial"/>
      <family val="2"/>
    </font>
    <font>
      <sz val="10"/>
      <color theme="1"/>
      <name val="Arial"/>
      <family val="2"/>
    </font>
    <font>
      <sz val="8"/>
      <color rgb="FF000000"/>
      <name val="Tahoma"/>
      <family val="2"/>
    </font>
    <font>
      <sz val="8"/>
      <color rgb="FF000000"/>
      <name val="Segoe UI"/>
      <family val="2"/>
    </font>
    <font>
      <sz val="10"/>
      <color rgb="FF000000"/>
      <name val="Arial"/>
      <family val="2"/>
    </font>
    <font>
      <sz val="11"/>
      <name val="Calibri"/>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3"/>
        <bgColor indexed="43"/>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top/>
      <bottom/>
      <diagonal/>
    </border>
  </borders>
  <cellStyleXfs count="32">
    <xf numFmtId="0" fontId="0" fillId="0" borderId="0"/>
    <xf numFmtId="43" fontId="1"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alignment vertical="top"/>
      <protection locked="0"/>
    </xf>
    <xf numFmtId="0" fontId="2" fillId="0" borderId="0"/>
    <xf numFmtId="9" fontId="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522">
    <xf numFmtId="0" fontId="0" fillId="0" borderId="0" xfId="0"/>
    <xf numFmtId="3" fontId="0" fillId="0" borderId="0" xfId="0" applyNumberFormat="1"/>
    <xf numFmtId="8" fontId="0" fillId="0" borderId="0" xfId="0" applyNumberFormat="1"/>
    <xf numFmtId="0" fontId="2" fillId="0" borderId="0" xfId="0" applyFont="1"/>
    <xf numFmtId="0" fontId="0" fillId="0" borderId="0" xfId="0" applyAlignment="1">
      <alignment horizontal="center"/>
    </xf>
    <xf numFmtId="0" fontId="0" fillId="0" borderId="1" xfId="0" applyBorder="1" applyAlignment="1">
      <alignment horizontal="center"/>
    </xf>
    <xf numFmtId="166" fontId="0" fillId="0" borderId="1" xfId="10" applyNumberFormat="1" applyFont="1" applyBorder="1"/>
    <xf numFmtId="165" fontId="0" fillId="0" borderId="2" xfId="21" applyNumberFormat="1" applyFont="1" applyBorder="1"/>
    <xf numFmtId="0" fontId="0" fillId="0" borderId="2" xfId="0" applyBorder="1" applyAlignment="1">
      <alignment horizontal="center"/>
    </xf>
    <xf numFmtId="0" fontId="0" fillId="0" borderId="3" xfId="0" applyBorder="1"/>
    <xf numFmtId="0" fontId="0" fillId="0" borderId="4" xfId="0" applyBorder="1"/>
    <xf numFmtId="0" fontId="0" fillId="2" borderId="0" xfId="0" applyFill="1" applyAlignment="1">
      <alignment horizontal="center"/>
    </xf>
    <xf numFmtId="0" fontId="0" fillId="2" borderId="0" xfId="0" applyFill="1"/>
    <xf numFmtId="0" fontId="6" fillId="2" borderId="0" xfId="0" applyFont="1" applyFill="1"/>
    <xf numFmtId="3" fontId="0" fillId="2" borderId="0" xfId="0" applyNumberFormat="1" applyFill="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0" xfId="0" applyBorder="1"/>
    <xf numFmtId="166" fontId="0" fillId="0" borderId="0" xfId="10" applyNumberFormat="1" applyFont="1" applyBorder="1"/>
    <xf numFmtId="0" fontId="0" fillId="0" borderId="0" xfId="0" applyBorder="1" applyAlignment="1">
      <alignment horizontal="center"/>
    </xf>
    <xf numFmtId="0" fontId="6" fillId="0" borderId="0" xfId="0" applyFont="1" applyBorder="1" applyAlignment="1">
      <alignment horizontal="center"/>
    </xf>
    <xf numFmtId="0" fontId="0" fillId="0" borderId="8" xfId="0" applyBorder="1"/>
    <xf numFmtId="0" fontId="12" fillId="0" borderId="0" xfId="0" applyFont="1"/>
    <xf numFmtId="0" fontId="13" fillId="0" borderId="0" xfId="0" applyFont="1"/>
    <xf numFmtId="0" fontId="9" fillId="0" borderId="0" xfId="0" applyFont="1"/>
    <xf numFmtId="14" fontId="0" fillId="0" borderId="0" xfId="0" applyNumberFormat="1"/>
    <xf numFmtId="0" fontId="12" fillId="0" borderId="0" xfId="0" applyFont="1" applyAlignment="1">
      <alignment horizontal="left"/>
    </xf>
    <xf numFmtId="0" fontId="14" fillId="0" borderId="8" xfId="0" applyFont="1" applyBorder="1"/>
    <xf numFmtId="0" fontId="15" fillId="0" borderId="0" xfId="0" applyFont="1" applyBorder="1"/>
    <xf numFmtId="0" fontId="6" fillId="0" borderId="0" xfId="0" applyFont="1" applyBorder="1"/>
    <xf numFmtId="0" fontId="15" fillId="0" borderId="0" xfId="0" applyFont="1"/>
    <xf numFmtId="3" fontId="8" fillId="0" borderId="0" xfId="0" applyNumberFormat="1" applyFont="1" applyFill="1"/>
    <xf numFmtId="0" fontId="6" fillId="0" borderId="0" xfId="0" applyFont="1"/>
    <xf numFmtId="44" fontId="0" fillId="0" borderId="0" xfId="10" applyFont="1"/>
    <xf numFmtId="3" fontId="16" fillId="0" borderId="0" xfId="0" applyNumberFormat="1" applyFont="1"/>
    <xf numFmtId="0" fontId="16" fillId="0" borderId="0" xfId="0" applyFont="1"/>
    <xf numFmtId="0" fontId="3" fillId="0" borderId="0" xfId="0" applyFont="1"/>
    <xf numFmtId="3" fontId="3" fillId="0" borderId="0" xfId="0" applyNumberFormat="1" applyFont="1"/>
    <xf numFmtId="0" fontId="17" fillId="0" borderId="0" xfId="0" applyFont="1"/>
    <xf numFmtId="44" fontId="3" fillId="0" borderId="0" xfId="10" applyFont="1"/>
    <xf numFmtId="0" fontId="14" fillId="0" borderId="0" xfId="0" applyFont="1"/>
    <xf numFmtId="175" fontId="0" fillId="0" borderId="0" xfId="10" applyNumberFormat="1" applyFont="1"/>
    <xf numFmtId="0" fontId="2" fillId="0" borderId="0" xfId="0" applyFont="1" applyAlignment="1">
      <alignment horizontal="center"/>
    </xf>
    <xf numFmtId="176" fontId="8" fillId="0" borderId="0" xfId="0" applyNumberFormat="1" applyFont="1" applyFill="1" applyBorder="1"/>
    <xf numFmtId="44" fontId="3" fillId="0" borderId="0" xfId="10" applyNumberFormat="1" applyFont="1"/>
    <xf numFmtId="174" fontId="2" fillId="0" borderId="0" xfId="10" applyNumberFormat="1" applyFont="1"/>
    <xf numFmtId="178" fontId="0" fillId="0" borderId="1" xfId="10" applyNumberFormat="1" applyFont="1" applyBorder="1"/>
    <xf numFmtId="0" fontId="8" fillId="0" borderId="0" xfId="0" applyFont="1" applyBorder="1"/>
    <xf numFmtId="176" fontId="0" fillId="0" borderId="0" xfId="0" applyNumberFormat="1"/>
    <xf numFmtId="44" fontId="8" fillId="0" borderId="0" xfId="10" applyFont="1" applyFill="1"/>
    <xf numFmtId="170" fontId="8" fillId="0" borderId="0" xfId="0" applyNumberFormat="1" applyFont="1"/>
    <xf numFmtId="44" fontId="8" fillId="0" borderId="0" xfId="10" applyNumberFormat="1" applyFont="1" applyFill="1"/>
    <xf numFmtId="170" fontId="8" fillId="0" borderId="0" xfId="21" applyNumberFormat="1" applyFont="1" applyFill="1" applyBorder="1"/>
    <xf numFmtId="44" fontId="2" fillId="0" borderId="0" xfId="0" applyNumberFormat="1" applyFont="1"/>
    <xf numFmtId="9" fontId="2" fillId="0" borderId="0" xfId="21" applyFont="1"/>
    <xf numFmtId="0" fontId="8" fillId="0" borderId="0" xfId="0" applyFont="1"/>
    <xf numFmtId="170" fontId="6" fillId="0" borderId="1" xfId="21" applyNumberFormat="1" applyFont="1" applyFill="1" applyBorder="1" applyAlignment="1" applyProtection="1">
      <alignment horizontal="center"/>
      <protection locked="0"/>
    </xf>
    <xf numFmtId="4" fontId="8" fillId="0" borderId="0" xfId="0" applyNumberFormat="1" applyFont="1" applyFill="1"/>
    <xf numFmtId="0" fontId="0" fillId="0" borderId="0" xfId="0" applyBorder="1" applyAlignment="1">
      <alignment horizontal="right"/>
    </xf>
    <xf numFmtId="39" fontId="3" fillId="0" borderId="0" xfId="0" applyNumberFormat="1" applyFont="1"/>
    <xf numFmtId="0" fontId="19" fillId="0" borderId="9" xfId="0" applyFont="1" applyBorder="1" applyAlignment="1" applyProtection="1">
      <alignment horizontal="center"/>
      <protection locked="0"/>
    </xf>
    <xf numFmtId="0" fontId="6" fillId="2" borderId="0" xfId="0" applyFont="1" applyFill="1" applyAlignment="1">
      <alignment vertical="center" wrapText="1"/>
    </xf>
    <xf numFmtId="0" fontId="6" fillId="2" borderId="0" xfId="0" applyFont="1" applyFill="1" applyAlignment="1">
      <alignment horizontal="left" vertical="center" wrapText="1"/>
    </xf>
    <xf numFmtId="1" fontId="6" fillId="2" borderId="0" xfId="0" applyNumberFormat="1" applyFont="1" applyFill="1" applyAlignment="1" applyProtection="1">
      <alignment horizontal="right"/>
      <protection locked="0"/>
    </xf>
    <xf numFmtId="8" fontId="16" fillId="2" borderId="0" xfId="0" applyNumberFormat="1" applyFont="1" applyFill="1" applyAlignment="1">
      <alignment horizontal="left"/>
    </xf>
    <xf numFmtId="0" fontId="15" fillId="3" borderId="4" xfId="0" applyFont="1" applyFill="1" applyBorder="1"/>
    <xf numFmtId="0" fontId="15" fillId="3" borderId="1" xfId="0" applyFont="1" applyFill="1" applyBorder="1" applyAlignment="1">
      <alignment horizontal="center"/>
    </xf>
    <xf numFmtId="166" fontId="15" fillId="3" borderId="1" xfId="10" applyNumberFormat="1" applyFont="1" applyFill="1" applyBorder="1"/>
    <xf numFmtId="0" fontId="0" fillId="3" borderId="4" xfId="0" applyFill="1" applyBorder="1"/>
    <xf numFmtId="166" fontId="0" fillId="3" borderId="1" xfId="10" applyNumberFormat="1" applyFont="1" applyFill="1" applyBorder="1"/>
    <xf numFmtId="0" fontId="0" fillId="3" borderId="1" xfId="0" applyFill="1" applyBorder="1" applyAlignment="1">
      <alignment horizontal="center"/>
    </xf>
    <xf numFmtId="0" fontId="19" fillId="3" borderId="9" xfId="0" applyFont="1" applyFill="1" applyBorder="1" applyAlignment="1" applyProtection="1">
      <alignment horizontal="center"/>
      <protection locked="0"/>
    </xf>
    <xf numFmtId="0" fontId="19" fillId="0" borderId="10" xfId="0" applyFont="1" applyBorder="1" applyAlignment="1" applyProtection="1">
      <alignment horizontal="center"/>
      <protection locked="0" hidden="1"/>
    </xf>
    <xf numFmtId="0" fontId="20" fillId="2" borderId="0" xfId="0" applyFont="1" applyFill="1" applyProtection="1">
      <protection locked="0" hidden="1"/>
    </xf>
    <xf numFmtId="44" fontId="18" fillId="0" borderId="0" xfId="0" applyNumberFormat="1" applyFont="1" applyAlignment="1">
      <alignment horizontal="center"/>
    </xf>
    <xf numFmtId="168" fontId="15" fillId="0" borderId="0" xfId="0" applyNumberFormat="1" applyFont="1" applyAlignment="1">
      <alignment horizontal="left"/>
    </xf>
    <xf numFmtId="0" fontId="3" fillId="0" borderId="0" xfId="0" applyFont="1" applyBorder="1"/>
    <xf numFmtId="0" fontId="0" fillId="4" borderId="0" xfId="0" applyFill="1" applyBorder="1"/>
    <xf numFmtId="0" fontId="3" fillId="0" borderId="0" xfId="0" applyFont="1" applyAlignment="1">
      <alignment horizontal="center"/>
    </xf>
    <xf numFmtId="17" fontId="2" fillId="0" borderId="0" xfId="10" applyNumberFormat="1" applyFont="1" applyAlignment="1">
      <alignment horizontal="center"/>
    </xf>
    <xf numFmtId="0" fontId="14" fillId="0" borderId="11" xfId="0" applyFont="1" applyBorder="1"/>
    <xf numFmtId="167" fontId="8" fillId="0" borderId="0" xfId="1" applyNumberFormat="1" applyFont="1"/>
    <xf numFmtId="0" fontId="0" fillId="0" borderId="1" xfId="0" applyBorder="1"/>
    <xf numFmtId="175" fontId="0" fillId="0" borderId="1" xfId="10" applyNumberFormat="1" applyFont="1" applyBorder="1"/>
    <xf numFmtId="172" fontId="0" fillId="0" borderId="1" xfId="10" applyNumberFormat="1" applyFont="1" applyBorder="1"/>
    <xf numFmtId="44" fontId="0" fillId="0" borderId="1" xfId="10" applyNumberFormat="1" applyFont="1" applyBorder="1"/>
    <xf numFmtId="44" fontId="0" fillId="0" borderId="1" xfId="10" applyFont="1" applyBorder="1"/>
    <xf numFmtId="44" fontId="0" fillId="0" borderId="1" xfId="0" applyNumberFormat="1" applyBorder="1"/>
    <xf numFmtId="0" fontId="15" fillId="0" borderId="11" xfId="0" applyFont="1" applyBorder="1"/>
    <xf numFmtId="0" fontId="6" fillId="0" borderId="11" xfId="0" applyFont="1" applyBorder="1"/>
    <xf numFmtId="0" fontId="12" fillId="0" borderId="11" xfId="0" applyFont="1" applyBorder="1"/>
    <xf numFmtId="0" fontId="3" fillId="0" borderId="11" xfId="0" applyFont="1" applyBorder="1"/>
    <xf numFmtId="44" fontId="3" fillId="0" borderId="0" xfId="21" applyNumberFormat="1" applyFont="1"/>
    <xf numFmtId="0" fontId="0" fillId="0" borderId="11" xfId="0" applyBorder="1"/>
    <xf numFmtId="44" fontId="3" fillId="0" borderId="0" xfId="0" applyNumberFormat="1" applyFont="1"/>
    <xf numFmtId="0" fontId="3" fillId="0" borderId="0" xfId="0" applyFont="1" applyAlignment="1">
      <alignment horizontal="left"/>
    </xf>
    <xf numFmtId="0" fontId="14" fillId="0" borderId="0" xfId="0" applyFont="1" applyBorder="1"/>
    <xf numFmtId="44" fontId="14" fillId="0" borderId="11" xfId="10" applyFont="1" applyBorder="1"/>
    <xf numFmtId="0" fontId="1" fillId="4" borderId="0" xfId="0" applyFont="1" applyFill="1" applyBorder="1"/>
    <xf numFmtId="3" fontId="0" fillId="4" borderId="0" xfId="0" applyNumberFormat="1" applyFill="1"/>
    <xf numFmtId="3" fontId="16" fillId="4" borderId="0" xfId="0" applyNumberFormat="1" applyFont="1" applyFill="1"/>
    <xf numFmtId="0" fontId="0" fillId="4" borderId="0" xfId="0" applyFill="1" applyAlignment="1">
      <alignment horizontal="center"/>
    </xf>
    <xf numFmtId="166" fontId="1" fillId="0" borderId="1" xfId="10" applyNumberFormat="1" applyFill="1" applyBorder="1"/>
    <xf numFmtId="0" fontId="16" fillId="4" borderId="0" xfId="0" applyFont="1" applyFill="1"/>
    <xf numFmtId="44" fontId="1" fillId="0" borderId="1" xfId="10" applyFill="1" applyBorder="1"/>
    <xf numFmtId="0" fontId="0" fillId="4" borderId="0" xfId="0" applyFill="1" applyBorder="1" applyAlignment="1">
      <alignment horizontal="center"/>
    </xf>
    <xf numFmtId="175" fontId="1" fillId="4" borderId="0" xfId="10" applyNumberFormat="1" applyFill="1" applyBorder="1"/>
    <xf numFmtId="0" fontId="16" fillId="4" borderId="0" xfId="0" applyFont="1" applyFill="1" applyBorder="1"/>
    <xf numFmtId="44" fontId="1" fillId="4" borderId="0" xfId="10" applyFill="1" applyBorder="1"/>
    <xf numFmtId="0" fontId="2" fillId="4" borderId="0" xfId="10" applyNumberFormat="1" applyFont="1" applyFill="1" applyBorder="1"/>
    <xf numFmtId="169" fontId="1" fillId="0" borderId="1" xfId="10" applyNumberFormat="1" applyFill="1" applyBorder="1"/>
    <xf numFmtId="0" fontId="0" fillId="0" borderId="1" xfId="0" applyFill="1" applyBorder="1" applyAlignment="1">
      <alignment horizontal="center"/>
    </xf>
    <xf numFmtId="3" fontId="16" fillId="4" borderId="0" xfId="0" applyNumberFormat="1" applyFont="1" applyFill="1" applyBorder="1"/>
    <xf numFmtId="165" fontId="1" fillId="4" borderId="1" xfId="21" applyNumberFormat="1" applyFill="1" applyBorder="1" applyAlignment="1">
      <alignment horizontal="center"/>
    </xf>
    <xf numFmtId="0" fontId="0" fillId="4" borderId="1" xfId="0" applyFill="1" applyBorder="1" applyAlignment="1">
      <alignment horizontal="center"/>
    </xf>
    <xf numFmtId="180" fontId="0" fillId="0" borderId="1" xfId="10" applyNumberFormat="1" applyFont="1" applyBorder="1"/>
    <xf numFmtId="177" fontId="0" fillId="0" borderId="1" xfId="10" applyNumberFormat="1" applyFont="1" applyBorder="1"/>
    <xf numFmtId="164" fontId="0" fillId="0" borderId="1" xfId="10" applyNumberFormat="1" applyFont="1" applyBorder="1"/>
    <xf numFmtId="41" fontId="6" fillId="0" borderId="1" xfId="1" applyNumberFormat="1" applyFont="1" applyFill="1" applyBorder="1" applyProtection="1">
      <protection locked="0"/>
    </xf>
    <xf numFmtId="165" fontId="0" fillId="0" borderId="1" xfId="0" applyNumberFormat="1" applyFill="1" applyBorder="1" applyAlignment="1">
      <alignment horizontal="right"/>
    </xf>
    <xf numFmtId="170" fontId="2" fillId="0" borderId="0" xfId="21" applyNumberFormat="1" applyFont="1"/>
    <xf numFmtId="43" fontId="6" fillId="0" borderId="1" xfId="1" applyNumberFormat="1" applyFont="1" applyFill="1" applyBorder="1" applyProtection="1">
      <protection locked="0"/>
    </xf>
    <xf numFmtId="3" fontId="0" fillId="0" borderId="0" xfId="0" applyNumberFormat="1" applyBorder="1"/>
    <xf numFmtId="3" fontId="16" fillId="0" borderId="0" xfId="0" applyNumberFormat="1" applyFont="1" applyBorder="1"/>
    <xf numFmtId="44" fontId="1" fillId="0" borderId="1" xfId="10" applyBorder="1"/>
    <xf numFmtId="166" fontId="1" fillId="0" borderId="1" xfId="10" applyNumberFormat="1" applyBorder="1"/>
    <xf numFmtId="175" fontId="1" fillId="0" borderId="1" xfId="10" applyNumberFormat="1" applyBorder="1"/>
    <xf numFmtId="0" fontId="3" fillId="0" borderId="11" xfId="0" applyFont="1" applyBorder="1" applyAlignment="1">
      <alignment horizontal="center"/>
    </xf>
    <xf numFmtId="44" fontId="1" fillId="0" borderId="1" xfId="10" applyFont="1" applyBorder="1"/>
    <xf numFmtId="39" fontId="3" fillId="0" borderId="0" xfId="10" applyNumberFormat="1" applyFont="1"/>
    <xf numFmtId="0" fontId="3" fillId="0" borderId="1" xfId="0" applyFont="1" applyBorder="1" applyAlignment="1">
      <alignment horizontal="center"/>
    </xf>
    <xf numFmtId="0" fontId="3" fillId="0" borderId="1" xfId="0" applyFont="1" applyFill="1" applyBorder="1" applyAlignment="1">
      <alignment horizontal="center"/>
    </xf>
    <xf numFmtId="0" fontId="9" fillId="0" borderId="0" xfId="0" applyFont="1" applyAlignment="1">
      <alignment horizontal="left"/>
    </xf>
    <xf numFmtId="39" fontId="8" fillId="0" borderId="0" xfId="10" applyNumberFormat="1" applyFont="1"/>
    <xf numFmtId="39" fontId="9" fillId="0" borderId="0" xfId="10" applyNumberFormat="1" applyFont="1"/>
    <xf numFmtId="174" fontId="8" fillId="0" borderId="0" xfId="10" applyNumberFormat="1" applyFont="1"/>
    <xf numFmtId="0" fontId="25" fillId="0" borderId="0" xfId="0" applyFont="1"/>
    <xf numFmtId="44" fontId="14" fillId="0" borderId="0" xfId="10" applyFont="1"/>
    <xf numFmtId="0" fontId="15" fillId="4" borderId="0" xfId="0" applyFont="1" applyFill="1" applyBorder="1"/>
    <xf numFmtId="0" fontId="21" fillId="2" borderId="0" xfId="0" applyFont="1" applyFill="1" applyAlignment="1">
      <alignment horizontal="center"/>
    </xf>
    <xf numFmtId="0" fontId="6" fillId="0" borderId="1" xfId="0" applyFont="1" applyFill="1" applyBorder="1" applyAlignment="1" applyProtection="1">
      <alignment horizontal="center"/>
      <protection locked="0"/>
    </xf>
    <xf numFmtId="0" fontId="12" fillId="4" borderId="11" xfId="0" applyFont="1" applyFill="1" applyBorder="1"/>
    <xf numFmtId="0" fontId="9" fillId="4" borderId="11" xfId="0" applyFont="1" applyFill="1" applyBorder="1"/>
    <xf numFmtId="0" fontId="0" fillId="4" borderId="11" xfId="0" applyFill="1" applyBorder="1"/>
    <xf numFmtId="0" fontId="0" fillId="0" borderId="0" xfId="0" applyAlignment="1">
      <alignment horizontal="right"/>
    </xf>
    <xf numFmtId="0" fontId="3" fillId="4" borderId="1" xfId="0" applyFont="1" applyFill="1" applyBorder="1" applyAlignment="1">
      <alignment horizontal="center"/>
    </xf>
    <xf numFmtId="0" fontId="24" fillId="0" borderId="0" xfId="0" applyFont="1" applyAlignment="1">
      <alignment vertical="center" wrapText="1"/>
    </xf>
    <xf numFmtId="0" fontId="14" fillId="4" borderId="0" xfId="0" applyFont="1" applyFill="1" applyBorder="1"/>
    <xf numFmtId="0" fontId="13" fillId="4" borderId="0" xfId="0" applyFont="1" applyFill="1" applyBorder="1"/>
    <xf numFmtId="14" fontId="9" fillId="4" borderId="0" xfId="0" applyNumberFormat="1" applyFont="1" applyFill="1" applyBorder="1" applyAlignment="1">
      <alignment horizontal="left"/>
    </xf>
    <xf numFmtId="0" fontId="0" fillId="4" borderId="0" xfId="0" applyFill="1"/>
    <xf numFmtId="170" fontId="2" fillId="4" borderId="0" xfId="21" applyNumberFormat="1" applyFont="1" applyFill="1" applyBorder="1"/>
    <xf numFmtId="0" fontId="15" fillId="4" borderId="0" xfId="0" applyFont="1" applyFill="1"/>
    <xf numFmtId="3" fontId="8" fillId="4" borderId="0" xfId="0" applyNumberFormat="1" applyFont="1" applyFill="1"/>
    <xf numFmtId="0" fontId="15" fillId="4" borderId="11" xfId="0" applyFont="1" applyFill="1" applyBorder="1"/>
    <xf numFmtId="3" fontId="8" fillId="4" borderId="11" xfId="0" applyNumberFormat="1" applyFont="1" applyFill="1" applyBorder="1"/>
    <xf numFmtId="0" fontId="6" fillId="4" borderId="11" xfId="0" applyFont="1" applyFill="1" applyBorder="1"/>
    <xf numFmtId="44" fontId="8" fillId="4" borderId="11" xfId="10" applyFont="1" applyFill="1" applyBorder="1"/>
    <xf numFmtId="0" fontId="0" fillId="4" borderId="12" xfId="0" applyFill="1" applyBorder="1"/>
    <xf numFmtId="0" fontId="0" fillId="4" borderId="0" xfId="0" applyNumberFormat="1" applyFill="1" applyBorder="1" applyAlignment="1">
      <alignment horizontal="center"/>
    </xf>
    <xf numFmtId="0" fontId="30" fillId="4" borderId="0" xfId="0" applyNumberFormat="1" applyFont="1" applyFill="1" applyAlignment="1">
      <alignment horizontal="center"/>
    </xf>
    <xf numFmtId="44" fontId="1" fillId="0" borderId="1" xfId="10" applyNumberFormat="1" applyFont="1" applyFill="1" applyBorder="1"/>
    <xf numFmtId="44" fontId="1" fillId="0" borderId="1" xfId="10" applyNumberFormat="1" applyFill="1" applyBorder="1"/>
    <xf numFmtId="17" fontId="16" fillId="4" borderId="0" xfId="0" quotePrefix="1" applyNumberFormat="1" applyFont="1" applyFill="1" applyBorder="1" applyAlignment="1">
      <alignment horizontal="center"/>
    </xf>
    <xf numFmtId="175" fontId="1" fillId="0" borderId="1" xfId="10" applyNumberFormat="1" applyFill="1" applyBorder="1"/>
    <xf numFmtId="0" fontId="3" fillId="4" borderId="0" xfId="0" applyFont="1" applyFill="1" applyBorder="1"/>
    <xf numFmtId="3" fontId="3" fillId="4" borderId="0" xfId="0" applyNumberFormat="1" applyFont="1" applyFill="1" applyBorder="1"/>
    <xf numFmtId="0" fontId="17" fillId="4" borderId="0" xfId="0" applyFont="1" applyFill="1" applyBorder="1"/>
    <xf numFmtId="44" fontId="12" fillId="4" borderId="0" xfId="0" applyNumberFormat="1" applyFont="1" applyFill="1" applyBorder="1" applyAlignment="1">
      <alignment horizontal="center"/>
    </xf>
    <xf numFmtId="0" fontId="3" fillId="4" borderId="11" xfId="0" applyFont="1" applyFill="1" applyBorder="1"/>
    <xf numFmtId="3" fontId="3" fillId="4" borderId="11" xfId="0" applyNumberFormat="1" applyFont="1" applyFill="1" applyBorder="1"/>
    <xf numFmtId="0" fontId="17" fillId="4" borderId="11" xfId="0" applyFont="1" applyFill="1" applyBorder="1"/>
    <xf numFmtId="0" fontId="0" fillId="4" borderId="11" xfId="0" applyNumberFormat="1" applyFill="1" applyBorder="1" applyAlignment="1">
      <alignment horizontal="center"/>
    </xf>
    <xf numFmtId="0" fontId="0" fillId="0" borderId="0" xfId="0" applyNumberFormat="1" applyAlignment="1">
      <alignment horizontal="center"/>
    </xf>
    <xf numFmtId="165" fontId="1" fillId="4" borderId="0" xfId="21" applyNumberFormat="1" applyFill="1" applyBorder="1"/>
    <xf numFmtId="0" fontId="31" fillId="4" borderId="0" xfId="0" applyFont="1" applyFill="1" applyBorder="1"/>
    <xf numFmtId="177" fontId="1" fillId="0" borderId="1" xfId="10" applyNumberFormat="1" applyFill="1" applyBorder="1"/>
    <xf numFmtId="171" fontId="0" fillId="0" borderId="1" xfId="0" applyNumberFormat="1" applyFill="1" applyBorder="1" applyAlignment="1">
      <alignment horizontal="right"/>
    </xf>
    <xf numFmtId="0" fontId="12" fillId="4" borderId="0" xfId="0" applyFont="1" applyFill="1" applyBorder="1"/>
    <xf numFmtId="3" fontId="14" fillId="4" borderId="0" xfId="0" applyNumberFormat="1" applyFont="1" applyFill="1"/>
    <xf numFmtId="3" fontId="32" fillId="4" borderId="0" xfId="0" applyNumberFormat="1" applyFont="1" applyFill="1" applyBorder="1"/>
    <xf numFmtId="0" fontId="14" fillId="4" borderId="0" xfId="0" applyFont="1" applyFill="1" applyBorder="1" applyAlignment="1">
      <alignment horizontal="center"/>
    </xf>
    <xf numFmtId="0" fontId="32" fillId="4" borderId="0" xfId="0" applyFont="1" applyFill="1"/>
    <xf numFmtId="17" fontId="32" fillId="4" borderId="0" xfId="0" quotePrefix="1" applyNumberFormat="1" applyFont="1" applyFill="1" applyBorder="1" applyAlignment="1">
      <alignment horizontal="center"/>
    </xf>
    <xf numFmtId="0" fontId="14" fillId="4" borderId="11" xfId="0" applyFont="1" applyFill="1" applyBorder="1"/>
    <xf numFmtId="44" fontId="14" fillId="4" borderId="11" xfId="0" applyNumberFormat="1" applyFont="1" applyFill="1" applyBorder="1" applyAlignment="1">
      <alignment horizontal="center"/>
    </xf>
    <xf numFmtId="44" fontId="14" fillId="4" borderId="11" xfId="10" applyNumberFormat="1" applyFont="1" applyFill="1" applyBorder="1"/>
    <xf numFmtId="175" fontId="1" fillId="4" borderId="0" xfId="10" applyNumberFormat="1" applyFont="1" applyFill="1" applyBorder="1"/>
    <xf numFmtId="44" fontId="3" fillId="4" borderId="0" xfId="10" applyFont="1" applyFill="1" applyBorder="1"/>
    <xf numFmtId="44" fontId="14" fillId="4" borderId="0" xfId="10" applyFont="1" applyFill="1" applyBorder="1"/>
    <xf numFmtId="39" fontId="3" fillId="4" borderId="0" xfId="0" applyNumberFormat="1" applyFont="1" applyFill="1"/>
    <xf numFmtId="170" fontId="3" fillId="0" borderId="0" xfId="21" applyNumberFormat="1" applyFont="1"/>
    <xf numFmtId="183" fontId="0" fillId="4" borderId="0" xfId="0" applyNumberFormat="1" applyFill="1" applyBorder="1"/>
    <xf numFmtId="0" fontId="9" fillId="4" borderId="0" xfId="0" applyFont="1" applyFill="1" applyBorder="1" applyAlignment="1">
      <alignment horizontal="left"/>
    </xf>
    <xf numFmtId="7" fontId="3" fillId="0" borderId="0" xfId="10" applyNumberFormat="1" applyFont="1" applyBorder="1"/>
    <xf numFmtId="44" fontId="0" fillId="0" borderId="1" xfId="0" applyNumberFormat="1" applyFill="1" applyBorder="1" applyAlignment="1">
      <alignment horizontal="right"/>
    </xf>
    <xf numFmtId="0" fontId="10" fillId="4" borderId="0" xfId="0" applyFont="1" applyFill="1" applyAlignment="1"/>
    <xf numFmtId="0" fontId="11" fillId="0" borderId="0" xfId="0" applyFont="1" applyAlignment="1"/>
    <xf numFmtId="44" fontId="29" fillId="0" borderId="0" xfId="0" applyNumberFormat="1" applyFont="1" applyAlignment="1"/>
    <xf numFmtId="0" fontId="34" fillId="0" borderId="0" xfId="0" applyFont="1"/>
    <xf numFmtId="164" fontId="1" fillId="0" borderId="1" xfId="10" applyNumberFormat="1" applyFill="1" applyBorder="1"/>
    <xf numFmtId="183" fontId="2" fillId="4" borderId="0" xfId="0" applyNumberFormat="1" applyFont="1" applyFill="1" applyBorder="1" applyAlignment="1">
      <alignment horizontal="center"/>
    </xf>
    <xf numFmtId="0" fontId="10" fillId="0" borderId="0" xfId="0" applyFont="1" applyAlignment="1"/>
    <xf numFmtId="0" fontId="24" fillId="0" borderId="8" xfId="0" applyFont="1" applyBorder="1" applyAlignment="1">
      <alignment vertical="center" wrapText="1"/>
    </xf>
    <xf numFmtId="181" fontId="1" fillId="0" borderId="1" xfId="10" applyNumberFormat="1" applyFill="1" applyBorder="1"/>
    <xf numFmtId="168" fontId="15" fillId="0" borderId="0" xfId="0" applyNumberFormat="1" applyFont="1" applyAlignment="1"/>
    <xf numFmtId="184" fontId="0" fillId="0" borderId="0" xfId="0" applyNumberFormat="1"/>
    <xf numFmtId="7" fontId="3" fillId="0" borderId="0" xfId="0" applyNumberFormat="1" applyFont="1"/>
    <xf numFmtId="44" fontId="0" fillId="0" borderId="1" xfId="10" applyFont="1" applyFill="1" applyBorder="1"/>
    <xf numFmtId="0" fontId="2" fillId="4" borderId="0" xfId="0" applyFont="1" applyFill="1" applyBorder="1"/>
    <xf numFmtId="182" fontId="6" fillId="0" borderId="1" xfId="1" applyNumberFormat="1" applyFont="1" applyFill="1" applyBorder="1" applyProtection="1">
      <protection locked="0"/>
    </xf>
    <xf numFmtId="185" fontId="8" fillId="0" borderId="0" xfId="0" applyNumberFormat="1" applyFont="1" applyFill="1"/>
    <xf numFmtId="0" fontId="2" fillId="2" borderId="0" xfId="0" applyFont="1" applyFill="1" applyProtection="1">
      <protection locked="0"/>
    </xf>
    <xf numFmtId="0" fontId="2" fillId="2" borderId="0" xfId="0" applyFont="1" applyFill="1" applyProtection="1">
      <protection locked="0" hidden="1"/>
    </xf>
    <xf numFmtId="6" fontId="2" fillId="2" borderId="0" xfId="0" applyNumberFormat="1" applyFont="1" applyFill="1"/>
    <xf numFmtId="0" fontId="1" fillId="2" borderId="0" xfId="0" applyFont="1" applyFill="1"/>
    <xf numFmtId="0" fontId="23" fillId="0" borderId="0" xfId="19" applyAlignment="1" applyProtection="1"/>
    <xf numFmtId="0" fontId="0" fillId="2" borderId="0" xfId="0" applyFill="1" applyAlignment="1">
      <alignment horizontal="right"/>
    </xf>
    <xf numFmtId="0" fontId="6" fillId="5" borderId="0" xfId="0" applyFont="1" applyFill="1"/>
    <xf numFmtId="184" fontId="0" fillId="4" borderId="0" xfId="0" applyNumberFormat="1" applyFill="1" applyBorder="1"/>
    <xf numFmtId="184" fontId="0" fillId="4" borderId="0" xfId="0" applyNumberFormat="1" applyFill="1" applyBorder="1" applyAlignment="1">
      <alignment horizontal="right"/>
    </xf>
    <xf numFmtId="183" fontId="0" fillId="0" borderId="0" xfId="0" applyNumberFormat="1"/>
    <xf numFmtId="0" fontId="8" fillId="2" borderId="0" xfId="0" applyFont="1" applyFill="1"/>
    <xf numFmtId="17" fontId="28" fillId="2" borderId="0" xfId="0" applyNumberFormat="1" applyFont="1" applyFill="1" applyBorder="1" applyAlignment="1">
      <alignment horizontal="left"/>
    </xf>
    <xf numFmtId="179" fontId="0" fillId="2" borderId="0" xfId="0" applyNumberFormat="1" applyFill="1"/>
    <xf numFmtId="0" fontId="0" fillId="0" borderId="0" xfId="0" applyFill="1"/>
    <xf numFmtId="0" fontId="2" fillId="0" borderId="0" xfId="0" applyFont="1" applyAlignment="1">
      <alignment horizontal="right"/>
    </xf>
    <xf numFmtId="44" fontId="37" fillId="0" borderId="0" xfId="10" applyFont="1"/>
    <xf numFmtId="3" fontId="2" fillId="2" borderId="0" xfId="0" applyNumberFormat="1" applyFont="1" applyFill="1"/>
    <xf numFmtId="2" fontId="38" fillId="2" borderId="0" xfId="0" applyNumberFormat="1" applyFont="1" applyFill="1"/>
    <xf numFmtId="0" fontId="2" fillId="2" borderId="0" xfId="0" applyFont="1" applyFill="1"/>
    <xf numFmtId="8" fontId="2" fillId="2" borderId="0" xfId="0" applyNumberFormat="1" applyFont="1" applyFill="1" applyAlignment="1">
      <alignment horizontal="right"/>
    </xf>
    <xf numFmtId="170" fontId="3" fillId="2" borderId="0" xfId="0" applyNumberFormat="1" applyFont="1" applyFill="1" applyAlignment="1">
      <alignment horizontal="center"/>
    </xf>
    <xf numFmtId="0" fontId="2" fillId="2" borderId="0" xfId="0" applyFont="1" applyFill="1" applyAlignment="1" applyProtection="1">
      <alignment horizontal="center"/>
      <protection hidden="1"/>
    </xf>
    <xf numFmtId="0" fontId="2" fillId="2" borderId="0" xfId="0" applyFont="1" applyFill="1" applyAlignment="1" applyProtection="1">
      <alignment horizontal="left"/>
      <protection locked="0"/>
    </xf>
    <xf numFmtId="0" fontId="20" fillId="2" borderId="0" xfId="0" applyFont="1" applyFill="1"/>
    <xf numFmtId="175" fontId="0" fillId="0" borderId="1" xfId="0" applyNumberFormat="1" applyFill="1" applyBorder="1" applyAlignment="1">
      <alignment horizontal="right"/>
    </xf>
    <xf numFmtId="165" fontId="0" fillId="0" borderId="1" xfId="21" applyNumberFormat="1" applyFont="1" applyFill="1" applyBorder="1" applyAlignment="1">
      <alignment horizontal="right"/>
    </xf>
    <xf numFmtId="186" fontId="1" fillId="0" borderId="1" xfId="10" applyNumberFormat="1" applyFill="1" applyBorder="1"/>
    <xf numFmtId="0" fontId="0" fillId="2" borderId="0" xfId="0" applyFill="1" applyAlignment="1">
      <alignment horizontal="left"/>
    </xf>
    <xf numFmtId="0" fontId="0" fillId="4" borderId="0" xfId="0" applyFont="1" applyFill="1" applyBorder="1"/>
    <xf numFmtId="0" fontId="45" fillId="0" borderId="0" xfId="0" applyFont="1" applyAlignment="1">
      <alignment horizontal="left"/>
    </xf>
    <xf numFmtId="39" fontId="45" fillId="4" borderId="0" xfId="0" applyNumberFormat="1" applyFont="1" applyFill="1"/>
    <xf numFmtId="14" fontId="2" fillId="2" borderId="0" xfId="0" applyNumberFormat="1" applyFont="1" applyFill="1"/>
    <xf numFmtId="14" fontId="16" fillId="4" borderId="0" xfId="0" quotePrefix="1" applyNumberFormat="1" applyFont="1" applyFill="1" applyBorder="1" applyAlignment="1">
      <alignment horizontal="center"/>
    </xf>
    <xf numFmtId="183" fontId="16" fillId="4" borderId="0" xfId="0" quotePrefix="1" applyNumberFormat="1" applyFont="1" applyFill="1" applyBorder="1" applyAlignment="1">
      <alignment horizontal="center"/>
    </xf>
    <xf numFmtId="175" fontId="42" fillId="0" borderId="1" xfId="11" applyNumberFormat="1" applyFill="1" applyBorder="1"/>
    <xf numFmtId="0" fontId="46" fillId="2" borderId="0" xfId="0" applyFont="1" applyFill="1" applyAlignment="1" applyProtection="1">
      <alignment horizontal="left"/>
      <protection locked="0"/>
    </xf>
    <xf numFmtId="0" fontId="2" fillId="4" borderId="0" xfId="0" applyFont="1" applyFill="1" applyAlignment="1">
      <alignment horizontal="center"/>
    </xf>
    <xf numFmtId="44" fontId="1" fillId="6" borderId="1" xfId="10" applyFill="1" applyBorder="1"/>
    <xf numFmtId="175" fontId="0" fillId="0" borderId="1" xfId="10" applyNumberFormat="1" applyFont="1" applyFill="1" applyBorder="1" applyAlignment="1">
      <alignment horizontal="right"/>
    </xf>
    <xf numFmtId="17" fontId="21" fillId="2" borderId="13" xfId="0" applyNumberFormat="1" applyFont="1" applyFill="1" applyBorder="1" applyAlignment="1">
      <alignment horizontal="center"/>
    </xf>
    <xf numFmtId="0" fontId="0" fillId="4" borderId="0" xfId="0" applyFill="1" applyBorder="1" applyAlignment="1">
      <alignment horizontal="center" vertical="center"/>
    </xf>
    <xf numFmtId="0" fontId="0" fillId="0" borderId="0" xfId="0" applyAlignment="1">
      <alignment horizontal="center" vertical="center"/>
    </xf>
    <xf numFmtId="17" fontId="21" fillId="2" borderId="13" xfId="0" applyNumberFormat="1" applyFont="1" applyFill="1" applyBorder="1" applyAlignment="1"/>
    <xf numFmtId="0" fontId="47" fillId="2" borderId="0" xfId="0" applyFont="1" applyFill="1" applyAlignment="1">
      <alignment horizontal="left" vertical="center" wrapText="1"/>
    </xf>
    <xf numFmtId="6" fontId="46" fillId="2" borderId="0" xfId="0" applyNumberFormat="1" applyFont="1" applyFill="1" applyAlignment="1">
      <alignment horizontal="left"/>
    </xf>
    <xf numFmtId="7" fontId="0" fillId="0" borderId="1" xfId="0" applyNumberFormat="1" applyFill="1" applyBorder="1" applyAlignment="1">
      <alignment horizontal="right"/>
    </xf>
    <xf numFmtId="44" fontId="0" fillId="0" borderId="1" xfId="10" applyFont="1" applyFill="1" applyBorder="1" applyAlignment="1">
      <alignment horizontal="right"/>
    </xf>
    <xf numFmtId="7" fontId="1" fillId="0" borderId="1" xfId="10" applyNumberFormat="1" applyFill="1" applyBorder="1"/>
    <xf numFmtId="41" fontId="15" fillId="4" borderId="0" xfId="0" applyNumberFormat="1" applyFont="1" applyFill="1"/>
    <xf numFmtId="0" fontId="48" fillId="0" borderId="0" xfId="0" applyFont="1"/>
    <xf numFmtId="175" fontId="0" fillId="0" borderId="1" xfId="10" applyNumberFormat="1" applyFont="1" applyFill="1" applyBorder="1"/>
    <xf numFmtId="187" fontId="16" fillId="4" borderId="0" xfId="0" quotePrefix="1" applyNumberFormat="1" applyFont="1" applyFill="1" applyBorder="1" applyAlignment="1">
      <alignment horizontal="center"/>
    </xf>
    <xf numFmtId="175" fontId="0" fillId="0" borderId="1" xfId="12" applyNumberFormat="1" applyFont="1" applyFill="1" applyBorder="1"/>
    <xf numFmtId="44" fontId="0" fillId="0" borderId="1" xfId="12" applyFont="1" applyFill="1" applyBorder="1"/>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5" fontId="1" fillId="0" borderId="0" xfId="10" applyNumberFormat="1" applyFont="1" applyFill="1" applyBorder="1"/>
    <xf numFmtId="14" fontId="0" fillId="0" borderId="0" xfId="0" applyNumberFormat="1" applyFill="1" applyBorder="1"/>
    <xf numFmtId="0" fontId="2" fillId="0" borderId="19" xfId="0" applyFont="1" applyBorder="1" applyAlignment="1">
      <alignment horizontal="right"/>
    </xf>
    <xf numFmtId="0" fontId="2" fillId="0" borderId="0" xfId="0" applyFont="1" applyBorder="1" applyAlignment="1">
      <alignment horizontal="right"/>
    </xf>
    <xf numFmtId="168" fontId="15" fillId="0" borderId="0" xfId="0" applyNumberFormat="1" applyFont="1" applyAlignment="1">
      <alignment horizontal="center" vertical="center"/>
    </xf>
    <xf numFmtId="0" fontId="45" fillId="0" borderId="0" xfId="0" applyFont="1" applyBorder="1" applyAlignment="1">
      <alignment horizontal="left"/>
    </xf>
    <xf numFmtId="0" fontId="0" fillId="0" borderId="0" xfId="0" applyFill="1" applyBorder="1"/>
    <xf numFmtId="168" fontId="15" fillId="0" borderId="0" xfId="0" applyNumberFormat="1" applyFont="1" applyAlignment="1">
      <alignment horizontal="left"/>
    </xf>
    <xf numFmtId="0" fontId="15" fillId="4" borderId="0" xfId="0" applyFont="1" applyFill="1" applyBorder="1"/>
    <xf numFmtId="173" fontId="0" fillId="0" borderId="1" xfId="10" applyNumberFormat="1" applyFont="1" applyBorder="1"/>
    <xf numFmtId="173" fontId="0" fillId="0" borderId="1" xfId="0" applyNumberFormat="1" applyBorder="1"/>
    <xf numFmtId="0" fontId="2" fillId="4" borderId="0" xfId="0" applyFont="1" applyFill="1" applyBorder="1" applyAlignment="1">
      <alignment horizontal="center"/>
    </xf>
    <xf numFmtId="168" fontId="15" fillId="0" borderId="0" xfId="0" applyNumberFormat="1" applyFont="1" applyAlignment="1">
      <alignment horizontal="left"/>
    </xf>
    <xf numFmtId="0" fontId="3" fillId="0" borderId="1" xfId="0" applyFont="1" applyBorder="1" applyAlignment="1">
      <alignment horizontal="center"/>
    </xf>
    <xf numFmtId="0" fontId="14" fillId="0" borderId="11" xfId="0" applyFont="1" applyBorder="1"/>
    <xf numFmtId="176" fontId="8" fillId="0" borderId="0" xfId="0" applyNumberFormat="1" applyFont="1" applyFill="1"/>
    <xf numFmtId="14" fontId="1" fillId="2" borderId="0" xfId="0" applyNumberFormat="1" applyFont="1" applyFill="1"/>
    <xf numFmtId="0" fontId="1" fillId="0" borderId="0" xfId="0" applyFont="1"/>
    <xf numFmtId="0" fontId="1" fillId="0" borderId="0" xfId="0" applyFont="1" applyAlignment="1">
      <alignment horizontal="right"/>
    </xf>
    <xf numFmtId="188" fontId="6" fillId="0" borderId="1" xfId="1" applyNumberFormat="1" applyFont="1" applyFill="1" applyBorder="1" applyProtection="1">
      <protection locked="0"/>
    </xf>
    <xf numFmtId="44" fontId="3" fillId="0" borderId="0" xfId="10" applyNumberFormat="1" applyFont="1" applyBorder="1"/>
    <xf numFmtId="9" fontId="0" fillId="4" borderId="0" xfId="21" applyFont="1" applyFill="1" applyBorder="1"/>
    <xf numFmtId="175" fontId="2" fillId="0" borderId="0" xfId="10" applyNumberFormat="1" applyFont="1" applyFill="1" applyBorder="1" applyAlignment="1">
      <alignment horizontal="center"/>
    </xf>
    <xf numFmtId="175" fontId="0" fillId="0" borderId="0" xfId="10" applyNumberFormat="1" applyFont="1" applyFill="1" applyBorder="1" applyAlignment="1">
      <alignment horizontal="center"/>
    </xf>
    <xf numFmtId="0" fontId="16" fillId="0" borderId="0" xfId="30" applyFont="1"/>
    <xf numFmtId="0" fontId="16" fillId="0" borderId="0" xfId="30" applyFont="1" applyAlignment="1">
      <alignment vertical="center" wrapText="1"/>
    </xf>
    <xf numFmtId="0" fontId="17" fillId="0" borderId="0" xfId="30" applyFont="1" applyAlignment="1">
      <alignment vertical="center" wrapText="1"/>
    </xf>
    <xf numFmtId="0" fontId="52" fillId="0" borderId="0" xfId="30" applyFont="1" applyAlignment="1">
      <alignment vertical="center"/>
    </xf>
    <xf numFmtId="0" fontId="17" fillId="4" borderId="0" xfId="30" applyFont="1" applyFill="1" applyAlignment="1">
      <alignment vertical="center" wrapText="1"/>
    </xf>
    <xf numFmtId="0" fontId="16" fillId="4" borderId="0" xfId="30" applyFont="1" applyFill="1" applyAlignment="1">
      <alignment vertical="center" wrapText="1"/>
    </xf>
    <xf numFmtId="0" fontId="1" fillId="0" borderId="0" xfId="30"/>
    <xf numFmtId="0" fontId="2" fillId="0" borderId="0" xfId="0" applyFont="1" applyFill="1" applyAlignment="1">
      <alignment horizontal="right"/>
    </xf>
    <xf numFmtId="0" fontId="9" fillId="0" borderId="0" xfId="0" applyFont="1" applyFill="1"/>
    <xf numFmtId="0" fontId="0" fillId="0" borderId="0" xfId="0" applyFill="1" applyAlignment="1">
      <alignment horizontal="right"/>
    </xf>
    <xf numFmtId="3" fontId="47" fillId="0" borderId="1" xfId="0" applyNumberFormat="1" applyFont="1" applyBorder="1" applyProtection="1">
      <protection locked="0"/>
    </xf>
    <xf numFmtId="0" fontId="3" fillId="0" borderId="0" xfId="0" applyFont="1" applyFill="1" applyBorder="1" applyAlignment="1">
      <alignment horizontal="center"/>
    </xf>
    <xf numFmtId="0" fontId="3" fillId="0" borderId="0" xfId="0" applyFont="1" applyBorder="1" applyAlignment="1">
      <alignment horizontal="center"/>
    </xf>
    <xf numFmtId="175" fontId="1" fillId="0" borderId="0" xfId="10" applyNumberFormat="1" applyFill="1" applyBorder="1"/>
    <xf numFmtId="173" fontId="1" fillId="0" borderId="0" xfId="10" applyNumberFormat="1" applyFill="1" applyBorder="1"/>
    <xf numFmtId="171" fontId="1" fillId="0" borderId="0" xfId="21" applyNumberFormat="1" applyFont="1" applyFill="1" applyBorder="1" applyAlignment="1">
      <alignment horizontal="right"/>
    </xf>
    <xf numFmtId="0" fontId="43" fillId="0" borderId="0" xfId="0" applyFont="1" applyFill="1" applyBorder="1" applyAlignment="1">
      <alignment horizontal="center"/>
    </xf>
    <xf numFmtId="0" fontId="1" fillId="0" borderId="0" xfId="0" applyFont="1" applyBorder="1"/>
    <xf numFmtId="0" fontId="9" fillId="0" borderId="0" xfId="0" applyFont="1" applyFill="1" applyBorder="1" applyAlignment="1">
      <alignment horizontal="center"/>
    </xf>
    <xf numFmtId="44" fontId="1" fillId="0" borderId="0" xfId="10" applyNumberFormat="1" applyFill="1" applyBorder="1"/>
    <xf numFmtId="165" fontId="1" fillId="0" borderId="0" xfId="21" applyNumberFormat="1" applyFill="1" applyBorder="1"/>
    <xf numFmtId="14" fontId="0" fillId="0" borderId="0" xfId="0" applyNumberFormat="1" applyBorder="1"/>
    <xf numFmtId="44" fontId="0" fillId="0" borderId="0" xfId="12" applyFont="1" applyFill="1" applyBorder="1"/>
    <xf numFmtId="44" fontId="0" fillId="0" borderId="0" xfId="10" applyFont="1" applyFill="1" applyBorder="1"/>
    <xf numFmtId="165" fontId="0" fillId="0" borderId="0" xfId="21" applyNumberFormat="1" applyFont="1" applyFill="1" applyBorder="1"/>
    <xf numFmtId="165" fontId="2" fillId="0" borderId="0" xfId="0" applyNumberFormat="1" applyFont="1" applyFill="1" applyBorder="1" applyAlignment="1">
      <alignment horizontal="center"/>
    </xf>
    <xf numFmtId="171" fontId="2" fillId="0" borderId="0" xfId="21" applyNumberFormat="1" applyFont="1" applyBorder="1" applyAlignment="1">
      <alignment horizontal="center"/>
    </xf>
    <xf numFmtId="0" fontId="0" fillId="0" borderId="0" xfId="0" applyFill="1" applyBorder="1" applyAlignment="1">
      <alignment horizontal="center" vertical="center"/>
    </xf>
    <xf numFmtId="43" fontId="1" fillId="0" borderId="1" xfId="1" applyFill="1" applyBorder="1"/>
    <xf numFmtId="14" fontId="0" fillId="0" borderId="0" xfId="0" applyNumberFormat="1" applyBorder="1" applyAlignment="1">
      <alignment horizontal="center" vertical="center"/>
    </xf>
    <xf numFmtId="175" fontId="0" fillId="0" borderId="0" xfId="10" applyNumberFormat="1" applyFont="1" applyBorder="1"/>
    <xf numFmtId="165" fontId="1" fillId="0" borderId="0" xfId="21" applyNumberFormat="1" applyFont="1" applyFill="1" applyBorder="1"/>
    <xf numFmtId="14" fontId="1" fillId="0" borderId="0" xfId="0" applyNumberFormat="1" applyFont="1" applyBorder="1" applyAlignment="1">
      <alignment horizontal="right"/>
    </xf>
    <xf numFmtId="168" fontId="15" fillId="0" borderId="0" xfId="0" applyNumberFormat="1" applyFont="1" applyAlignment="1">
      <alignment horizontal="left"/>
    </xf>
    <xf numFmtId="0" fontId="3" fillId="0" borderId="1" xfId="0" applyFont="1" applyBorder="1" applyAlignment="1">
      <alignment horizontal="center"/>
    </xf>
    <xf numFmtId="44" fontId="1" fillId="0" borderId="0" xfId="10" applyFill="1" applyBorder="1"/>
    <xf numFmtId="175" fontId="1" fillId="0" borderId="0" xfId="31" applyNumberFormat="1" applyFill="1" applyBorder="1"/>
    <xf numFmtId="175" fontId="1" fillId="0" borderId="0" xfId="31" applyNumberFormat="1" applyFont="1" applyFill="1" applyBorder="1"/>
    <xf numFmtId="0" fontId="0" fillId="6" borderId="0" xfId="0" applyFill="1"/>
    <xf numFmtId="44" fontId="18" fillId="6" borderId="0" xfId="0" applyNumberFormat="1" applyFont="1" applyFill="1" applyAlignment="1">
      <alignment horizontal="center"/>
    </xf>
    <xf numFmtId="168" fontId="15" fillId="6" borderId="0" xfId="0" applyNumberFormat="1" applyFont="1" applyFill="1" applyAlignment="1">
      <alignment horizontal="left"/>
    </xf>
    <xf numFmtId="168" fontId="15" fillId="6" borderId="0" xfId="0" applyNumberFormat="1" applyFont="1" applyFill="1" applyAlignment="1"/>
    <xf numFmtId="0" fontId="0" fillId="6" borderId="0" xfId="0" applyFill="1" applyBorder="1"/>
    <xf numFmtId="0" fontId="12" fillId="6" borderId="0" xfId="0" applyFont="1" applyFill="1"/>
    <xf numFmtId="0" fontId="13" fillId="6" borderId="0" xfId="0" applyFont="1" applyFill="1"/>
    <xf numFmtId="0" fontId="9" fillId="6" borderId="0" xfId="0" applyFont="1" applyFill="1"/>
    <xf numFmtId="14" fontId="0" fillId="6" borderId="0" xfId="0" applyNumberFormat="1" applyFill="1"/>
    <xf numFmtId="0" fontId="12" fillId="6" borderId="0" xfId="0" applyFont="1" applyFill="1" applyAlignment="1">
      <alignment horizontal="left"/>
    </xf>
    <xf numFmtId="0" fontId="34" fillId="6" borderId="0" xfId="0" applyFont="1" applyFill="1"/>
    <xf numFmtId="0" fontId="9" fillId="6" borderId="0" xfId="0" applyFont="1" applyFill="1" applyBorder="1" applyAlignment="1">
      <alignment horizontal="left"/>
    </xf>
    <xf numFmtId="0" fontId="9" fillId="6" borderId="0" xfId="0" applyFont="1" applyFill="1" applyAlignment="1">
      <alignment horizontal="left"/>
    </xf>
    <xf numFmtId="0" fontId="0" fillId="6" borderId="11" xfId="0" applyFill="1" applyBorder="1"/>
    <xf numFmtId="0" fontId="0" fillId="6" borderId="0" xfId="0" applyFill="1" applyAlignment="1">
      <alignment horizontal="right"/>
    </xf>
    <xf numFmtId="0" fontId="14" fillId="6" borderId="0" xfId="0" applyFont="1" applyFill="1" applyBorder="1"/>
    <xf numFmtId="183" fontId="0" fillId="6" borderId="0" xfId="0" applyNumberFormat="1" applyFill="1" applyBorder="1"/>
    <xf numFmtId="0" fontId="15" fillId="6" borderId="20" xfId="0" applyFont="1" applyFill="1" applyBorder="1"/>
    <xf numFmtId="0" fontId="15" fillId="6" borderId="0" xfId="0" applyFont="1" applyFill="1"/>
    <xf numFmtId="0" fontId="6" fillId="6" borderId="0" xfId="0" applyFont="1" applyFill="1"/>
    <xf numFmtId="0" fontId="2" fillId="6" borderId="0" xfId="0" applyFont="1" applyFill="1"/>
    <xf numFmtId="0" fontId="14" fillId="6" borderId="8" xfId="0" applyFont="1" applyFill="1" applyBorder="1"/>
    <xf numFmtId="0" fontId="0" fillId="6" borderId="8" xfId="0" applyFill="1" applyBorder="1"/>
    <xf numFmtId="0" fontId="0" fillId="6" borderId="2" xfId="0" applyFill="1" applyBorder="1" applyAlignment="1">
      <alignment horizontal="center"/>
    </xf>
    <xf numFmtId="0" fontId="0" fillId="6" borderId="1" xfId="0" applyFill="1" applyBorder="1" applyAlignment="1">
      <alignment horizontal="center"/>
    </xf>
    <xf numFmtId="0" fontId="3" fillId="6" borderId="1" xfId="0" applyFont="1" applyFill="1" applyBorder="1" applyAlignment="1">
      <alignment horizontal="center"/>
    </xf>
    <xf numFmtId="0" fontId="2" fillId="6" borderId="0" xfId="0" applyFont="1" applyFill="1" applyAlignment="1">
      <alignment horizontal="center"/>
    </xf>
    <xf numFmtId="0" fontId="0" fillId="6" borderId="20" xfId="0" applyFill="1" applyBorder="1"/>
    <xf numFmtId="0" fontId="0" fillId="6" borderId="1" xfId="0" applyFill="1" applyBorder="1"/>
    <xf numFmtId="14" fontId="16" fillId="6" borderId="0" xfId="0" quotePrefix="1" applyNumberFormat="1" applyFont="1" applyFill="1" applyBorder="1" applyAlignment="1">
      <alignment horizontal="center"/>
    </xf>
    <xf numFmtId="0" fontId="1" fillId="6" borderId="20" xfId="0" applyFont="1" applyFill="1" applyBorder="1"/>
    <xf numFmtId="3" fontId="0" fillId="6" borderId="0" xfId="0" applyNumberFormat="1" applyFill="1"/>
    <xf numFmtId="3" fontId="16" fillId="6" borderId="0" xfId="0" applyNumberFormat="1" applyFont="1" applyFill="1"/>
    <xf numFmtId="0" fontId="0" fillId="6" borderId="0" xfId="0" applyFill="1" applyAlignment="1">
      <alignment horizontal="center"/>
    </xf>
    <xf numFmtId="175" fontId="1" fillId="6" borderId="1" xfId="10" applyNumberFormat="1" applyFill="1" applyBorder="1"/>
    <xf numFmtId="0" fontId="16" fillId="6" borderId="0" xfId="0" applyFont="1" applyFill="1"/>
    <xf numFmtId="44" fontId="1" fillId="6" borderId="1" xfId="10" applyFont="1" applyFill="1" applyBorder="1"/>
    <xf numFmtId="0" fontId="3" fillId="6" borderId="0" xfId="0" applyFont="1" applyFill="1" applyAlignment="1">
      <alignment horizontal="left"/>
    </xf>
    <xf numFmtId="0" fontId="3" fillId="6" borderId="0" xfId="0" applyFont="1" applyFill="1"/>
    <xf numFmtId="3" fontId="3" fillId="6" borderId="0" xfId="0" applyNumberFormat="1" applyFont="1" applyFill="1"/>
    <xf numFmtId="44" fontId="3" fillId="6" borderId="0" xfId="10" applyFont="1" applyFill="1"/>
    <xf numFmtId="0" fontId="17" fillId="6" borderId="0" xfId="0" applyFont="1" applyFill="1"/>
    <xf numFmtId="44" fontId="3" fillId="6" borderId="0" xfId="0" applyNumberFormat="1" applyFont="1" applyFill="1"/>
    <xf numFmtId="44" fontId="2" fillId="6" borderId="0" xfId="0" applyNumberFormat="1" applyFont="1" applyFill="1"/>
    <xf numFmtId="165" fontId="1" fillId="6" borderId="0" xfId="21" applyNumberFormat="1" applyFill="1" applyBorder="1"/>
    <xf numFmtId="0" fontId="16" fillId="6" borderId="0" xfId="0" applyFont="1" applyFill="1" applyBorder="1"/>
    <xf numFmtId="44" fontId="1" fillId="6" borderId="0" xfId="10" applyFill="1" applyBorder="1"/>
    <xf numFmtId="0" fontId="2" fillId="6" borderId="0" xfId="10" applyNumberFormat="1" applyFont="1" applyFill="1" applyBorder="1"/>
    <xf numFmtId="0" fontId="3" fillId="6" borderId="11" xfId="0" applyFont="1" applyFill="1" applyBorder="1"/>
    <xf numFmtId="3" fontId="3" fillId="6" borderId="11" xfId="0" applyNumberFormat="1" applyFont="1" applyFill="1" applyBorder="1"/>
    <xf numFmtId="0" fontId="17" fillId="6" borderId="11" xfId="0" applyFont="1" applyFill="1" applyBorder="1"/>
    <xf numFmtId="175" fontId="1" fillId="6" borderId="0" xfId="10" applyNumberFormat="1" applyFill="1" applyBorder="1"/>
    <xf numFmtId="0" fontId="3" fillId="6" borderId="0" xfId="0" applyFont="1" applyFill="1" applyBorder="1"/>
    <xf numFmtId="3" fontId="3" fillId="6" borderId="0" xfId="0" applyNumberFormat="1" applyFont="1" applyFill="1" applyBorder="1"/>
    <xf numFmtId="0" fontId="0" fillId="6" borderId="0" xfId="0" applyFill="1" applyBorder="1" applyAlignment="1">
      <alignment horizontal="center"/>
    </xf>
    <xf numFmtId="0" fontId="1" fillId="6" borderId="0" xfId="0" applyFont="1" applyFill="1" applyBorder="1"/>
    <xf numFmtId="0" fontId="31" fillId="6" borderId="0" xfId="0" applyFont="1" applyFill="1" applyBorder="1"/>
    <xf numFmtId="166" fontId="1" fillId="6" borderId="1" xfId="10" applyNumberFormat="1" applyFill="1" applyBorder="1"/>
    <xf numFmtId="164" fontId="1" fillId="6" borderId="1" xfId="10" applyNumberFormat="1" applyFill="1" applyBorder="1"/>
    <xf numFmtId="3" fontId="0" fillId="6" borderId="0" xfId="0" applyNumberFormat="1" applyFill="1" applyBorder="1"/>
    <xf numFmtId="177" fontId="1" fillId="6" borderId="1" xfId="10" applyNumberFormat="1" applyFill="1" applyBorder="1"/>
    <xf numFmtId="7" fontId="3" fillId="6" borderId="0" xfId="10" applyNumberFormat="1" applyFont="1" applyFill="1" applyBorder="1"/>
    <xf numFmtId="171" fontId="0" fillId="6" borderId="1" xfId="0" applyNumberFormat="1" applyFill="1" applyBorder="1" applyAlignment="1">
      <alignment horizontal="right"/>
    </xf>
    <xf numFmtId="0" fontId="2" fillId="6" borderId="0" xfId="0" applyFont="1" applyFill="1" applyBorder="1"/>
    <xf numFmtId="175" fontId="0" fillId="6" borderId="1" xfId="0" applyNumberFormat="1" applyFill="1" applyBorder="1" applyAlignment="1">
      <alignment horizontal="right"/>
    </xf>
    <xf numFmtId="0" fontId="0" fillId="6" borderId="0" xfId="0" applyFont="1" applyFill="1" applyBorder="1"/>
    <xf numFmtId="3" fontId="16" fillId="6" borderId="0" xfId="0" applyNumberFormat="1" applyFont="1" applyFill="1" applyBorder="1"/>
    <xf numFmtId="181" fontId="1" fillId="6" borderId="1" xfId="10" applyNumberFormat="1" applyFill="1" applyBorder="1"/>
    <xf numFmtId="169" fontId="1" fillId="6" borderId="1" xfId="10" applyNumberFormat="1" applyFill="1" applyBorder="1"/>
    <xf numFmtId="165" fontId="0" fillId="6" borderId="1" xfId="0" applyNumberFormat="1" applyFill="1" applyBorder="1" applyAlignment="1">
      <alignment horizontal="right"/>
    </xf>
    <xf numFmtId="165" fontId="1" fillId="6" borderId="1" xfId="21" applyNumberFormat="1" applyFill="1" applyBorder="1" applyAlignment="1">
      <alignment horizontal="center"/>
    </xf>
    <xf numFmtId="44" fontId="0" fillId="6" borderId="1" xfId="0" applyNumberFormat="1" applyFill="1" applyBorder="1" applyAlignment="1">
      <alignment horizontal="right"/>
    </xf>
    <xf numFmtId="7" fontId="0" fillId="6" borderId="1" xfId="0" applyNumberFormat="1" applyFill="1" applyBorder="1" applyAlignment="1">
      <alignment horizontal="right"/>
    </xf>
    <xf numFmtId="7" fontId="1" fillId="6" borderId="1" xfId="10" applyNumberFormat="1" applyFill="1" applyBorder="1"/>
    <xf numFmtId="175" fontId="0" fillId="6" borderId="1" xfId="10" applyNumberFormat="1" applyFont="1" applyFill="1" applyBorder="1" applyAlignment="1">
      <alignment horizontal="right"/>
    </xf>
    <xf numFmtId="175" fontId="0" fillId="6" borderId="1" xfId="10" applyNumberFormat="1" applyFont="1" applyFill="1" applyBorder="1"/>
    <xf numFmtId="44" fontId="0" fillId="6" borderId="1" xfId="10" applyFont="1" applyFill="1" applyBorder="1"/>
    <xf numFmtId="187" fontId="16" fillId="6" borderId="0" xfId="0" quotePrefix="1" applyNumberFormat="1" applyFont="1" applyFill="1" applyBorder="1" applyAlignment="1">
      <alignment horizontal="center"/>
    </xf>
    <xf numFmtId="0" fontId="12" fillId="6" borderId="0" xfId="0" applyFont="1" applyFill="1" applyBorder="1"/>
    <xf numFmtId="3" fontId="14" fillId="6" borderId="0" xfId="0" applyNumberFormat="1" applyFont="1" applyFill="1"/>
    <xf numFmtId="3" fontId="32" fillId="6" borderId="0" xfId="0" applyNumberFormat="1" applyFont="1" applyFill="1" applyBorder="1"/>
    <xf numFmtId="0" fontId="14" fillId="6" borderId="0" xfId="0" applyFont="1" applyFill="1" applyBorder="1" applyAlignment="1">
      <alignment horizontal="center"/>
    </xf>
    <xf numFmtId="0" fontId="32" fillId="6" borderId="0" xfId="0" applyFont="1" applyFill="1"/>
    <xf numFmtId="44" fontId="12" fillId="6" borderId="0" xfId="0" applyNumberFormat="1" applyFont="1" applyFill="1" applyBorder="1" applyAlignment="1">
      <alignment horizontal="center"/>
    </xf>
    <xf numFmtId="17" fontId="32" fillId="6" borderId="0" xfId="0" quotePrefix="1" applyNumberFormat="1" applyFont="1" applyFill="1" applyBorder="1" applyAlignment="1">
      <alignment horizontal="center"/>
    </xf>
    <xf numFmtId="44" fontId="3" fillId="6" borderId="0" xfId="10" applyFont="1" applyFill="1" applyBorder="1"/>
    <xf numFmtId="17" fontId="16" fillId="6" borderId="0" xfId="0" quotePrefix="1" applyNumberFormat="1" applyFont="1" applyFill="1" applyBorder="1" applyAlignment="1">
      <alignment horizontal="center"/>
    </xf>
    <xf numFmtId="44" fontId="14" fillId="6" borderId="11" xfId="0" applyNumberFormat="1" applyFont="1" applyFill="1" applyBorder="1" applyAlignment="1">
      <alignment horizontal="center"/>
    </xf>
    <xf numFmtId="44" fontId="14" fillId="6" borderId="11" xfId="10" applyNumberFormat="1" applyFont="1" applyFill="1" applyBorder="1"/>
    <xf numFmtId="0" fontId="24" fillId="6" borderId="8" xfId="0" applyFont="1" applyFill="1" applyBorder="1" applyAlignment="1">
      <alignment vertical="center" wrapText="1"/>
    </xf>
    <xf numFmtId="0" fontId="24" fillId="6" borderId="0" xfId="0" applyFont="1" applyFill="1" applyAlignment="1">
      <alignment vertical="center" wrapText="1"/>
    </xf>
    <xf numFmtId="44" fontId="14" fillId="6" borderId="0" xfId="10" applyFont="1" applyFill="1" applyBorder="1"/>
    <xf numFmtId="0" fontId="0" fillId="6" borderId="0" xfId="0" applyNumberFormat="1" applyFill="1" applyBorder="1" applyAlignment="1">
      <alignment horizontal="center"/>
    </xf>
    <xf numFmtId="39" fontId="3" fillId="6" borderId="0" xfId="0" applyNumberFormat="1" applyFont="1" applyFill="1"/>
    <xf numFmtId="0" fontId="45" fillId="6" borderId="0" xfId="0" applyFont="1" applyFill="1" applyAlignment="1">
      <alignment horizontal="left"/>
    </xf>
    <xf numFmtId="39" fontId="45" fillId="6" borderId="0" xfId="0" applyNumberFormat="1" applyFont="1" applyFill="1"/>
    <xf numFmtId="0" fontId="3" fillId="6" borderId="11" xfId="0" applyFont="1" applyFill="1" applyBorder="1" applyAlignment="1">
      <alignment horizontal="center"/>
    </xf>
    <xf numFmtId="3" fontId="8" fillId="6" borderId="0" xfId="0" applyNumberFormat="1" applyFont="1" applyFill="1"/>
    <xf numFmtId="0" fontId="48" fillId="6" borderId="0" xfId="0" applyFont="1" applyFill="1"/>
    <xf numFmtId="44" fontId="8" fillId="6" borderId="0" xfId="10" applyNumberFormat="1" applyFont="1" applyFill="1"/>
    <xf numFmtId="44" fontId="0" fillId="6" borderId="1" xfId="10" applyNumberFormat="1" applyFont="1" applyFill="1" applyBorder="1"/>
    <xf numFmtId="44" fontId="0" fillId="6" borderId="1" xfId="0" applyNumberFormat="1" applyFill="1" applyBorder="1"/>
    <xf numFmtId="0" fontId="1" fillId="6" borderId="0" xfId="0" applyFont="1" applyFill="1"/>
    <xf numFmtId="0" fontId="15" fillId="6" borderId="11" xfId="0" applyFont="1" applyFill="1" applyBorder="1"/>
    <xf numFmtId="0" fontId="6" fillId="6" borderId="11" xfId="0" applyFont="1" applyFill="1" applyBorder="1"/>
    <xf numFmtId="0" fontId="12" fillId="6" borderId="11" xfId="0" applyFont="1" applyFill="1" applyBorder="1"/>
    <xf numFmtId="0" fontId="0" fillId="6" borderId="0" xfId="0" applyNumberFormat="1" applyFill="1" applyAlignment="1">
      <alignment horizontal="center"/>
    </xf>
    <xf numFmtId="44" fontId="3" fillId="6" borderId="0" xfId="10" applyNumberFormat="1" applyFont="1" applyFill="1" applyBorder="1"/>
    <xf numFmtId="175" fontId="0" fillId="6" borderId="1" xfId="12" applyNumberFormat="1" applyFont="1" applyFill="1" applyBorder="1"/>
    <xf numFmtId="44" fontId="0" fillId="6" borderId="1" xfId="12" applyFont="1" applyFill="1" applyBorder="1"/>
    <xf numFmtId="0" fontId="14" fillId="6" borderId="11" xfId="0" applyFont="1" applyFill="1" applyBorder="1"/>
    <xf numFmtId="175" fontId="1" fillId="6" borderId="0" xfId="10" applyNumberFormat="1" applyFont="1" applyFill="1" applyBorder="1"/>
    <xf numFmtId="170" fontId="3" fillId="6" borderId="0" xfId="21" applyNumberFormat="1" applyFont="1" applyFill="1"/>
    <xf numFmtId="175" fontId="1" fillId="6" borderId="1" xfId="10" applyNumberFormat="1" applyFont="1" applyFill="1" applyBorder="1"/>
    <xf numFmtId="0" fontId="3" fillId="6" borderId="1" xfId="0" applyFont="1" applyFill="1" applyBorder="1" applyAlignment="1">
      <alignment horizontal="center"/>
    </xf>
    <xf numFmtId="0" fontId="14" fillId="6" borderId="11" xfId="0" applyFont="1" applyFill="1" applyBorder="1"/>
    <xf numFmtId="44" fontId="1" fillId="0" borderId="0" xfId="10" applyFont="1" applyBorder="1" applyAlignment="1">
      <alignment horizontal="center"/>
    </xf>
    <xf numFmtId="175" fontId="1" fillId="0" borderId="0" xfId="10" applyNumberFormat="1" applyFont="1" applyBorder="1" applyAlignment="1">
      <alignment horizontal="center"/>
    </xf>
    <xf numFmtId="44" fontId="1" fillId="0" borderId="0" xfId="10" applyFont="1" applyFill="1" applyBorder="1" applyAlignment="1">
      <alignment horizontal="center"/>
    </xf>
    <xf numFmtId="175" fontId="1" fillId="0" borderId="0" xfId="10" applyNumberFormat="1" applyFont="1" applyFill="1" applyBorder="1" applyAlignment="1">
      <alignment horizontal="center"/>
    </xf>
    <xf numFmtId="175" fontId="1" fillId="0" borderId="0" xfId="10" applyNumberFormat="1" applyFont="1" applyFill="1" applyBorder="1" applyAlignment="1">
      <alignment horizontal="center" vertical="center"/>
    </xf>
    <xf numFmtId="175" fontId="0" fillId="0" borderId="0" xfId="10" applyNumberFormat="1" applyFont="1" applyFill="1" applyBorder="1" applyAlignment="1">
      <alignment horizontal="center" vertical="center"/>
    </xf>
    <xf numFmtId="175" fontId="0" fillId="0" borderId="0" xfId="0" applyNumberFormat="1" applyFill="1" applyBorder="1" applyAlignment="1">
      <alignment horizontal="center" vertical="center"/>
    </xf>
    <xf numFmtId="175" fontId="0" fillId="0" borderId="0" xfId="10" applyNumberFormat="1" applyFont="1" applyFill="1" applyBorder="1"/>
    <xf numFmtId="165" fontId="42" fillId="0" borderId="0" xfId="22" applyNumberFormat="1" applyFill="1" applyBorder="1"/>
    <xf numFmtId="7" fontId="2" fillId="0" borderId="0" xfId="0" applyNumberFormat="1" applyFont="1" applyFill="1" applyBorder="1" applyAlignment="1">
      <alignment horizontal="center"/>
    </xf>
    <xf numFmtId="165" fontId="2" fillId="0" borderId="0" xfId="21" applyNumberFormat="1" applyFont="1" applyFill="1" applyBorder="1" applyAlignment="1">
      <alignment horizontal="center"/>
    </xf>
    <xf numFmtId="175" fontId="1" fillId="0" borderId="1" xfId="10" applyNumberFormat="1" applyFont="1" applyFill="1" applyBorder="1" applyAlignment="1">
      <alignment horizontal="center"/>
    </xf>
    <xf numFmtId="44" fontId="1" fillId="0" borderId="1" xfId="10" applyNumberFormat="1" applyFont="1" applyFill="1" applyBorder="1" applyAlignment="1">
      <alignment horizontal="center" vertical="center"/>
    </xf>
    <xf numFmtId="44" fontId="0" fillId="0" borderId="1" xfId="10" applyNumberFormat="1" applyFont="1" applyFill="1" applyBorder="1" applyAlignment="1">
      <alignment horizontal="center" vertical="center"/>
    </xf>
    <xf numFmtId="44" fontId="0" fillId="0" borderId="1" xfId="0" applyNumberFormat="1" applyFill="1" applyBorder="1" applyAlignment="1">
      <alignment horizontal="center" vertical="center"/>
    </xf>
    <xf numFmtId="175" fontId="0" fillId="0" borderId="1" xfId="10" applyNumberFormat="1" applyFont="1" applyFill="1" applyBorder="1" applyAlignment="1">
      <alignment horizontal="center"/>
    </xf>
    <xf numFmtId="0" fontId="7" fillId="2" borderId="0" xfId="0" applyFont="1" applyFill="1" applyAlignment="1">
      <alignment horizontal="center"/>
    </xf>
    <xf numFmtId="0" fontId="22" fillId="2" borderId="0" xfId="0" applyFont="1" applyFill="1" applyAlignment="1">
      <alignment vertical="center" wrapText="1"/>
    </xf>
    <xf numFmtId="0" fontId="26" fillId="2" borderId="0" xfId="0" applyFont="1" applyFill="1" applyAlignment="1">
      <alignment horizontal="center"/>
    </xf>
    <xf numFmtId="0" fontId="27" fillId="2" borderId="0" xfId="0" applyFont="1" applyFill="1" applyAlignment="1">
      <alignment horizontal="center"/>
    </xf>
    <xf numFmtId="0" fontId="3" fillId="2" borderId="0" xfId="0" applyFont="1" applyFill="1" applyAlignment="1">
      <alignment horizontal="center"/>
    </xf>
    <xf numFmtId="0" fontId="0" fillId="2" borderId="0" xfId="0" applyFill="1" applyAlignment="1">
      <alignment horizontal="center"/>
    </xf>
    <xf numFmtId="0" fontId="8" fillId="2" borderId="0" xfId="0" applyFont="1" applyFill="1"/>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44" fontId="33" fillId="0" borderId="14" xfId="10" applyFont="1" applyFill="1" applyBorder="1" applyProtection="1">
      <protection locked="0"/>
    </xf>
    <xf numFmtId="44" fontId="33" fillId="0" borderId="13" xfId="10" applyFont="1" applyFill="1" applyBorder="1" applyProtection="1">
      <protection locked="0"/>
    </xf>
    <xf numFmtId="44" fontId="33" fillId="0" borderId="15" xfId="10" applyFont="1" applyFill="1" applyBorder="1" applyProtection="1">
      <protection locked="0"/>
    </xf>
    <xf numFmtId="0" fontId="6" fillId="0" borderId="13" xfId="0" applyFont="1" applyFill="1" applyBorder="1" applyAlignment="1" applyProtection="1">
      <alignment horizontal="left"/>
      <protection locked="0"/>
    </xf>
    <xf numFmtId="0" fontId="24" fillId="0" borderId="0" xfId="0" applyFont="1" applyAlignment="1">
      <alignment vertical="center" wrapText="1"/>
    </xf>
    <xf numFmtId="0" fontId="6" fillId="0" borderId="0" xfId="0" applyFont="1" applyBorder="1" applyAlignment="1">
      <alignment horizontal="center"/>
    </xf>
    <xf numFmtId="0" fontId="10" fillId="4" borderId="0" xfId="0" applyFont="1" applyFill="1" applyAlignment="1">
      <alignment horizontal="center"/>
    </xf>
    <xf numFmtId="44" fontId="29" fillId="0" borderId="0" xfId="0" applyNumberFormat="1" applyFont="1" applyAlignment="1">
      <alignment horizontal="center"/>
    </xf>
    <xf numFmtId="0" fontId="3" fillId="4" borderId="14" xfId="0" applyFont="1" applyFill="1" applyBorder="1" applyAlignment="1">
      <alignment horizontal="center"/>
    </xf>
    <xf numFmtId="0" fontId="0" fillId="0" borderId="13" xfId="0" applyBorder="1"/>
    <xf numFmtId="0" fontId="0" fillId="0" borderId="15" xfId="0" applyBorder="1"/>
    <xf numFmtId="0" fontId="0" fillId="4" borderId="14" xfId="0" applyFill="1" applyBorder="1" applyAlignment="1">
      <alignment horizontal="center"/>
    </xf>
    <xf numFmtId="0" fontId="0" fillId="4" borderId="13" xfId="0" applyFill="1" applyBorder="1" applyAlignment="1">
      <alignment horizontal="center"/>
    </xf>
    <xf numFmtId="0" fontId="0" fillId="4" borderId="15" xfId="0" applyFill="1" applyBorder="1" applyAlignment="1">
      <alignment horizontal="center"/>
    </xf>
    <xf numFmtId="168" fontId="15" fillId="0" borderId="0" xfId="0" applyNumberFormat="1" applyFont="1" applyAlignment="1">
      <alignment horizontal="left"/>
    </xf>
    <xf numFmtId="0" fontId="11" fillId="0" borderId="0" xfId="0" applyFont="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3" fillId="0" borderId="1" xfId="0" applyFont="1" applyBorder="1" applyAlignment="1">
      <alignment horizontal="center"/>
    </xf>
    <xf numFmtId="0" fontId="14" fillId="0" borderId="11" xfId="0" applyFont="1" applyBorder="1"/>
    <xf numFmtId="0" fontId="10" fillId="0" borderId="0" xfId="0" applyFont="1" applyAlignment="1">
      <alignment horizontal="center"/>
    </xf>
    <xf numFmtId="0" fontId="11" fillId="0" borderId="0" xfId="0" applyFont="1" applyAlignment="1">
      <alignment horizontal="center"/>
    </xf>
    <xf numFmtId="0" fontId="0" fillId="6" borderId="14" xfId="0" applyFill="1" applyBorder="1" applyAlignment="1">
      <alignment horizontal="center"/>
    </xf>
    <xf numFmtId="0" fontId="0" fillId="6" borderId="13" xfId="0" applyFill="1" applyBorder="1" applyAlignment="1">
      <alignment horizontal="center"/>
    </xf>
    <xf numFmtId="0" fontId="0" fillId="6" borderId="15" xfId="0" applyFill="1" applyBorder="1" applyAlignment="1">
      <alignment horizontal="center"/>
    </xf>
    <xf numFmtId="0" fontId="3" fillId="6" borderId="1" xfId="0" applyFont="1" applyFill="1" applyBorder="1" applyAlignment="1">
      <alignment horizontal="center"/>
    </xf>
    <xf numFmtId="0" fontId="10" fillId="6" borderId="0" xfId="0" applyFont="1" applyFill="1" applyAlignment="1">
      <alignment horizontal="center"/>
    </xf>
    <xf numFmtId="0" fontId="11" fillId="6" borderId="0" xfId="0" applyFont="1" applyFill="1" applyAlignment="1">
      <alignment horizontal="center"/>
    </xf>
    <xf numFmtId="44" fontId="29" fillId="6" borderId="0" xfId="0" applyNumberFormat="1" applyFont="1" applyFill="1" applyAlignment="1">
      <alignment horizontal="center"/>
    </xf>
    <xf numFmtId="0" fontId="6" fillId="6" borderId="0" xfId="0" applyFont="1" applyFill="1" applyBorder="1" applyAlignment="1">
      <alignment horizontal="center"/>
    </xf>
    <xf numFmtId="0" fontId="14" fillId="6" borderId="11" xfId="0" applyFont="1" applyFill="1" applyBorder="1"/>
    <xf numFmtId="0" fontId="35" fillId="0" borderId="0" xfId="0" applyFont="1" applyBorder="1" applyAlignment="1">
      <alignment horizontal="center"/>
    </xf>
    <xf numFmtId="168" fontId="15" fillId="0" borderId="0" xfId="0" applyNumberFormat="1" applyFont="1" applyAlignment="1">
      <alignment horizontal="center"/>
    </xf>
    <xf numFmtId="0" fontId="15" fillId="4" borderId="0" xfId="0" applyFont="1" applyFill="1" applyBorder="1"/>
    <xf numFmtId="0" fontId="35" fillId="6"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8" fillId="0" borderId="0" xfId="0" applyFont="1" applyBorder="1" applyAlignment="1">
      <alignment vertical="center"/>
    </xf>
    <xf numFmtId="0" fontId="0" fillId="3" borderId="12"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xf>
    <xf numFmtId="0" fontId="19" fillId="3" borderId="16" xfId="0" applyFont="1" applyFill="1" applyBorder="1" applyAlignment="1" applyProtection="1">
      <alignment horizontal="center"/>
      <protection locked="0"/>
    </xf>
    <xf numFmtId="0" fontId="19" fillId="3" borderId="17" xfId="0" applyFont="1" applyFill="1" applyBorder="1" applyAlignment="1" applyProtection="1">
      <alignment horizontal="center"/>
      <protection locked="0"/>
    </xf>
    <xf numFmtId="0" fontId="19" fillId="3" borderId="10" xfId="0" applyFont="1" applyFill="1" applyBorder="1" applyAlignment="1" applyProtection="1">
      <alignment horizontal="center"/>
      <protection locked="0"/>
    </xf>
  </cellXfs>
  <cellStyles count="32">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omma 4 2" xfId="8" xr:uid="{00000000-0005-0000-0000-000007000000}"/>
    <cellStyle name="Comma 5" xfId="9" xr:uid="{00000000-0005-0000-0000-000008000000}"/>
    <cellStyle name="Currency" xfId="10" builtinId="4"/>
    <cellStyle name="Currency 2" xfId="11" xr:uid="{00000000-0005-0000-0000-00000A000000}"/>
    <cellStyle name="Currency 2 2" xfId="12" xr:uid="{00000000-0005-0000-0000-00000B000000}"/>
    <cellStyle name="Currency 2 2 2" xfId="31" xr:uid="{8191BCCD-E66D-4F1C-BD71-EE688599EF0C}"/>
    <cellStyle name="Currency 2 3" xfId="13" xr:uid="{00000000-0005-0000-0000-00000C000000}"/>
    <cellStyle name="Currency 2 4" xfId="14" xr:uid="{00000000-0005-0000-0000-00000D000000}"/>
    <cellStyle name="Currency 3" xfId="15" xr:uid="{00000000-0005-0000-0000-00000E000000}"/>
    <cellStyle name="Currency 4" xfId="16" xr:uid="{00000000-0005-0000-0000-00000F000000}"/>
    <cellStyle name="Currency 4 2" xfId="17" xr:uid="{00000000-0005-0000-0000-000010000000}"/>
    <cellStyle name="Currency 5" xfId="18" xr:uid="{00000000-0005-0000-0000-000011000000}"/>
    <cellStyle name="Hyperlink" xfId="19" builtinId="8"/>
    <cellStyle name="Normal" xfId="0" builtinId="0"/>
    <cellStyle name="Normal 2" xfId="20" xr:uid="{00000000-0005-0000-0000-000014000000}"/>
    <cellStyle name="Normal 3" xfId="30" xr:uid="{E895220D-4858-403C-8DF1-CA522765C759}"/>
    <cellStyle name="Percent" xfId="21" builtinId="5"/>
    <cellStyle name="Percent 2" xfId="22" xr:uid="{00000000-0005-0000-0000-000016000000}"/>
    <cellStyle name="Percent 2 2" xfId="23" xr:uid="{00000000-0005-0000-0000-000017000000}"/>
    <cellStyle name="Percent 2 3" xfId="24" xr:uid="{00000000-0005-0000-0000-000018000000}"/>
    <cellStyle name="Percent 2 4" xfId="25" xr:uid="{00000000-0005-0000-0000-000019000000}"/>
    <cellStyle name="Percent 3" xfId="26" xr:uid="{00000000-0005-0000-0000-00001A000000}"/>
    <cellStyle name="Percent 4" xfId="27" xr:uid="{00000000-0005-0000-0000-00001B000000}"/>
    <cellStyle name="Percent 4 2" xfId="28" xr:uid="{00000000-0005-0000-0000-00001C000000}"/>
    <cellStyle name="Percent 5" xfId="29"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Radio" checked="Checked" firstButton="1" fmlaLink="E1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3"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CheckBox" checked="Checked" fmlaLink="E4" lockText="1" noThreeD="1"/>
</file>

<file path=xl/ctrlProps/ctrlProp573.xml><?xml version="1.0" encoding="utf-8"?>
<formControlPr xmlns="http://schemas.microsoft.com/office/spreadsheetml/2009/9/main" objectType="CheckBox" checked="Checked" fmlaLink="E5" lockText="1" noThreeD="1"/>
</file>

<file path=xl/ctrlProps/ctrlProp574.xml><?xml version="1.0" encoding="utf-8"?>
<formControlPr xmlns="http://schemas.microsoft.com/office/spreadsheetml/2009/9/main" objectType="CheckBox" checked="Checked" fmlaLink="E7" lockText="1" noThreeD="1"/>
</file>

<file path=xl/ctrlProps/ctrlProp575.xml><?xml version="1.0" encoding="utf-8"?>
<formControlPr xmlns="http://schemas.microsoft.com/office/spreadsheetml/2009/9/main" objectType="CheckBox" checked="Checked" fmlaLink="E8" lockText="1" noThreeD="1"/>
</file>

<file path=xl/ctrlProps/ctrlProp576.xml><?xml version="1.0" encoding="utf-8"?>
<formControlPr xmlns="http://schemas.microsoft.com/office/spreadsheetml/2009/9/main" objectType="CheckBox" checked="Checked" fmlaLink="E11" lockText="1" noThreeD="1"/>
</file>

<file path=xl/ctrlProps/ctrlProp577.xml><?xml version="1.0" encoding="utf-8"?>
<formControlPr xmlns="http://schemas.microsoft.com/office/spreadsheetml/2009/9/main" objectType="CheckBox" checked="Checked" fmlaLink="E12" lockText="1" noThreeD="1"/>
</file>

<file path=xl/ctrlProps/ctrlProp578.xml><?xml version="1.0" encoding="utf-8"?>
<formControlPr xmlns="http://schemas.microsoft.com/office/spreadsheetml/2009/9/main" objectType="CheckBox" checked="Checked" fmlaLink="E13" lockText="1" noThreeD="1"/>
</file>

<file path=xl/ctrlProps/ctrlProp579.xml><?xml version="1.0" encoding="utf-8"?>
<formControlPr xmlns="http://schemas.microsoft.com/office/spreadsheetml/2009/9/main" objectType="CheckBox" checked="Checked" fmlaLink="E14" lockText="1" noThreeD="1"/>
</file>

<file path=xl/ctrlProps/ctrlProp580.xml><?xml version="1.0" encoding="utf-8"?>
<formControlPr xmlns="http://schemas.microsoft.com/office/spreadsheetml/2009/9/main" objectType="CheckBox" checked="Checked" fmlaLink="E15" lockText="1" noThreeD="1"/>
</file>

<file path=xl/ctrlProps/ctrlProp581.xml><?xml version="1.0" encoding="utf-8"?>
<formControlPr xmlns="http://schemas.microsoft.com/office/spreadsheetml/2009/9/main" objectType="CheckBox" checked="Checked" fmlaLink="E16" lockText="1" noThreeD="1"/>
</file>

<file path=xl/ctrlProps/ctrlProp582.xml><?xml version="1.0" encoding="utf-8"?>
<formControlPr xmlns="http://schemas.microsoft.com/office/spreadsheetml/2009/9/main" objectType="CheckBox" checked="Checked" fmlaLink="E17" lockText="1" noThreeD="1"/>
</file>

<file path=xl/ctrlProps/ctrlProp583.xml><?xml version="1.0" encoding="utf-8"?>
<formControlPr xmlns="http://schemas.microsoft.com/office/spreadsheetml/2009/9/main" objectType="CheckBox" checked="Checked" fmlaLink="E18" lockText="1" noThreeD="1"/>
</file>

<file path=xl/ctrlProps/ctrlProp584.xml><?xml version="1.0" encoding="utf-8"?>
<formControlPr xmlns="http://schemas.microsoft.com/office/spreadsheetml/2009/9/main" objectType="CheckBox" checked="Checked" fmlaLink="E19" lockText="1" noThreeD="1"/>
</file>

<file path=xl/ctrlProps/ctrlProp585.xml><?xml version="1.0" encoding="utf-8"?>
<formControlPr xmlns="http://schemas.microsoft.com/office/spreadsheetml/2009/9/main" objectType="CheckBox" checked="Checked" fmlaLink="E20" lockText="1" noThreeD="1"/>
</file>

<file path=xl/ctrlProps/ctrlProp586.xml><?xml version="1.0" encoding="utf-8"?>
<formControlPr xmlns="http://schemas.microsoft.com/office/spreadsheetml/2009/9/main" objectType="CheckBox" checked="Checked" fmlaLink="E21" lockText="1" noThreeD="1"/>
</file>

<file path=xl/ctrlProps/ctrlProp587.xml><?xml version="1.0" encoding="utf-8"?>
<formControlPr xmlns="http://schemas.microsoft.com/office/spreadsheetml/2009/9/main" objectType="CheckBox" checked="Checked" fmlaLink="E22" lockText="1" noThreeD="1"/>
</file>

<file path=xl/ctrlProps/ctrlProp588.xml><?xml version="1.0" encoding="utf-8"?>
<formControlPr xmlns="http://schemas.microsoft.com/office/spreadsheetml/2009/9/main" objectType="CheckBox" checked="Checked" fmlaLink="E23" lockText="1" noThreeD="1"/>
</file>

<file path=xl/ctrlProps/ctrlProp589.xml><?xml version="1.0" encoding="utf-8"?>
<formControlPr xmlns="http://schemas.microsoft.com/office/spreadsheetml/2009/9/main" objectType="CheckBox" checked="Checked" fmlaLink="E24" lockText="1" noThreeD="1"/>
</file>

<file path=xl/ctrlProps/ctrlProp590.xml><?xml version="1.0" encoding="utf-8"?>
<formControlPr xmlns="http://schemas.microsoft.com/office/spreadsheetml/2009/9/main" objectType="CheckBox" checked="Checked" fmlaLink="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30</xdr:row>
          <xdr:rowOff>144780</xdr:rowOff>
        </xdr:from>
        <xdr:to>
          <xdr:col>1</xdr:col>
          <xdr:colOff>685800</xdr:colOff>
          <xdr:row>32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144780</xdr:rowOff>
        </xdr:from>
        <xdr:to>
          <xdr:col>5</xdr:col>
          <xdr:colOff>1019175</xdr:colOff>
          <xdr:row>14</xdr:row>
          <xdr:rowOff>38100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14</xdr:row>
          <xdr:rowOff>38100</xdr:rowOff>
        </xdr:from>
        <xdr:to>
          <xdr:col>5</xdr:col>
          <xdr:colOff>1019175</xdr:colOff>
          <xdr:row>15</xdr:row>
          <xdr:rowOff>104775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15</xdr:row>
          <xdr:rowOff>106680</xdr:rowOff>
        </xdr:from>
        <xdr:to>
          <xdr:col>5</xdr:col>
          <xdr:colOff>1019175</xdr:colOff>
          <xdr:row>16</xdr:row>
          <xdr:rowOff>152400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76200</xdr:rowOff>
        </xdr:from>
        <xdr:to>
          <xdr:col>5</xdr:col>
          <xdr:colOff>1019175</xdr:colOff>
          <xdr:row>16</xdr:row>
          <xdr:rowOff>152400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106680</xdr:rowOff>
        </xdr:from>
        <xdr:to>
          <xdr:col>2</xdr:col>
          <xdr:colOff>161925</xdr:colOff>
          <xdr:row>33</xdr:row>
          <xdr:rowOff>66675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121920</xdr:rowOff>
        </xdr:from>
        <xdr:to>
          <xdr:col>1</xdr:col>
          <xdr:colOff>904875</xdr:colOff>
          <xdr:row>34</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87</xdr:row>
          <xdr:rowOff>68580</xdr:rowOff>
        </xdr:from>
        <xdr:to>
          <xdr:col>30</xdr:col>
          <xdr:colOff>236220</xdr:colOff>
          <xdr:row>88</xdr:row>
          <xdr:rowOff>144780</xdr:rowOff>
        </xdr:to>
        <xdr:sp macro="" textlink="">
          <xdr:nvSpPr>
            <xdr:cNvPr id="21521" name="Button 17"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03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47107" name="Button 3" hidden="1">
              <a:extLst>
                <a:ext uri="{63B3BB69-23CF-44E3-9099-C40C66FF867C}">
                  <a14:compatExt spid="_x0000_s47107"/>
                </a:ext>
                <a:ext uri="{FF2B5EF4-FFF2-40B4-BE49-F238E27FC236}">
                  <a16:creationId xmlns:a16="http://schemas.microsoft.com/office/drawing/2014/main" id="{00000000-0008-0000-0300-000003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47108" name="Button 4" hidden="1">
              <a:extLst>
                <a:ext uri="{63B3BB69-23CF-44E3-9099-C40C66FF867C}">
                  <a14:compatExt spid="_x0000_s47108"/>
                </a:ext>
                <a:ext uri="{FF2B5EF4-FFF2-40B4-BE49-F238E27FC236}">
                  <a16:creationId xmlns:a16="http://schemas.microsoft.com/office/drawing/2014/main" id="{00000000-0008-0000-0300-000004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4753" name="Button 1" hidden="1">
              <a:extLst>
                <a:ext uri="{63B3BB69-23CF-44E3-9099-C40C66FF867C}">
                  <a14:compatExt spid="_x0000_s74753"/>
                </a:ext>
                <a:ext uri="{FF2B5EF4-FFF2-40B4-BE49-F238E27FC236}">
                  <a16:creationId xmlns:a16="http://schemas.microsoft.com/office/drawing/2014/main" id="{00000000-0008-0000-0400-000001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88</xdr:row>
          <xdr:rowOff>68580</xdr:rowOff>
        </xdr:from>
        <xdr:to>
          <xdr:col>30</xdr:col>
          <xdr:colOff>236220</xdr:colOff>
          <xdr:row>89</xdr:row>
          <xdr:rowOff>144780</xdr:rowOff>
        </xdr:to>
        <xdr:sp macro="" textlink="">
          <xdr:nvSpPr>
            <xdr:cNvPr id="74754" name="Button 2" hidden="1">
              <a:extLst>
                <a:ext uri="{63B3BB69-23CF-44E3-9099-C40C66FF867C}">
                  <a14:compatExt spid="_x0000_s74754"/>
                </a:ext>
                <a:ext uri="{FF2B5EF4-FFF2-40B4-BE49-F238E27FC236}">
                  <a16:creationId xmlns:a16="http://schemas.microsoft.com/office/drawing/2014/main" id="{00000000-0008-0000-0400-0000022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76200</xdr:rowOff>
        </xdr:to>
        <xdr:sp macro="" textlink="">
          <xdr:nvSpPr>
            <xdr:cNvPr id="72705" name="Button 1" hidden="1">
              <a:extLst>
                <a:ext uri="{63B3BB69-23CF-44E3-9099-C40C66FF867C}">
                  <a14:compatExt spid="_x0000_s72705"/>
                </a:ext>
                <a:ext uri="{FF2B5EF4-FFF2-40B4-BE49-F238E27FC236}">
                  <a16:creationId xmlns:a16="http://schemas.microsoft.com/office/drawing/2014/main" id="{00000000-0008-0000-0500-000001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76200</xdr:rowOff>
        </xdr:to>
        <xdr:sp macro="" textlink="">
          <xdr:nvSpPr>
            <xdr:cNvPr id="72706" name="Button 2" hidden="1">
              <a:extLst>
                <a:ext uri="{63B3BB69-23CF-44E3-9099-C40C66FF867C}">
                  <a14:compatExt spid="_x0000_s72706"/>
                </a:ext>
                <a:ext uri="{FF2B5EF4-FFF2-40B4-BE49-F238E27FC236}">
                  <a16:creationId xmlns:a16="http://schemas.microsoft.com/office/drawing/2014/main" id="{00000000-0008-0000-0500-000002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76200</xdr:rowOff>
        </xdr:to>
        <xdr:sp macro="" textlink="">
          <xdr:nvSpPr>
            <xdr:cNvPr id="72707" name="Button 3" hidden="1">
              <a:extLst>
                <a:ext uri="{63B3BB69-23CF-44E3-9099-C40C66FF867C}">
                  <a14:compatExt spid="_x0000_s72707"/>
                </a:ext>
                <a:ext uri="{FF2B5EF4-FFF2-40B4-BE49-F238E27FC236}">
                  <a16:creationId xmlns:a16="http://schemas.microsoft.com/office/drawing/2014/main" id="{00000000-0008-0000-0500-000003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76200</xdr:rowOff>
        </xdr:to>
        <xdr:sp macro="" textlink="">
          <xdr:nvSpPr>
            <xdr:cNvPr id="72708" name="Button 4" hidden="1">
              <a:extLst>
                <a:ext uri="{63B3BB69-23CF-44E3-9099-C40C66FF867C}">
                  <a14:compatExt spid="_x0000_s72708"/>
                </a:ext>
                <a:ext uri="{FF2B5EF4-FFF2-40B4-BE49-F238E27FC236}">
                  <a16:creationId xmlns:a16="http://schemas.microsoft.com/office/drawing/2014/main" id="{00000000-0008-0000-0500-000004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79</xdr:row>
          <xdr:rowOff>38100</xdr:rowOff>
        </xdr:from>
        <xdr:to>
          <xdr:col>14</xdr:col>
          <xdr:colOff>1135380</xdr:colOff>
          <xdr:row>80</xdr:row>
          <xdr:rowOff>114300</xdr:rowOff>
        </xdr:to>
        <xdr:sp macro="" textlink="">
          <xdr:nvSpPr>
            <xdr:cNvPr id="72709" name="Button 5" hidden="1">
              <a:extLst>
                <a:ext uri="{63B3BB69-23CF-44E3-9099-C40C66FF867C}">
                  <a14:compatExt spid="_x0000_s72709"/>
                </a:ext>
                <a:ext uri="{FF2B5EF4-FFF2-40B4-BE49-F238E27FC236}">
                  <a16:creationId xmlns:a16="http://schemas.microsoft.com/office/drawing/2014/main" id="{00000000-0008-0000-0500-0000051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05473" name="Button 1" hidden="1">
              <a:extLst>
                <a:ext uri="{63B3BB69-23CF-44E3-9099-C40C66FF867C}">
                  <a14:compatExt spid="_x0000_s105473"/>
                </a:ext>
                <a:ext uri="{FF2B5EF4-FFF2-40B4-BE49-F238E27FC236}">
                  <a16:creationId xmlns:a16="http://schemas.microsoft.com/office/drawing/2014/main" id="{00000000-0008-0000-0600-000001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88</xdr:row>
          <xdr:rowOff>68580</xdr:rowOff>
        </xdr:from>
        <xdr:to>
          <xdr:col>30</xdr:col>
          <xdr:colOff>236220</xdr:colOff>
          <xdr:row>89</xdr:row>
          <xdr:rowOff>144780</xdr:rowOff>
        </xdr:to>
        <xdr:sp macro="" textlink="">
          <xdr:nvSpPr>
            <xdr:cNvPr id="105474" name="Button 2" hidden="1">
              <a:extLst>
                <a:ext uri="{63B3BB69-23CF-44E3-9099-C40C66FF867C}">
                  <a14:compatExt spid="_x0000_s105474"/>
                </a:ext>
                <a:ext uri="{FF2B5EF4-FFF2-40B4-BE49-F238E27FC236}">
                  <a16:creationId xmlns:a16="http://schemas.microsoft.com/office/drawing/2014/main" id="{00000000-0008-0000-0600-0000029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44385" name="Button 1" hidden="1">
              <a:extLst>
                <a:ext uri="{63B3BB69-23CF-44E3-9099-C40C66FF867C}">
                  <a14:compatExt spid="_x0000_s144385"/>
                </a:ext>
                <a:ext uri="{FF2B5EF4-FFF2-40B4-BE49-F238E27FC236}">
                  <a16:creationId xmlns:a16="http://schemas.microsoft.com/office/drawing/2014/main" id="{00000000-0008-0000-0700-000001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44386" name="Button 2" hidden="1">
              <a:extLst>
                <a:ext uri="{63B3BB69-23CF-44E3-9099-C40C66FF867C}">
                  <a14:compatExt spid="_x0000_s144386"/>
                </a:ext>
                <a:ext uri="{FF2B5EF4-FFF2-40B4-BE49-F238E27FC236}">
                  <a16:creationId xmlns:a16="http://schemas.microsoft.com/office/drawing/2014/main" id="{00000000-0008-0000-0700-000002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44387" name="Button 3" hidden="1">
              <a:extLst>
                <a:ext uri="{63B3BB69-23CF-44E3-9099-C40C66FF867C}">
                  <a14:compatExt spid="_x0000_s144387"/>
                </a:ext>
                <a:ext uri="{FF2B5EF4-FFF2-40B4-BE49-F238E27FC236}">
                  <a16:creationId xmlns:a16="http://schemas.microsoft.com/office/drawing/2014/main" id="{00000000-0008-0000-0700-000003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44388" name="Button 4" hidden="1">
              <a:extLst>
                <a:ext uri="{63B3BB69-23CF-44E3-9099-C40C66FF867C}">
                  <a14:compatExt spid="_x0000_s144388"/>
                </a:ext>
                <a:ext uri="{FF2B5EF4-FFF2-40B4-BE49-F238E27FC236}">
                  <a16:creationId xmlns:a16="http://schemas.microsoft.com/office/drawing/2014/main" id="{00000000-0008-0000-0700-000004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81</xdr:row>
          <xdr:rowOff>38100</xdr:rowOff>
        </xdr:from>
        <xdr:to>
          <xdr:col>14</xdr:col>
          <xdr:colOff>1135380</xdr:colOff>
          <xdr:row>82</xdr:row>
          <xdr:rowOff>114300</xdr:rowOff>
        </xdr:to>
        <xdr:sp macro="" textlink="">
          <xdr:nvSpPr>
            <xdr:cNvPr id="144389" name="Button 5" hidden="1">
              <a:extLst>
                <a:ext uri="{63B3BB69-23CF-44E3-9099-C40C66FF867C}">
                  <a14:compatExt spid="_x0000_s144389"/>
                </a:ext>
                <a:ext uri="{FF2B5EF4-FFF2-40B4-BE49-F238E27FC236}">
                  <a16:creationId xmlns:a16="http://schemas.microsoft.com/office/drawing/2014/main" id="{00000000-0008-0000-0700-0000053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0</xdr:row>
          <xdr:rowOff>259080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800-00000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72</xdr:row>
          <xdr:rowOff>76200</xdr:rowOff>
        </xdr:from>
        <xdr:to>
          <xdr:col>15</xdr:col>
          <xdr:colOff>807720</xdr:colOff>
          <xdr:row>73</xdr:row>
          <xdr:rowOff>152400</xdr:rowOff>
        </xdr:to>
        <xdr:sp macro="" textlink="">
          <xdr:nvSpPr>
            <xdr:cNvPr id="24591" name="Button 15" hidden="1">
              <a:extLst>
                <a:ext uri="{63B3BB69-23CF-44E3-9099-C40C66FF867C}">
                  <a14:compatExt spid="_x0000_s24591"/>
                </a:ext>
                <a:ext uri="{FF2B5EF4-FFF2-40B4-BE49-F238E27FC236}">
                  <a16:creationId xmlns:a16="http://schemas.microsoft.com/office/drawing/2014/main" id="{00000000-0008-0000-0800-00000F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4592" name="Button 16" hidden="1">
              <a:extLst>
                <a:ext uri="{63B3BB69-23CF-44E3-9099-C40C66FF867C}">
                  <a14:compatExt spid="_x0000_s24592"/>
                </a:ext>
                <a:ext uri="{FF2B5EF4-FFF2-40B4-BE49-F238E27FC236}">
                  <a16:creationId xmlns:a16="http://schemas.microsoft.com/office/drawing/2014/main" id="{00000000-0008-0000-0800-000010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4593" name="Button 17" hidden="1">
              <a:extLst>
                <a:ext uri="{63B3BB69-23CF-44E3-9099-C40C66FF867C}">
                  <a14:compatExt spid="_x0000_s24593"/>
                </a:ext>
                <a:ext uri="{FF2B5EF4-FFF2-40B4-BE49-F238E27FC236}">
                  <a16:creationId xmlns:a16="http://schemas.microsoft.com/office/drawing/2014/main" id="{00000000-0008-0000-0800-00001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4594" name="Button 18" hidden="1">
              <a:extLst>
                <a:ext uri="{63B3BB69-23CF-44E3-9099-C40C66FF867C}">
                  <a14:compatExt spid="_x0000_s24594"/>
                </a:ext>
                <a:ext uri="{FF2B5EF4-FFF2-40B4-BE49-F238E27FC236}">
                  <a16:creationId xmlns:a16="http://schemas.microsoft.com/office/drawing/2014/main" id="{00000000-0008-0000-0800-000012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4595" name="Button 19" hidden="1">
              <a:extLst>
                <a:ext uri="{63B3BB69-23CF-44E3-9099-C40C66FF867C}">
                  <a14:compatExt spid="_x0000_s24595"/>
                </a:ext>
                <a:ext uri="{FF2B5EF4-FFF2-40B4-BE49-F238E27FC236}">
                  <a16:creationId xmlns:a16="http://schemas.microsoft.com/office/drawing/2014/main" id="{00000000-0008-0000-0800-000013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0</xdr:row>
          <xdr:rowOff>259080</xdr:rowOff>
        </xdr:to>
        <xdr:sp macro="" textlink="">
          <xdr:nvSpPr>
            <xdr:cNvPr id="75777" name="Button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75778" name="Button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5779" name="Button 3" hidden="1">
              <a:extLst>
                <a:ext uri="{63B3BB69-23CF-44E3-9099-C40C66FF867C}">
                  <a14:compatExt spid="_x0000_s75779"/>
                </a:ext>
                <a:ext uri="{FF2B5EF4-FFF2-40B4-BE49-F238E27FC236}">
                  <a16:creationId xmlns:a16="http://schemas.microsoft.com/office/drawing/2014/main" id="{00000000-0008-0000-0900-000003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5780" name="Button 4" hidden="1">
              <a:extLst>
                <a:ext uri="{63B3BB69-23CF-44E3-9099-C40C66FF867C}">
                  <a14:compatExt spid="_x0000_s75780"/>
                </a:ext>
                <a:ext uri="{FF2B5EF4-FFF2-40B4-BE49-F238E27FC236}">
                  <a16:creationId xmlns:a16="http://schemas.microsoft.com/office/drawing/2014/main" id="{00000000-0008-0000-0900-000004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5781" name="Button 5" hidden="1">
              <a:extLst>
                <a:ext uri="{63B3BB69-23CF-44E3-9099-C40C66FF867C}">
                  <a14:compatExt spid="_x0000_s75781"/>
                </a:ext>
                <a:ext uri="{FF2B5EF4-FFF2-40B4-BE49-F238E27FC236}">
                  <a16:creationId xmlns:a16="http://schemas.microsoft.com/office/drawing/2014/main" id="{00000000-0008-0000-0900-000005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5782" name="Button 6" hidden="1">
              <a:extLst>
                <a:ext uri="{63B3BB69-23CF-44E3-9099-C40C66FF867C}">
                  <a14:compatExt spid="_x0000_s75782"/>
                </a:ext>
                <a:ext uri="{FF2B5EF4-FFF2-40B4-BE49-F238E27FC236}">
                  <a16:creationId xmlns:a16="http://schemas.microsoft.com/office/drawing/2014/main" id="{00000000-0008-0000-0900-000006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64513" name="Button 1" hidden="1">
              <a:extLst>
                <a:ext uri="{63B3BB69-23CF-44E3-9099-C40C66FF867C}">
                  <a14:compatExt spid="_x0000_s64513"/>
                </a:ext>
                <a:ext uri="{FF2B5EF4-FFF2-40B4-BE49-F238E27FC236}">
                  <a16:creationId xmlns:a16="http://schemas.microsoft.com/office/drawing/2014/main" id="{00000000-0008-0000-0A00-000001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64514" name="Button 2" hidden="1">
              <a:extLst>
                <a:ext uri="{63B3BB69-23CF-44E3-9099-C40C66FF867C}">
                  <a14:compatExt spid="_x0000_s64514"/>
                </a:ext>
                <a:ext uri="{FF2B5EF4-FFF2-40B4-BE49-F238E27FC236}">
                  <a16:creationId xmlns:a16="http://schemas.microsoft.com/office/drawing/2014/main" id="{00000000-0008-0000-0A00-000002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64515" name="Button 3" hidden="1">
              <a:extLst>
                <a:ext uri="{63B3BB69-23CF-44E3-9099-C40C66FF867C}">
                  <a14:compatExt spid="_x0000_s64515"/>
                </a:ext>
                <a:ext uri="{FF2B5EF4-FFF2-40B4-BE49-F238E27FC236}">
                  <a16:creationId xmlns:a16="http://schemas.microsoft.com/office/drawing/2014/main" id="{00000000-0008-0000-0A00-000003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64516" name="Button 4" hidden="1">
              <a:extLst>
                <a:ext uri="{63B3BB69-23CF-44E3-9099-C40C66FF867C}">
                  <a14:compatExt spid="_x0000_s64516"/>
                </a:ext>
                <a:ext uri="{FF2B5EF4-FFF2-40B4-BE49-F238E27FC236}">
                  <a16:creationId xmlns:a16="http://schemas.microsoft.com/office/drawing/2014/main" id="{00000000-0008-0000-0A00-000004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563880</xdr:colOff>
          <xdr:row>77</xdr:row>
          <xdr:rowOff>7620</xdr:rowOff>
        </xdr:from>
        <xdr:to>
          <xdr:col>14</xdr:col>
          <xdr:colOff>1097280</xdr:colOff>
          <xdr:row>78</xdr:row>
          <xdr:rowOff>83820</xdr:rowOff>
        </xdr:to>
        <xdr:sp macro="" textlink="">
          <xdr:nvSpPr>
            <xdr:cNvPr id="64517" name="Button 5" hidden="1">
              <a:extLst>
                <a:ext uri="{63B3BB69-23CF-44E3-9099-C40C66FF867C}">
                  <a14:compatExt spid="_x0000_s64517"/>
                </a:ext>
                <a:ext uri="{FF2B5EF4-FFF2-40B4-BE49-F238E27FC236}">
                  <a16:creationId xmlns:a16="http://schemas.microsoft.com/office/drawing/2014/main" id="{00000000-0008-0000-0A00-000005F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0</xdr:row>
          <xdr:rowOff>259080</xdr:rowOff>
        </xdr:to>
        <xdr:sp macro="" textlink="">
          <xdr:nvSpPr>
            <xdr:cNvPr id="128001" name="Button 1" hidden="1">
              <a:extLst>
                <a:ext uri="{63B3BB69-23CF-44E3-9099-C40C66FF867C}">
                  <a14:compatExt spid="_x0000_s128001"/>
                </a:ext>
                <a:ext uri="{FF2B5EF4-FFF2-40B4-BE49-F238E27FC236}">
                  <a16:creationId xmlns:a16="http://schemas.microsoft.com/office/drawing/2014/main" id="{00000000-0008-0000-0B00-000001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28002" name="Button 2" hidden="1">
              <a:extLst>
                <a:ext uri="{63B3BB69-23CF-44E3-9099-C40C66FF867C}">
                  <a14:compatExt spid="_x0000_s128002"/>
                </a:ext>
                <a:ext uri="{FF2B5EF4-FFF2-40B4-BE49-F238E27FC236}">
                  <a16:creationId xmlns:a16="http://schemas.microsoft.com/office/drawing/2014/main" id="{00000000-0008-0000-0B00-000002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8003" name="Button 3" hidden="1">
              <a:extLst>
                <a:ext uri="{63B3BB69-23CF-44E3-9099-C40C66FF867C}">
                  <a14:compatExt spid="_x0000_s128003"/>
                </a:ext>
                <a:ext uri="{FF2B5EF4-FFF2-40B4-BE49-F238E27FC236}">
                  <a16:creationId xmlns:a16="http://schemas.microsoft.com/office/drawing/2014/main" id="{00000000-0008-0000-0B00-000003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8004" name="Button 4" hidden="1">
              <a:extLst>
                <a:ext uri="{63B3BB69-23CF-44E3-9099-C40C66FF867C}">
                  <a14:compatExt spid="_x0000_s128004"/>
                </a:ext>
                <a:ext uri="{FF2B5EF4-FFF2-40B4-BE49-F238E27FC236}">
                  <a16:creationId xmlns:a16="http://schemas.microsoft.com/office/drawing/2014/main" id="{00000000-0008-0000-0B00-000004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8005" name="Button 5" hidden="1">
              <a:extLst>
                <a:ext uri="{63B3BB69-23CF-44E3-9099-C40C66FF867C}">
                  <a14:compatExt spid="_x0000_s128005"/>
                </a:ext>
                <a:ext uri="{FF2B5EF4-FFF2-40B4-BE49-F238E27FC236}">
                  <a16:creationId xmlns:a16="http://schemas.microsoft.com/office/drawing/2014/main" id="{00000000-0008-0000-0B00-000005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8006" name="Button 6" hidden="1">
              <a:extLst>
                <a:ext uri="{63B3BB69-23CF-44E3-9099-C40C66FF867C}">
                  <a14:compatExt spid="_x0000_s128006"/>
                </a:ext>
                <a:ext uri="{FF2B5EF4-FFF2-40B4-BE49-F238E27FC236}">
                  <a16:creationId xmlns:a16="http://schemas.microsoft.com/office/drawing/2014/main" id="{00000000-0008-0000-0B00-000006F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93185" name="Button 1" hidden="1">
              <a:extLst>
                <a:ext uri="{63B3BB69-23CF-44E3-9099-C40C66FF867C}">
                  <a14:compatExt spid="_x0000_s93185"/>
                </a:ext>
                <a:ext uri="{FF2B5EF4-FFF2-40B4-BE49-F238E27FC236}">
                  <a16:creationId xmlns:a16="http://schemas.microsoft.com/office/drawing/2014/main" id="{00000000-0008-0000-0C00-00000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82</xdr:row>
          <xdr:rowOff>76200</xdr:rowOff>
        </xdr:from>
        <xdr:to>
          <xdr:col>16</xdr:col>
          <xdr:colOff>38100</xdr:colOff>
          <xdr:row>83</xdr:row>
          <xdr:rowOff>144780</xdr:rowOff>
        </xdr:to>
        <xdr:sp macro="" textlink="">
          <xdr:nvSpPr>
            <xdr:cNvPr id="93186" name="Button 2" hidden="1">
              <a:extLst>
                <a:ext uri="{63B3BB69-23CF-44E3-9099-C40C66FF867C}">
                  <a14:compatExt spid="_x0000_s93186"/>
                </a:ext>
                <a:ext uri="{FF2B5EF4-FFF2-40B4-BE49-F238E27FC236}">
                  <a16:creationId xmlns:a16="http://schemas.microsoft.com/office/drawing/2014/main" id="{00000000-0008-0000-0C00-00000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3187" name="Button 3" hidden="1">
              <a:extLst>
                <a:ext uri="{63B3BB69-23CF-44E3-9099-C40C66FF867C}">
                  <a14:compatExt spid="_x0000_s93187"/>
                </a:ext>
                <a:ext uri="{FF2B5EF4-FFF2-40B4-BE49-F238E27FC236}">
                  <a16:creationId xmlns:a16="http://schemas.microsoft.com/office/drawing/2014/main" id="{00000000-0008-0000-0C00-00000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3188" name="Button 4" hidden="1">
              <a:extLst>
                <a:ext uri="{63B3BB69-23CF-44E3-9099-C40C66FF867C}">
                  <a14:compatExt spid="_x0000_s93188"/>
                </a:ext>
                <a:ext uri="{FF2B5EF4-FFF2-40B4-BE49-F238E27FC236}">
                  <a16:creationId xmlns:a16="http://schemas.microsoft.com/office/drawing/2014/main" id="{00000000-0008-0000-0C00-00000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3189" name="Button 5" hidden="1">
              <a:extLst>
                <a:ext uri="{63B3BB69-23CF-44E3-9099-C40C66FF867C}">
                  <a14:compatExt spid="_x0000_s93189"/>
                </a:ext>
                <a:ext uri="{FF2B5EF4-FFF2-40B4-BE49-F238E27FC236}">
                  <a16:creationId xmlns:a16="http://schemas.microsoft.com/office/drawing/2014/main" id="{00000000-0008-0000-0C00-00000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3190" name="Button 6" hidden="1">
              <a:extLst>
                <a:ext uri="{63B3BB69-23CF-44E3-9099-C40C66FF867C}">
                  <a14:compatExt spid="_x0000_s93190"/>
                </a:ext>
                <a:ext uri="{FF2B5EF4-FFF2-40B4-BE49-F238E27FC236}">
                  <a16:creationId xmlns:a16="http://schemas.microsoft.com/office/drawing/2014/main" id="{00000000-0008-0000-0C00-00000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3191" name="Button 7" hidden="1">
              <a:extLst>
                <a:ext uri="{63B3BB69-23CF-44E3-9099-C40C66FF867C}">
                  <a14:compatExt spid="_x0000_s93191"/>
                </a:ext>
                <a:ext uri="{FF2B5EF4-FFF2-40B4-BE49-F238E27FC236}">
                  <a16:creationId xmlns:a16="http://schemas.microsoft.com/office/drawing/2014/main" id="{00000000-0008-0000-0C00-00000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3192" name="Button 8" hidden="1">
              <a:extLst>
                <a:ext uri="{63B3BB69-23CF-44E3-9099-C40C66FF867C}">
                  <a14:compatExt spid="_x0000_s93192"/>
                </a:ext>
                <a:ext uri="{FF2B5EF4-FFF2-40B4-BE49-F238E27FC236}">
                  <a16:creationId xmlns:a16="http://schemas.microsoft.com/office/drawing/2014/main" id="{00000000-0008-0000-0C00-00000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3193" name="Button 9" hidden="1">
              <a:extLst>
                <a:ext uri="{63B3BB69-23CF-44E3-9099-C40C66FF867C}">
                  <a14:compatExt spid="_x0000_s93193"/>
                </a:ext>
                <a:ext uri="{FF2B5EF4-FFF2-40B4-BE49-F238E27FC236}">
                  <a16:creationId xmlns:a16="http://schemas.microsoft.com/office/drawing/2014/main" id="{00000000-0008-0000-0C00-00000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3194" name="Button 10" hidden="1">
              <a:extLst>
                <a:ext uri="{63B3BB69-23CF-44E3-9099-C40C66FF867C}">
                  <a14:compatExt spid="_x0000_s93194"/>
                </a:ext>
                <a:ext uri="{FF2B5EF4-FFF2-40B4-BE49-F238E27FC236}">
                  <a16:creationId xmlns:a16="http://schemas.microsoft.com/office/drawing/2014/main" id="{00000000-0008-0000-0C00-00000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3195" name="Button 11" hidden="1">
              <a:extLst>
                <a:ext uri="{63B3BB69-23CF-44E3-9099-C40C66FF867C}">
                  <a14:compatExt spid="_x0000_s93195"/>
                </a:ext>
                <a:ext uri="{FF2B5EF4-FFF2-40B4-BE49-F238E27FC236}">
                  <a16:creationId xmlns:a16="http://schemas.microsoft.com/office/drawing/2014/main" id="{00000000-0008-0000-0C00-00000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3196" name="Button 12" hidden="1">
              <a:extLst>
                <a:ext uri="{63B3BB69-23CF-44E3-9099-C40C66FF867C}">
                  <a14:compatExt spid="_x0000_s93196"/>
                </a:ext>
                <a:ext uri="{FF2B5EF4-FFF2-40B4-BE49-F238E27FC236}">
                  <a16:creationId xmlns:a16="http://schemas.microsoft.com/office/drawing/2014/main" id="{00000000-0008-0000-0C00-00000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3197" name="Button 13" hidden="1">
              <a:extLst>
                <a:ext uri="{63B3BB69-23CF-44E3-9099-C40C66FF867C}">
                  <a14:compatExt spid="_x0000_s93197"/>
                </a:ext>
                <a:ext uri="{FF2B5EF4-FFF2-40B4-BE49-F238E27FC236}">
                  <a16:creationId xmlns:a16="http://schemas.microsoft.com/office/drawing/2014/main" id="{00000000-0008-0000-0C00-00000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3198" name="Button 14" hidden="1">
              <a:extLst>
                <a:ext uri="{63B3BB69-23CF-44E3-9099-C40C66FF867C}">
                  <a14:compatExt spid="_x0000_s93198"/>
                </a:ext>
                <a:ext uri="{FF2B5EF4-FFF2-40B4-BE49-F238E27FC236}">
                  <a16:creationId xmlns:a16="http://schemas.microsoft.com/office/drawing/2014/main" id="{00000000-0008-0000-0C00-00000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3199" name="Button 15" hidden="1">
              <a:extLst>
                <a:ext uri="{63B3BB69-23CF-44E3-9099-C40C66FF867C}">
                  <a14:compatExt spid="_x0000_s93199"/>
                </a:ext>
                <a:ext uri="{FF2B5EF4-FFF2-40B4-BE49-F238E27FC236}">
                  <a16:creationId xmlns:a16="http://schemas.microsoft.com/office/drawing/2014/main" id="{00000000-0008-0000-0C00-00000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3200" name="Button 16" hidden="1">
              <a:extLst>
                <a:ext uri="{63B3BB69-23CF-44E3-9099-C40C66FF867C}">
                  <a14:compatExt spid="_x0000_s93200"/>
                </a:ext>
                <a:ext uri="{FF2B5EF4-FFF2-40B4-BE49-F238E27FC236}">
                  <a16:creationId xmlns:a16="http://schemas.microsoft.com/office/drawing/2014/main" id="{00000000-0008-0000-0C00-00001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3201" name="Button 17" hidden="1">
              <a:extLst>
                <a:ext uri="{63B3BB69-23CF-44E3-9099-C40C66FF867C}">
                  <a14:compatExt spid="_x0000_s93201"/>
                </a:ext>
                <a:ext uri="{FF2B5EF4-FFF2-40B4-BE49-F238E27FC236}">
                  <a16:creationId xmlns:a16="http://schemas.microsoft.com/office/drawing/2014/main" id="{00000000-0008-0000-0C00-00001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3202" name="Button 18" hidden="1">
              <a:extLst>
                <a:ext uri="{63B3BB69-23CF-44E3-9099-C40C66FF867C}">
                  <a14:compatExt spid="_x0000_s93202"/>
                </a:ext>
                <a:ext uri="{FF2B5EF4-FFF2-40B4-BE49-F238E27FC236}">
                  <a16:creationId xmlns:a16="http://schemas.microsoft.com/office/drawing/2014/main" id="{00000000-0008-0000-0C00-00001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3203" name="Button 19" hidden="1">
              <a:extLst>
                <a:ext uri="{63B3BB69-23CF-44E3-9099-C40C66FF867C}">
                  <a14:compatExt spid="_x0000_s93203"/>
                </a:ext>
                <a:ext uri="{FF2B5EF4-FFF2-40B4-BE49-F238E27FC236}">
                  <a16:creationId xmlns:a16="http://schemas.microsoft.com/office/drawing/2014/main" id="{00000000-0008-0000-0C00-00001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3204" name="Button 20" hidden="1">
              <a:extLst>
                <a:ext uri="{63B3BB69-23CF-44E3-9099-C40C66FF867C}">
                  <a14:compatExt spid="_x0000_s93204"/>
                </a:ext>
                <a:ext uri="{FF2B5EF4-FFF2-40B4-BE49-F238E27FC236}">
                  <a16:creationId xmlns:a16="http://schemas.microsoft.com/office/drawing/2014/main" id="{00000000-0008-0000-0C00-00001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3205" name="Button 21" hidden="1">
              <a:extLst>
                <a:ext uri="{63B3BB69-23CF-44E3-9099-C40C66FF867C}">
                  <a14:compatExt spid="_x0000_s93205"/>
                </a:ext>
                <a:ext uri="{FF2B5EF4-FFF2-40B4-BE49-F238E27FC236}">
                  <a16:creationId xmlns:a16="http://schemas.microsoft.com/office/drawing/2014/main" id="{00000000-0008-0000-0C00-00001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3206" name="Button 22" hidden="1">
              <a:extLst>
                <a:ext uri="{63B3BB69-23CF-44E3-9099-C40C66FF867C}">
                  <a14:compatExt spid="_x0000_s93206"/>
                </a:ext>
                <a:ext uri="{FF2B5EF4-FFF2-40B4-BE49-F238E27FC236}">
                  <a16:creationId xmlns:a16="http://schemas.microsoft.com/office/drawing/2014/main" id="{00000000-0008-0000-0C00-00001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3207" name="Button 23" hidden="1">
              <a:extLst>
                <a:ext uri="{63B3BB69-23CF-44E3-9099-C40C66FF867C}">
                  <a14:compatExt spid="_x0000_s93207"/>
                </a:ext>
                <a:ext uri="{FF2B5EF4-FFF2-40B4-BE49-F238E27FC236}">
                  <a16:creationId xmlns:a16="http://schemas.microsoft.com/office/drawing/2014/main" id="{00000000-0008-0000-0C00-00001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3208" name="Button 24" hidden="1">
              <a:extLst>
                <a:ext uri="{63B3BB69-23CF-44E3-9099-C40C66FF867C}">
                  <a14:compatExt spid="_x0000_s93208"/>
                </a:ext>
                <a:ext uri="{FF2B5EF4-FFF2-40B4-BE49-F238E27FC236}">
                  <a16:creationId xmlns:a16="http://schemas.microsoft.com/office/drawing/2014/main" id="{00000000-0008-0000-0C00-00001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3209" name="Button 25" hidden="1">
              <a:extLst>
                <a:ext uri="{63B3BB69-23CF-44E3-9099-C40C66FF867C}">
                  <a14:compatExt spid="_x0000_s93209"/>
                </a:ext>
                <a:ext uri="{FF2B5EF4-FFF2-40B4-BE49-F238E27FC236}">
                  <a16:creationId xmlns:a16="http://schemas.microsoft.com/office/drawing/2014/main" id="{00000000-0008-0000-0C00-00001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3210" name="Button 26" hidden="1">
              <a:extLst>
                <a:ext uri="{63B3BB69-23CF-44E3-9099-C40C66FF867C}">
                  <a14:compatExt spid="_x0000_s93210"/>
                </a:ext>
                <a:ext uri="{FF2B5EF4-FFF2-40B4-BE49-F238E27FC236}">
                  <a16:creationId xmlns:a16="http://schemas.microsoft.com/office/drawing/2014/main" id="{00000000-0008-0000-0C00-00001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3211" name="Button 27" hidden="1">
              <a:extLst>
                <a:ext uri="{63B3BB69-23CF-44E3-9099-C40C66FF867C}">
                  <a14:compatExt spid="_x0000_s93211"/>
                </a:ext>
                <a:ext uri="{FF2B5EF4-FFF2-40B4-BE49-F238E27FC236}">
                  <a16:creationId xmlns:a16="http://schemas.microsoft.com/office/drawing/2014/main" id="{00000000-0008-0000-0C00-00001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3212" name="Button 28" hidden="1">
              <a:extLst>
                <a:ext uri="{63B3BB69-23CF-44E3-9099-C40C66FF867C}">
                  <a14:compatExt spid="_x0000_s93212"/>
                </a:ext>
                <a:ext uri="{FF2B5EF4-FFF2-40B4-BE49-F238E27FC236}">
                  <a16:creationId xmlns:a16="http://schemas.microsoft.com/office/drawing/2014/main" id="{00000000-0008-0000-0C00-00001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3213" name="Button 29" hidden="1">
              <a:extLst>
                <a:ext uri="{63B3BB69-23CF-44E3-9099-C40C66FF867C}">
                  <a14:compatExt spid="_x0000_s93213"/>
                </a:ext>
                <a:ext uri="{FF2B5EF4-FFF2-40B4-BE49-F238E27FC236}">
                  <a16:creationId xmlns:a16="http://schemas.microsoft.com/office/drawing/2014/main" id="{00000000-0008-0000-0C00-00001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3214" name="Button 30" hidden="1">
              <a:extLst>
                <a:ext uri="{63B3BB69-23CF-44E3-9099-C40C66FF867C}">
                  <a14:compatExt spid="_x0000_s93214"/>
                </a:ext>
                <a:ext uri="{FF2B5EF4-FFF2-40B4-BE49-F238E27FC236}">
                  <a16:creationId xmlns:a16="http://schemas.microsoft.com/office/drawing/2014/main" id="{00000000-0008-0000-0C00-00001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3215" name="Button 31" hidden="1">
              <a:extLst>
                <a:ext uri="{63B3BB69-23CF-44E3-9099-C40C66FF867C}">
                  <a14:compatExt spid="_x0000_s93215"/>
                </a:ext>
                <a:ext uri="{FF2B5EF4-FFF2-40B4-BE49-F238E27FC236}">
                  <a16:creationId xmlns:a16="http://schemas.microsoft.com/office/drawing/2014/main" id="{00000000-0008-0000-0C00-00001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3216" name="Button 32" hidden="1">
              <a:extLst>
                <a:ext uri="{63B3BB69-23CF-44E3-9099-C40C66FF867C}">
                  <a14:compatExt spid="_x0000_s93216"/>
                </a:ext>
                <a:ext uri="{FF2B5EF4-FFF2-40B4-BE49-F238E27FC236}">
                  <a16:creationId xmlns:a16="http://schemas.microsoft.com/office/drawing/2014/main" id="{00000000-0008-0000-0C00-00002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3217" name="Button 33" hidden="1">
              <a:extLst>
                <a:ext uri="{63B3BB69-23CF-44E3-9099-C40C66FF867C}">
                  <a14:compatExt spid="_x0000_s93217"/>
                </a:ext>
                <a:ext uri="{FF2B5EF4-FFF2-40B4-BE49-F238E27FC236}">
                  <a16:creationId xmlns:a16="http://schemas.microsoft.com/office/drawing/2014/main" id="{00000000-0008-0000-0C00-00002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3218" name="Button 34" hidden="1">
              <a:extLst>
                <a:ext uri="{63B3BB69-23CF-44E3-9099-C40C66FF867C}">
                  <a14:compatExt spid="_x0000_s93218"/>
                </a:ext>
                <a:ext uri="{FF2B5EF4-FFF2-40B4-BE49-F238E27FC236}">
                  <a16:creationId xmlns:a16="http://schemas.microsoft.com/office/drawing/2014/main" id="{00000000-0008-0000-0C00-00002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3219" name="Button 35" hidden="1">
              <a:extLst>
                <a:ext uri="{63B3BB69-23CF-44E3-9099-C40C66FF867C}">
                  <a14:compatExt spid="_x0000_s93219"/>
                </a:ext>
                <a:ext uri="{FF2B5EF4-FFF2-40B4-BE49-F238E27FC236}">
                  <a16:creationId xmlns:a16="http://schemas.microsoft.com/office/drawing/2014/main" id="{00000000-0008-0000-0C00-00002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3220" name="Button 36" hidden="1">
              <a:extLst>
                <a:ext uri="{63B3BB69-23CF-44E3-9099-C40C66FF867C}">
                  <a14:compatExt spid="_x0000_s93220"/>
                </a:ext>
                <a:ext uri="{FF2B5EF4-FFF2-40B4-BE49-F238E27FC236}">
                  <a16:creationId xmlns:a16="http://schemas.microsoft.com/office/drawing/2014/main" id="{00000000-0008-0000-0C00-00002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3221" name="Button 37" hidden="1">
              <a:extLst>
                <a:ext uri="{63B3BB69-23CF-44E3-9099-C40C66FF867C}">
                  <a14:compatExt spid="_x0000_s93221"/>
                </a:ext>
                <a:ext uri="{FF2B5EF4-FFF2-40B4-BE49-F238E27FC236}">
                  <a16:creationId xmlns:a16="http://schemas.microsoft.com/office/drawing/2014/main" id="{00000000-0008-0000-0C00-00002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3222" name="Button 38" hidden="1">
              <a:extLst>
                <a:ext uri="{63B3BB69-23CF-44E3-9099-C40C66FF867C}">
                  <a14:compatExt spid="_x0000_s93222"/>
                </a:ext>
                <a:ext uri="{FF2B5EF4-FFF2-40B4-BE49-F238E27FC236}">
                  <a16:creationId xmlns:a16="http://schemas.microsoft.com/office/drawing/2014/main" id="{00000000-0008-0000-0C00-00002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3223" name="Button 39" hidden="1">
              <a:extLst>
                <a:ext uri="{63B3BB69-23CF-44E3-9099-C40C66FF867C}">
                  <a14:compatExt spid="_x0000_s93223"/>
                </a:ext>
                <a:ext uri="{FF2B5EF4-FFF2-40B4-BE49-F238E27FC236}">
                  <a16:creationId xmlns:a16="http://schemas.microsoft.com/office/drawing/2014/main" id="{00000000-0008-0000-0C00-00002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3224" name="Button 40" hidden="1">
              <a:extLst>
                <a:ext uri="{63B3BB69-23CF-44E3-9099-C40C66FF867C}">
                  <a14:compatExt spid="_x0000_s93224"/>
                </a:ext>
                <a:ext uri="{FF2B5EF4-FFF2-40B4-BE49-F238E27FC236}">
                  <a16:creationId xmlns:a16="http://schemas.microsoft.com/office/drawing/2014/main" id="{00000000-0008-0000-0C00-00002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3225" name="Button 41" hidden="1">
              <a:extLst>
                <a:ext uri="{63B3BB69-23CF-44E3-9099-C40C66FF867C}">
                  <a14:compatExt spid="_x0000_s93225"/>
                </a:ext>
                <a:ext uri="{FF2B5EF4-FFF2-40B4-BE49-F238E27FC236}">
                  <a16:creationId xmlns:a16="http://schemas.microsoft.com/office/drawing/2014/main" id="{00000000-0008-0000-0C00-00002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3226" name="Button 42" hidden="1">
              <a:extLst>
                <a:ext uri="{63B3BB69-23CF-44E3-9099-C40C66FF867C}">
                  <a14:compatExt spid="_x0000_s93226"/>
                </a:ext>
                <a:ext uri="{FF2B5EF4-FFF2-40B4-BE49-F238E27FC236}">
                  <a16:creationId xmlns:a16="http://schemas.microsoft.com/office/drawing/2014/main" id="{00000000-0008-0000-0C00-00002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3227" name="Button 43" hidden="1">
              <a:extLst>
                <a:ext uri="{63B3BB69-23CF-44E3-9099-C40C66FF867C}">
                  <a14:compatExt spid="_x0000_s93227"/>
                </a:ext>
                <a:ext uri="{FF2B5EF4-FFF2-40B4-BE49-F238E27FC236}">
                  <a16:creationId xmlns:a16="http://schemas.microsoft.com/office/drawing/2014/main" id="{00000000-0008-0000-0C00-00002B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3228" name="Button 44" hidden="1">
              <a:extLst>
                <a:ext uri="{63B3BB69-23CF-44E3-9099-C40C66FF867C}">
                  <a14:compatExt spid="_x0000_s93228"/>
                </a:ext>
                <a:ext uri="{FF2B5EF4-FFF2-40B4-BE49-F238E27FC236}">
                  <a16:creationId xmlns:a16="http://schemas.microsoft.com/office/drawing/2014/main" id="{00000000-0008-0000-0C00-00002C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3229" name="Button 45" hidden="1">
              <a:extLst>
                <a:ext uri="{63B3BB69-23CF-44E3-9099-C40C66FF867C}">
                  <a14:compatExt spid="_x0000_s93229"/>
                </a:ext>
                <a:ext uri="{FF2B5EF4-FFF2-40B4-BE49-F238E27FC236}">
                  <a16:creationId xmlns:a16="http://schemas.microsoft.com/office/drawing/2014/main" id="{00000000-0008-0000-0C00-00002D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3230" name="Button 46" hidden="1">
              <a:extLst>
                <a:ext uri="{63B3BB69-23CF-44E3-9099-C40C66FF867C}">
                  <a14:compatExt spid="_x0000_s93230"/>
                </a:ext>
                <a:ext uri="{FF2B5EF4-FFF2-40B4-BE49-F238E27FC236}">
                  <a16:creationId xmlns:a16="http://schemas.microsoft.com/office/drawing/2014/main" id="{00000000-0008-0000-0C00-00002E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3231" name="Button 47" hidden="1">
              <a:extLst>
                <a:ext uri="{63B3BB69-23CF-44E3-9099-C40C66FF867C}">
                  <a14:compatExt spid="_x0000_s93231"/>
                </a:ext>
                <a:ext uri="{FF2B5EF4-FFF2-40B4-BE49-F238E27FC236}">
                  <a16:creationId xmlns:a16="http://schemas.microsoft.com/office/drawing/2014/main" id="{00000000-0008-0000-0C00-00002F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3232" name="Button 48" hidden="1">
              <a:extLst>
                <a:ext uri="{63B3BB69-23CF-44E3-9099-C40C66FF867C}">
                  <a14:compatExt spid="_x0000_s93232"/>
                </a:ext>
                <a:ext uri="{FF2B5EF4-FFF2-40B4-BE49-F238E27FC236}">
                  <a16:creationId xmlns:a16="http://schemas.microsoft.com/office/drawing/2014/main" id="{00000000-0008-0000-0C00-000030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3233" name="Button 49" hidden="1">
              <a:extLst>
                <a:ext uri="{63B3BB69-23CF-44E3-9099-C40C66FF867C}">
                  <a14:compatExt spid="_x0000_s93233"/>
                </a:ext>
                <a:ext uri="{FF2B5EF4-FFF2-40B4-BE49-F238E27FC236}">
                  <a16:creationId xmlns:a16="http://schemas.microsoft.com/office/drawing/2014/main" id="{00000000-0008-0000-0C00-000031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3234" name="Button 50" hidden="1">
              <a:extLst>
                <a:ext uri="{63B3BB69-23CF-44E3-9099-C40C66FF867C}">
                  <a14:compatExt spid="_x0000_s93234"/>
                </a:ext>
                <a:ext uri="{FF2B5EF4-FFF2-40B4-BE49-F238E27FC236}">
                  <a16:creationId xmlns:a16="http://schemas.microsoft.com/office/drawing/2014/main" id="{00000000-0008-0000-0C00-000032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3235" name="Button 51" hidden="1">
              <a:extLst>
                <a:ext uri="{63B3BB69-23CF-44E3-9099-C40C66FF867C}">
                  <a14:compatExt spid="_x0000_s93235"/>
                </a:ext>
                <a:ext uri="{FF2B5EF4-FFF2-40B4-BE49-F238E27FC236}">
                  <a16:creationId xmlns:a16="http://schemas.microsoft.com/office/drawing/2014/main" id="{00000000-0008-0000-0C00-000033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3236" name="Button 52" hidden="1">
              <a:extLst>
                <a:ext uri="{63B3BB69-23CF-44E3-9099-C40C66FF867C}">
                  <a14:compatExt spid="_x0000_s93236"/>
                </a:ext>
                <a:ext uri="{FF2B5EF4-FFF2-40B4-BE49-F238E27FC236}">
                  <a16:creationId xmlns:a16="http://schemas.microsoft.com/office/drawing/2014/main" id="{00000000-0008-0000-0C00-000034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3237" name="Button 53" hidden="1">
              <a:extLst>
                <a:ext uri="{63B3BB69-23CF-44E3-9099-C40C66FF867C}">
                  <a14:compatExt spid="_x0000_s93237"/>
                </a:ext>
                <a:ext uri="{FF2B5EF4-FFF2-40B4-BE49-F238E27FC236}">
                  <a16:creationId xmlns:a16="http://schemas.microsoft.com/office/drawing/2014/main" id="{00000000-0008-0000-0C00-000035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3238" name="Button 54" hidden="1">
              <a:extLst>
                <a:ext uri="{63B3BB69-23CF-44E3-9099-C40C66FF867C}">
                  <a14:compatExt spid="_x0000_s93238"/>
                </a:ext>
                <a:ext uri="{FF2B5EF4-FFF2-40B4-BE49-F238E27FC236}">
                  <a16:creationId xmlns:a16="http://schemas.microsoft.com/office/drawing/2014/main" id="{00000000-0008-0000-0C00-000036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3239" name="Button 55" hidden="1">
              <a:extLst>
                <a:ext uri="{63B3BB69-23CF-44E3-9099-C40C66FF867C}">
                  <a14:compatExt spid="_x0000_s93239"/>
                </a:ext>
                <a:ext uri="{FF2B5EF4-FFF2-40B4-BE49-F238E27FC236}">
                  <a16:creationId xmlns:a16="http://schemas.microsoft.com/office/drawing/2014/main" id="{00000000-0008-0000-0C00-000037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3240" name="Button 56" hidden="1">
              <a:extLst>
                <a:ext uri="{63B3BB69-23CF-44E3-9099-C40C66FF867C}">
                  <a14:compatExt spid="_x0000_s93240"/>
                </a:ext>
                <a:ext uri="{FF2B5EF4-FFF2-40B4-BE49-F238E27FC236}">
                  <a16:creationId xmlns:a16="http://schemas.microsoft.com/office/drawing/2014/main" id="{00000000-0008-0000-0C00-000038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3241" name="Button 57" hidden="1">
              <a:extLst>
                <a:ext uri="{63B3BB69-23CF-44E3-9099-C40C66FF867C}">
                  <a14:compatExt spid="_x0000_s93241"/>
                </a:ext>
                <a:ext uri="{FF2B5EF4-FFF2-40B4-BE49-F238E27FC236}">
                  <a16:creationId xmlns:a16="http://schemas.microsoft.com/office/drawing/2014/main" id="{00000000-0008-0000-0C00-000039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3242" name="Button 58" hidden="1">
              <a:extLst>
                <a:ext uri="{63B3BB69-23CF-44E3-9099-C40C66FF867C}">
                  <a14:compatExt spid="_x0000_s93242"/>
                </a:ext>
                <a:ext uri="{FF2B5EF4-FFF2-40B4-BE49-F238E27FC236}">
                  <a16:creationId xmlns:a16="http://schemas.microsoft.com/office/drawing/2014/main" id="{00000000-0008-0000-0C00-00003A6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94209" name="Button 1" hidden="1">
              <a:extLst>
                <a:ext uri="{63B3BB69-23CF-44E3-9099-C40C66FF867C}">
                  <a14:compatExt spid="_x0000_s94209"/>
                </a:ext>
                <a:ext uri="{FF2B5EF4-FFF2-40B4-BE49-F238E27FC236}">
                  <a16:creationId xmlns:a16="http://schemas.microsoft.com/office/drawing/2014/main" id="{00000000-0008-0000-0D00-00000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82</xdr:row>
          <xdr:rowOff>76200</xdr:rowOff>
        </xdr:from>
        <xdr:to>
          <xdr:col>16</xdr:col>
          <xdr:colOff>38100</xdr:colOff>
          <xdr:row>83</xdr:row>
          <xdr:rowOff>144780</xdr:rowOff>
        </xdr:to>
        <xdr:sp macro="" textlink="">
          <xdr:nvSpPr>
            <xdr:cNvPr id="94210" name="Button 2" hidden="1">
              <a:extLst>
                <a:ext uri="{63B3BB69-23CF-44E3-9099-C40C66FF867C}">
                  <a14:compatExt spid="_x0000_s94210"/>
                </a:ext>
                <a:ext uri="{FF2B5EF4-FFF2-40B4-BE49-F238E27FC236}">
                  <a16:creationId xmlns:a16="http://schemas.microsoft.com/office/drawing/2014/main" id="{00000000-0008-0000-0D00-00000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4211" name="Button 3" hidden="1">
              <a:extLst>
                <a:ext uri="{63B3BB69-23CF-44E3-9099-C40C66FF867C}">
                  <a14:compatExt spid="_x0000_s94211"/>
                </a:ext>
                <a:ext uri="{FF2B5EF4-FFF2-40B4-BE49-F238E27FC236}">
                  <a16:creationId xmlns:a16="http://schemas.microsoft.com/office/drawing/2014/main" id="{00000000-0008-0000-0D00-00000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4212" name="Button 4" hidden="1">
              <a:extLst>
                <a:ext uri="{63B3BB69-23CF-44E3-9099-C40C66FF867C}">
                  <a14:compatExt spid="_x0000_s94212"/>
                </a:ext>
                <a:ext uri="{FF2B5EF4-FFF2-40B4-BE49-F238E27FC236}">
                  <a16:creationId xmlns:a16="http://schemas.microsoft.com/office/drawing/2014/main" id="{00000000-0008-0000-0D00-00000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4213" name="Button 5" hidden="1">
              <a:extLst>
                <a:ext uri="{63B3BB69-23CF-44E3-9099-C40C66FF867C}">
                  <a14:compatExt spid="_x0000_s94213"/>
                </a:ext>
                <a:ext uri="{FF2B5EF4-FFF2-40B4-BE49-F238E27FC236}">
                  <a16:creationId xmlns:a16="http://schemas.microsoft.com/office/drawing/2014/main" id="{00000000-0008-0000-0D00-00000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94214" name="Button 6" hidden="1">
              <a:extLst>
                <a:ext uri="{63B3BB69-23CF-44E3-9099-C40C66FF867C}">
                  <a14:compatExt spid="_x0000_s94214"/>
                </a:ext>
                <a:ext uri="{FF2B5EF4-FFF2-40B4-BE49-F238E27FC236}">
                  <a16:creationId xmlns:a16="http://schemas.microsoft.com/office/drawing/2014/main" id="{00000000-0008-0000-0D00-00000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4215" name="Button 7" hidden="1">
              <a:extLst>
                <a:ext uri="{63B3BB69-23CF-44E3-9099-C40C66FF867C}">
                  <a14:compatExt spid="_x0000_s94215"/>
                </a:ext>
                <a:ext uri="{FF2B5EF4-FFF2-40B4-BE49-F238E27FC236}">
                  <a16:creationId xmlns:a16="http://schemas.microsoft.com/office/drawing/2014/main" id="{00000000-0008-0000-0D00-00000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4216" name="Button 8" hidden="1">
              <a:extLst>
                <a:ext uri="{63B3BB69-23CF-44E3-9099-C40C66FF867C}">
                  <a14:compatExt spid="_x0000_s94216"/>
                </a:ext>
                <a:ext uri="{FF2B5EF4-FFF2-40B4-BE49-F238E27FC236}">
                  <a16:creationId xmlns:a16="http://schemas.microsoft.com/office/drawing/2014/main" id="{00000000-0008-0000-0D00-00000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4217" name="Button 9" hidden="1">
              <a:extLst>
                <a:ext uri="{63B3BB69-23CF-44E3-9099-C40C66FF867C}">
                  <a14:compatExt spid="_x0000_s94217"/>
                </a:ext>
                <a:ext uri="{FF2B5EF4-FFF2-40B4-BE49-F238E27FC236}">
                  <a16:creationId xmlns:a16="http://schemas.microsoft.com/office/drawing/2014/main" id="{00000000-0008-0000-0D00-00000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94218" name="Button 10" hidden="1">
              <a:extLst>
                <a:ext uri="{63B3BB69-23CF-44E3-9099-C40C66FF867C}">
                  <a14:compatExt spid="_x0000_s94218"/>
                </a:ext>
                <a:ext uri="{FF2B5EF4-FFF2-40B4-BE49-F238E27FC236}">
                  <a16:creationId xmlns:a16="http://schemas.microsoft.com/office/drawing/2014/main" id="{00000000-0008-0000-0D00-00000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4219" name="Button 11" hidden="1">
              <a:extLst>
                <a:ext uri="{63B3BB69-23CF-44E3-9099-C40C66FF867C}">
                  <a14:compatExt spid="_x0000_s94219"/>
                </a:ext>
                <a:ext uri="{FF2B5EF4-FFF2-40B4-BE49-F238E27FC236}">
                  <a16:creationId xmlns:a16="http://schemas.microsoft.com/office/drawing/2014/main" id="{00000000-0008-0000-0D00-00000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4220" name="Button 12" hidden="1">
              <a:extLst>
                <a:ext uri="{63B3BB69-23CF-44E3-9099-C40C66FF867C}">
                  <a14:compatExt spid="_x0000_s94220"/>
                </a:ext>
                <a:ext uri="{FF2B5EF4-FFF2-40B4-BE49-F238E27FC236}">
                  <a16:creationId xmlns:a16="http://schemas.microsoft.com/office/drawing/2014/main" id="{00000000-0008-0000-0D00-00000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4221" name="Button 13" hidden="1">
              <a:extLst>
                <a:ext uri="{63B3BB69-23CF-44E3-9099-C40C66FF867C}">
                  <a14:compatExt spid="_x0000_s94221"/>
                </a:ext>
                <a:ext uri="{FF2B5EF4-FFF2-40B4-BE49-F238E27FC236}">
                  <a16:creationId xmlns:a16="http://schemas.microsoft.com/office/drawing/2014/main" id="{00000000-0008-0000-0D00-00000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94222" name="Button 14" hidden="1">
              <a:extLst>
                <a:ext uri="{63B3BB69-23CF-44E3-9099-C40C66FF867C}">
                  <a14:compatExt spid="_x0000_s94222"/>
                </a:ext>
                <a:ext uri="{FF2B5EF4-FFF2-40B4-BE49-F238E27FC236}">
                  <a16:creationId xmlns:a16="http://schemas.microsoft.com/office/drawing/2014/main" id="{00000000-0008-0000-0D00-00000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4223" name="Button 15" hidden="1">
              <a:extLst>
                <a:ext uri="{63B3BB69-23CF-44E3-9099-C40C66FF867C}">
                  <a14:compatExt spid="_x0000_s94223"/>
                </a:ext>
                <a:ext uri="{FF2B5EF4-FFF2-40B4-BE49-F238E27FC236}">
                  <a16:creationId xmlns:a16="http://schemas.microsoft.com/office/drawing/2014/main" id="{00000000-0008-0000-0D00-00000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4224" name="Button 16" hidden="1">
              <a:extLst>
                <a:ext uri="{63B3BB69-23CF-44E3-9099-C40C66FF867C}">
                  <a14:compatExt spid="_x0000_s94224"/>
                </a:ext>
                <a:ext uri="{FF2B5EF4-FFF2-40B4-BE49-F238E27FC236}">
                  <a16:creationId xmlns:a16="http://schemas.microsoft.com/office/drawing/2014/main" id="{00000000-0008-0000-0D00-00001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4225" name="Button 17" hidden="1">
              <a:extLst>
                <a:ext uri="{63B3BB69-23CF-44E3-9099-C40C66FF867C}">
                  <a14:compatExt spid="_x0000_s94225"/>
                </a:ext>
                <a:ext uri="{FF2B5EF4-FFF2-40B4-BE49-F238E27FC236}">
                  <a16:creationId xmlns:a16="http://schemas.microsoft.com/office/drawing/2014/main" id="{00000000-0008-0000-0D00-00001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94226" name="Button 18" hidden="1">
              <a:extLst>
                <a:ext uri="{63B3BB69-23CF-44E3-9099-C40C66FF867C}">
                  <a14:compatExt spid="_x0000_s94226"/>
                </a:ext>
                <a:ext uri="{FF2B5EF4-FFF2-40B4-BE49-F238E27FC236}">
                  <a16:creationId xmlns:a16="http://schemas.microsoft.com/office/drawing/2014/main" id="{00000000-0008-0000-0D00-00001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4227" name="Button 19" hidden="1">
              <a:extLst>
                <a:ext uri="{63B3BB69-23CF-44E3-9099-C40C66FF867C}">
                  <a14:compatExt spid="_x0000_s94227"/>
                </a:ext>
                <a:ext uri="{FF2B5EF4-FFF2-40B4-BE49-F238E27FC236}">
                  <a16:creationId xmlns:a16="http://schemas.microsoft.com/office/drawing/2014/main" id="{00000000-0008-0000-0D00-00001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4228" name="Button 20" hidden="1">
              <a:extLst>
                <a:ext uri="{63B3BB69-23CF-44E3-9099-C40C66FF867C}">
                  <a14:compatExt spid="_x0000_s94228"/>
                </a:ext>
                <a:ext uri="{FF2B5EF4-FFF2-40B4-BE49-F238E27FC236}">
                  <a16:creationId xmlns:a16="http://schemas.microsoft.com/office/drawing/2014/main" id="{00000000-0008-0000-0D00-00001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4229" name="Button 21" hidden="1">
              <a:extLst>
                <a:ext uri="{63B3BB69-23CF-44E3-9099-C40C66FF867C}">
                  <a14:compatExt spid="_x0000_s94229"/>
                </a:ext>
                <a:ext uri="{FF2B5EF4-FFF2-40B4-BE49-F238E27FC236}">
                  <a16:creationId xmlns:a16="http://schemas.microsoft.com/office/drawing/2014/main" id="{00000000-0008-0000-0D00-00001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94230" name="Button 22" hidden="1">
              <a:extLst>
                <a:ext uri="{63B3BB69-23CF-44E3-9099-C40C66FF867C}">
                  <a14:compatExt spid="_x0000_s94230"/>
                </a:ext>
                <a:ext uri="{FF2B5EF4-FFF2-40B4-BE49-F238E27FC236}">
                  <a16:creationId xmlns:a16="http://schemas.microsoft.com/office/drawing/2014/main" id="{00000000-0008-0000-0D00-00001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4231" name="Button 23" hidden="1">
              <a:extLst>
                <a:ext uri="{63B3BB69-23CF-44E3-9099-C40C66FF867C}">
                  <a14:compatExt spid="_x0000_s94231"/>
                </a:ext>
                <a:ext uri="{FF2B5EF4-FFF2-40B4-BE49-F238E27FC236}">
                  <a16:creationId xmlns:a16="http://schemas.microsoft.com/office/drawing/2014/main" id="{00000000-0008-0000-0D00-00001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4232" name="Button 24" hidden="1">
              <a:extLst>
                <a:ext uri="{63B3BB69-23CF-44E3-9099-C40C66FF867C}">
                  <a14:compatExt spid="_x0000_s94232"/>
                </a:ext>
                <a:ext uri="{FF2B5EF4-FFF2-40B4-BE49-F238E27FC236}">
                  <a16:creationId xmlns:a16="http://schemas.microsoft.com/office/drawing/2014/main" id="{00000000-0008-0000-0D00-00001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4233" name="Button 25" hidden="1">
              <a:extLst>
                <a:ext uri="{63B3BB69-23CF-44E3-9099-C40C66FF867C}">
                  <a14:compatExt spid="_x0000_s94233"/>
                </a:ext>
                <a:ext uri="{FF2B5EF4-FFF2-40B4-BE49-F238E27FC236}">
                  <a16:creationId xmlns:a16="http://schemas.microsoft.com/office/drawing/2014/main" id="{00000000-0008-0000-0D00-00001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94234" name="Button 26" hidden="1">
              <a:extLst>
                <a:ext uri="{63B3BB69-23CF-44E3-9099-C40C66FF867C}">
                  <a14:compatExt spid="_x0000_s94234"/>
                </a:ext>
                <a:ext uri="{FF2B5EF4-FFF2-40B4-BE49-F238E27FC236}">
                  <a16:creationId xmlns:a16="http://schemas.microsoft.com/office/drawing/2014/main" id="{00000000-0008-0000-0D00-00001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4235" name="Button 27" hidden="1">
              <a:extLst>
                <a:ext uri="{63B3BB69-23CF-44E3-9099-C40C66FF867C}">
                  <a14:compatExt spid="_x0000_s94235"/>
                </a:ext>
                <a:ext uri="{FF2B5EF4-FFF2-40B4-BE49-F238E27FC236}">
                  <a16:creationId xmlns:a16="http://schemas.microsoft.com/office/drawing/2014/main" id="{00000000-0008-0000-0D00-00001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4236" name="Button 28" hidden="1">
              <a:extLst>
                <a:ext uri="{63B3BB69-23CF-44E3-9099-C40C66FF867C}">
                  <a14:compatExt spid="_x0000_s94236"/>
                </a:ext>
                <a:ext uri="{FF2B5EF4-FFF2-40B4-BE49-F238E27FC236}">
                  <a16:creationId xmlns:a16="http://schemas.microsoft.com/office/drawing/2014/main" id="{00000000-0008-0000-0D00-00001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4237" name="Button 29" hidden="1">
              <a:extLst>
                <a:ext uri="{63B3BB69-23CF-44E3-9099-C40C66FF867C}">
                  <a14:compatExt spid="_x0000_s94237"/>
                </a:ext>
                <a:ext uri="{FF2B5EF4-FFF2-40B4-BE49-F238E27FC236}">
                  <a16:creationId xmlns:a16="http://schemas.microsoft.com/office/drawing/2014/main" id="{00000000-0008-0000-0D00-00001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94238" name="Button 30" hidden="1">
              <a:extLst>
                <a:ext uri="{63B3BB69-23CF-44E3-9099-C40C66FF867C}">
                  <a14:compatExt spid="_x0000_s94238"/>
                </a:ext>
                <a:ext uri="{FF2B5EF4-FFF2-40B4-BE49-F238E27FC236}">
                  <a16:creationId xmlns:a16="http://schemas.microsoft.com/office/drawing/2014/main" id="{00000000-0008-0000-0D00-00001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4239" name="Button 31" hidden="1">
              <a:extLst>
                <a:ext uri="{63B3BB69-23CF-44E3-9099-C40C66FF867C}">
                  <a14:compatExt spid="_x0000_s94239"/>
                </a:ext>
                <a:ext uri="{FF2B5EF4-FFF2-40B4-BE49-F238E27FC236}">
                  <a16:creationId xmlns:a16="http://schemas.microsoft.com/office/drawing/2014/main" id="{00000000-0008-0000-0D00-00001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4240" name="Button 32" hidden="1">
              <a:extLst>
                <a:ext uri="{63B3BB69-23CF-44E3-9099-C40C66FF867C}">
                  <a14:compatExt spid="_x0000_s94240"/>
                </a:ext>
                <a:ext uri="{FF2B5EF4-FFF2-40B4-BE49-F238E27FC236}">
                  <a16:creationId xmlns:a16="http://schemas.microsoft.com/office/drawing/2014/main" id="{00000000-0008-0000-0D00-00002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4241" name="Button 33" hidden="1">
              <a:extLst>
                <a:ext uri="{63B3BB69-23CF-44E3-9099-C40C66FF867C}">
                  <a14:compatExt spid="_x0000_s94241"/>
                </a:ext>
                <a:ext uri="{FF2B5EF4-FFF2-40B4-BE49-F238E27FC236}">
                  <a16:creationId xmlns:a16="http://schemas.microsoft.com/office/drawing/2014/main" id="{00000000-0008-0000-0D00-00002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94242" name="Button 34" hidden="1">
              <a:extLst>
                <a:ext uri="{63B3BB69-23CF-44E3-9099-C40C66FF867C}">
                  <a14:compatExt spid="_x0000_s94242"/>
                </a:ext>
                <a:ext uri="{FF2B5EF4-FFF2-40B4-BE49-F238E27FC236}">
                  <a16:creationId xmlns:a16="http://schemas.microsoft.com/office/drawing/2014/main" id="{00000000-0008-0000-0D00-00002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4243" name="Button 35" hidden="1">
              <a:extLst>
                <a:ext uri="{63B3BB69-23CF-44E3-9099-C40C66FF867C}">
                  <a14:compatExt spid="_x0000_s94243"/>
                </a:ext>
                <a:ext uri="{FF2B5EF4-FFF2-40B4-BE49-F238E27FC236}">
                  <a16:creationId xmlns:a16="http://schemas.microsoft.com/office/drawing/2014/main" id="{00000000-0008-0000-0D00-00002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4244" name="Button 36" hidden="1">
              <a:extLst>
                <a:ext uri="{63B3BB69-23CF-44E3-9099-C40C66FF867C}">
                  <a14:compatExt spid="_x0000_s94244"/>
                </a:ext>
                <a:ext uri="{FF2B5EF4-FFF2-40B4-BE49-F238E27FC236}">
                  <a16:creationId xmlns:a16="http://schemas.microsoft.com/office/drawing/2014/main" id="{00000000-0008-0000-0D00-00002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4245" name="Button 37" hidden="1">
              <a:extLst>
                <a:ext uri="{63B3BB69-23CF-44E3-9099-C40C66FF867C}">
                  <a14:compatExt spid="_x0000_s94245"/>
                </a:ext>
                <a:ext uri="{FF2B5EF4-FFF2-40B4-BE49-F238E27FC236}">
                  <a16:creationId xmlns:a16="http://schemas.microsoft.com/office/drawing/2014/main" id="{00000000-0008-0000-0D00-00002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94246" name="Button 38" hidden="1">
              <a:extLst>
                <a:ext uri="{63B3BB69-23CF-44E3-9099-C40C66FF867C}">
                  <a14:compatExt spid="_x0000_s94246"/>
                </a:ext>
                <a:ext uri="{FF2B5EF4-FFF2-40B4-BE49-F238E27FC236}">
                  <a16:creationId xmlns:a16="http://schemas.microsoft.com/office/drawing/2014/main" id="{00000000-0008-0000-0D00-00002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4247" name="Button 39" hidden="1">
              <a:extLst>
                <a:ext uri="{63B3BB69-23CF-44E3-9099-C40C66FF867C}">
                  <a14:compatExt spid="_x0000_s94247"/>
                </a:ext>
                <a:ext uri="{FF2B5EF4-FFF2-40B4-BE49-F238E27FC236}">
                  <a16:creationId xmlns:a16="http://schemas.microsoft.com/office/drawing/2014/main" id="{00000000-0008-0000-0D00-00002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4248" name="Button 40" hidden="1">
              <a:extLst>
                <a:ext uri="{63B3BB69-23CF-44E3-9099-C40C66FF867C}">
                  <a14:compatExt spid="_x0000_s94248"/>
                </a:ext>
                <a:ext uri="{FF2B5EF4-FFF2-40B4-BE49-F238E27FC236}">
                  <a16:creationId xmlns:a16="http://schemas.microsoft.com/office/drawing/2014/main" id="{00000000-0008-0000-0D00-00002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4249" name="Button 41" hidden="1">
              <a:extLst>
                <a:ext uri="{63B3BB69-23CF-44E3-9099-C40C66FF867C}">
                  <a14:compatExt spid="_x0000_s94249"/>
                </a:ext>
                <a:ext uri="{FF2B5EF4-FFF2-40B4-BE49-F238E27FC236}">
                  <a16:creationId xmlns:a16="http://schemas.microsoft.com/office/drawing/2014/main" id="{00000000-0008-0000-0D00-00002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94250" name="Button 42" hidden="1">
              <a:extLst>
                <a:ext uri="{63B3BB69-23CF-44E3-9099-C40C66FF867C}">
                  <a14:compatExt spid="_x0000_s94250"/>
                </a:ext>
                <a:ext uri="{FF2B5EF4-FFF2-40B4-BE49-F238E27FC236}">
                  <a16:creationId xmlns:a16="http://schemas.microsoft.com/office/drawing/2014/main" id="{00000000-0008-0000-0D00-00002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4251" name="Button 43" hidden="1">
              <a:extLst>
                <a:ext uri="{63B3BB69-23CF-44E3-9099-C40C66FF867C}">
                  <a14:compatExt spid="_x0000_s94251"/>
                </a:ext>
                <a:ext uri="{FF2B5EF4-FFF2-40B4-BE49-F238E27FC236}">
                  <a16:creationId xmlns:a16="http://schemas.microsoft.com/office/drawing/2014/main" id="{00000000-0008-0000-0D00-00002B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4252" name="Button 44" hidden="1">
              <a:extLst>
                <a:ext uri="{63B3BB69-23CF-44E3-9099-C40C66FF867C}">
                  <a14:compatExt spid="_x0000_s94252"/>
                </a:ext>
                <a:ext uri="{FF2B5EF4-FFF2-40B4-BE49-F238E27FC236}">
                  <a16:creationId xmlns:a16="http://schemas.microsoft.com/office/drawing/2014/main" id="{00000000-0008-0000-0D00-00002C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4253" name="Button 45" hidden="1">
              <a:extLst>
                <a:ext uri="{63B3BB69-23CF-44E3-9099-C40C66FF867C}">
                  <a14:compatExt spid="_x0000_s94253"/>
                </a:ext>
                <a:ext uri="{FF2B5EF4-FFF2-40B4-BE49-F238E27FC236}">
                  <a16:creationId xmlns:a16="http://schemas.microsoft.com/office/drawing/2014/main" id="{00000000-0008-0000-0D00-00002D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94254" name="Button 46" hidden="1">
              <a:extLst>
                <a:ext uri="{63B3BB69-23CF-44E3-9099-C40C66FF867C}">
                  <a14:compatExt spid="_x0000_s94254"/>
                </a:ext>
                <a:ext uri="{FF2B5EF4-FFF2-40B4-BE49-F238E27FC236}">
                  <a16:creationId xmlns:a16="http://schemas.microsoft.com/office/drawing/2014/main" id="{00000000-0008-0000-0D00-00002E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4255" name="Button 47" hidden="1">
              <a:extLst>
                <a:ext uri="{63B3BB69-23CF-44E3-9099-C40C66FF867C}">
                  <a14:compatExt spid="_x0000_s94255"/>
                </a:ext>
                <a:ext uri="{FF2B5EF4-FFF2-40B4-BE49-F238E27FC236}">
                  <a16:creationId xmlns:a16="http://schemas.microsoft.com/office/drawing/2014/main" id="{00000000-0008-0000-0D00-00002F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4256" name="Button 48" hidden="1">
              <a:extLst>
                <a:ext uri="{63B3BB69-23CF-44E3-9099-C40C66FF867C}">
                  <a14:compatExt spid="_x0000_s94256"/>
                </a:ext>
                <a:ext uri="{FF2B5EF4-FFF2-40B4-BE49-F238E27FC236}">
                  <a16:creationId xmlns:a16="http://schemas.microsoft.com/office/drawing/2014/main" id="{00000000-0008-0000-0D00-000030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4257" name="Button 49" hidden="1">
              <a:extLst>
                <a:ext uri="{63B3BB69-23CF-44E3-9099-C40C66FF867C}">
                  <a14:compatExt spid="_x0000_s94257"/>
                </a:ext>
                <a:ext uri="{FF2B5EF4-FFF2-40B4-BE49-F238E27FC236}">
                  <a16:creationId xmlns:a16="http://schemas.microsoft.com/office/drawing/2014/main" id="{00000000-0008-0000-0D00-000031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94258" name="Button 50" hidden="1">
              <a:extLst>
                <a:ext uri="{63B3BB69-23CF-44E3-9099-C40C66FF867C}">
                  <a14:compatExt spid="_x0000_s94258"/>
                </a:ext>
                <a:ext uri="{FF2B5EF4-FFF2-40B4-BE49-F238E27FC236}">
                  <a16:creationId xmlns:a16="http://schemas.microsoft.com/office/drawing/2014/main" id="{00000000-0008-0000-0D00-000032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4259" name="Button 51" hidden="1">
              <a:extLst>
                <a:ext uri="{63B3BB69-23CF-44E3-9099-C40C66FF867C}">
                  <a14:compatExt spid="_x0000_s94259"/>
                </a:ext>
                <a:ext uri="{FF2B5EF4-FFF2-40B4-BE49-F238E27FC236}">
                  <a16:creationId xmlns:a16="http://schemas.microsoft.com/office/drawing/2014/main" id="{00000000-0008-0000-0D00-000033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4260" name="Button 52" hidden="1">
              <a:extLst>
                <a:ext uri="{63B3BB69-23CF-44E3-9099-C40C66FF867C}">
                  <a14:compatExt spid="_x0000_s94260"/>
                </a:ext>
                <a:ext uri="{FF2B5EF4-FFF2-40B4-BE49-F238E27FC236}">
                  <a16:creationId xmlns:a16="http://schemas.microsoft.com/office/drawing/2014/main" id="{00000000-0008-0000-0D00-000034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4261" name="Button 53" hidden="1">
              <a:extLst>
                <a:ext uri="{63B3BB69-23CF-44E3-9099-C40C66FF867C}">
                  <a14:compatExt spid="_x0000_s94261"/>
                </a:ext>
                <a:ext uri="{FF2B5EF4-FFF2-40B4-BE49-F238E27FC236}">
                  <a16:creationId xmlns:a16="http://schemas.microsoft.com/office/drawing/2014/main" id="{00000000-0008-0000-0D00-000035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94262" name="Button 54" hidden="1">
              <a:extLst>
                <a:ext uri="{63B3BB69-23CF-44E3-9099-C40C66FF867C}">
                  <a14:compatExt spid="_x0000_s94262"/>
                </a:ext>
                <a:ext uri="{FF2B5EF4-FFF2-40B4-BE49-F238E27FC236}">
                  <a16:creationId xmlns:a16="http://schemas.microsoft.com/office/drawing/2014/main" id="{00000000-0008-0000-0D00-000036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4263" name="Button 55" hidden="1">
              <a:extLst>
                <a:ext uri="{63B3BB69-23CF-44E3-9099-C40C66FF867C}">
                  <a14:compatExt spid="_x0000_s94263"/>
                </a:ext>
                <a:ext uri="{FF2B5EF4-FFF2-40B4-BE49-F238E27FC236}">
                  <a16:creationId xmlns:a16="http://schemas.microsoft.com/office/drawing/2014/main" id="{00000000-0008-0000-0D00-000037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4264" name="Button 56" hidden="1">
              <a:extLst>
                <a:ext uri="{63B3BB69-23CF-44E3-9099-C40C66FF867C}">
                  <a14:compatExt spid="_x0000_s94264"/>
                </a:ext>
                <a:ext uri="{FF2B5EF4-FFF2-40B4-BE49-F238E27FC236}">
                  <a16:creationId xmlns:a16="http://schemas.microsoft.com/office/drawing/2014/main" id="{00000000-0008-0000-0D00-000038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4265" name="Button 57" hidden="1">
              <a:extLst>
                <a:ext uri="{63B3BB69-23CF-44E3-9099-C40C66FF867C}">
                  <a14:compatExt spid="_x0000_s94265"/>
                </a:ext>
                <a:ext uri="{FF2B5EF4-FFF2-40B4-BE49-F238E27FC236}">
                  <a16:creationId xmlns:a16="http://schemas.microsoft.com/office/drawing/2014/main" id="{00000000-0008-0000-0D00-000039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94266" name="Button 58" hidden="1">
              <a:extLst>
                <a:ext uri="{63B3BB69-23CF-44E3-9099-C40C66FF867C}">
                  <a14:compatExt spid="_x0000_s94266"/>
                </a:ext>
                <a:ext uri="{FF2B5EF4-FFF2-40B4-BE49-F238E27FC236}">
                  <a16:creationId xmlns:a16="http://schemas.microsoft.com/office/drawing/2014/main" id="{00000000-0008-0000-0D00-00003A7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1</xdr:row>
          <xdr:rowOff>83820</xdr:rowOff>
        </xdr:to>
        <xdr:sp macro="" textlink="">
          <xdr:nvSpPr>
            <xdr:cNvPr id="145409" name="Button 1" hidden="1">
              <a:extLst>
                <a:ext uri="{63B3BB69-23CF-44E3-9099-C40C66FF867C}">
                  <a14:compatExt spid="_x0000_s145409"/>
                </a:ext>
                <a:ext uri="{FF2B5EF4-FFF2-40B4-BE49-F238E27FC236}">
                  <a16:creationId xmlns:a16="http://schemas.microsoft.com/office/drawing/2014/main" id="{00000000-0008-0000-0E00-000001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45410" name="Button 2" hidden="1">
              <a:extLst>
                <a:ext uri="{63B3BB69-23CF-44E3-9099-C40C66FF867C}">
                  <a14:compatExt spid="_x0000_s145410"/>
                </a:ext>
                <a:ext uri="{FF2B5EF4-FFF2-40B4-BE49-F238E27FC236}">
                  <a16:creationId xmlns:a16="http://schemas.microsoft.com/office/drawing/2014/main" id="{00000000-0008-0000-0E00-000002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45411" name="Button 3" hidden="1">
              <a:extLst>
                <a:ext uri="{63B3BB69-23CF-44E3-9099-C40C66FF867C}">
                  <a14:compatExt spid="_x0000_s145411"/>
                </a:ext>
                <a:ext uri="{FF2B5EF4-FFF2-40B4-BE49-F238E27FC236}">
                  <a16:creationId xmlns:a16="http://schemas.microsoft.com/office/drawing/2014/main" id="{00000000-0008-0000-0E00-000003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45412" name="Button 4" hidden="1">
              <a:extLst>
                <a:ext uri="{63B3BB69-23CF-44E3-9099-C40C66FF867C}">
                  <a14:compatExt spid="_x0000_s145412"/>
                </a:ext>
                <a:ext uri="{FF2B5EF4-FFF2-40B4-BE49-F238E27FC236}">
                  <a16:creationId xmlns:a16="http://schemas.microsoft.com/office/drawing/2014/main" id="{00000000-0008-0000-0E00-000004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45413" name="Button 5" hidden="1">
              <a:extLst>
                <a:ext uri="{63B3BB69-23CF-44E3-9099-C40C66FF867C}">
                  <a14:compatExt spid="_x0000_s145413"/>
                </a:ext>
                <a:ext uri="{FF2B5EF4-FFF2-40B4-BE49-F238E27FC236}">
                  <a16:creationId xmlns:a16="http://schemas.microsoft.com/office/drawing/2014/main" id="{00000000-0008-0000-0E00-000005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45414" name="Button 6" hidden="1">
              <a:extLst>
                <a:ext uri="{63B3BB69-23CF-44E3-9099-C40C66FF867C}">
                  <a14:compatExt spid="_x0000_s145414"/>
                </a:ext>
                <a:ext uri="{FF2B5EF4-FFF2-40B4-BE49-F238E27FC236}">
                  <a16:creationId xmlns:a16="http://schemas.microsoft.com/office/drawing/2014/main" id="{00000000-0008-0000-0E00-0000063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2</xdr:row>
          <xdr:rowOff>30480</xdr:rowOff>
        </xdr:to>
        <xdr:sp macro="" textlink="">
          <xdr:nvSpPr>
            <xdr:cNvPr id="146433" name="Button 1" hidden="1">
              <a:extLst>
                <a:ext uri="{63B3BB69-23CF-44E3-9099-C40C66FF867C}">
                  <a14:compatExt spid="_x0000_s146433"/>
                </a:ext>
                <a:ext uri="{FF2B5EF4-FFF2-40B4-BE49-F238E27FC236}">
                  <a16:creationId xmlns:a16="http://schemas.microsoft.com/office/drawing/2014/main" id="{00000000-0008-0000-0F00-000001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46434" name="Button 2" hidden="1">
              <a:extLst>
                <a:ext uri="{63B3BB69-23CF-44E3-9099-C40C66FF867C}">
                  <a14:compatExt spid="_x0000_s146434"/>
                </a:ext>
                <a:ext uri="{FF2B5EF4-FFF2-40B4-BE49-F238E27FC236}">
                  <a16:creationId xmlns:a16="http://schemas.microsoft.com/office/drawing/2014/main" id="{00000000-0008-0000-0F00-000002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46435" name="Button 3" hidden="1">
              <a:extLst>
                <a:ext uri="{63B3BB69-23CF-44E3-9099-C40C66FF867C}">
                  <a14:compatExt spid="_x0000_s146435"/>
                </a:ext>
                <a:ext uri="{FF2B5EF4-FFF2-40B4-BE49-F238E27FC236}">
                  <a16:creationId xmlns:a16="http://schemas.microsoft.com/office/drawing/2014/main" id="{00000000-0008-0000-0F00-000003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46436" name="Button 4" hidden="1">
              <a:extLst>
                <a:ext uri="{63B3BB69-23CF-44E3-9099-C40C66FF867C}">
                  <a14:compatExt spid="_x0000_s146436"/>
                </a:ext>
                <a:ext uri="{FF2B5EF4-FFF2-40B4-BE49-F238E27FC236}">
                  <a16:creationId xmlns:a16="http://schemas.microsoft.com/office/drawing/2014/main" id="{00000000-0008-0000-0F00-000004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46437" name="Button 5" hidden="1">
              <a:extLst>
                <a:ext uri="{63B3BB69-23CF-44E3-9099-C40C66FF867C}">
                  <a14:compatExt spid="_x0000_s146437"/>
                </a:ext>
                <a:ext uri="{FF2B5EF4-FFF2-40B4-BE49-F238E27FC236}">
                  <a16:creationId xmlns:a16="http://schemas.microsoft.com/office/drawing/2014/main" id="{00000000-0008-0000-0F00-000005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46438" name="Button 6" hidden="1">
              <a:extLst>
                <a:ext uri="{63B3BB69-23CF-44E3-9099-C40C66FF867C}">
                  <a14:compatExt spid="_x0000_s146438"/>
                </a:ext>
                <a:ext uri="{FF2B5EF4-FFF2-40B4-BE49-F238E27FC236}">
                  <a16:creationId xmlns:a16="http://schemas.microsoft.com/office/drawing/2014/main" id="{00000000-0008-0000-0F00-0000063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3</xdr:row>
          <xdr:rowOff>45720</xdr:rowOff>
        </xdr:to>
        <xdr:sp macro="" textlink="">
          <xdr:nvSpPr>
            <xdr:cNvPr id="147457" name="Button 1" hidden="1">
              <a:extLst>
                <a:ext uri="{63B3BB69-23CF-44E3-9099-C40C66FF867C}">
                  <a14:compatExt spid="_x0000_s147457"/>
                </a:ext>
                <a:ext uri="{FF2B5EF4-FFF2-40B4-BE49-F238E27FC236}">
                  <a16:creationId xmlns:a16="http://schemas.microsoft.com/office/drawing/2014/main" id="{00000000-0008-0000-1000-000001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47458" name="Button 2" hidden="1">
              <a:extLst>
                <a:ext uri="{63B3BB69-23CF-44E3-9099-C40C66FF867C}">
                  <a14:compatExt spid="_x0000_s147458"/>
                </a:ext>
                <a:ext uri="{FF2B5EF4-FFF2-40B4-BE49-F238E27FC236}">
                  <a16:creationId xmlns:a16="http://schemas.microsoft.com/office/drawing/2014/main" id="{00000000-0008-0000-1000-000002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47459" name="Button 3" hidden="1">
              <a:extLst>
                <a:ext uri="{63B3BB69-23CF-44E3-9099-C40C66FF867C}">
                  <a14:compatExt spid="_x0000_s147459"/>
                </a:ext>
                <a:ext uri="{FF2B5EF4-FFF2-40B4-BE49-F238E27FC236}">
                  <a16:creationId xmlns:a16="http://schemas.microsoft.com/office/drawing/2014/main" id="{00000000-0008-0000-1000-000003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47460" name="Button 4" hidden="1">
              <a:extLst>
                <a:ext uri="{63B3BB69-23CF-44E3-9099-C40C66FF867C}">
                  <a14:compatExt spid="_x0000_s147460"/>
                </a:ext>
                <a:ext uri="{FF2B5EF4-FFF2-40B4-BE49-F238E27FC236}">
                  <a16:creationId xmlns:a16="http://schemas.microsoft.com/office/drawing/2014/main" id="{00000000-0008-0000-1000-000004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47461" name="Button 5" hidden="1">
              <a:extLst>
                <a:ext uri="{63B3BB69-23CF-44E3-9099-C40C66FF867C}">
                  <a14:compatExt spid="_x0000_s147461"/>
                </a:ext>
                <a:ext uri="{FF2B5EF4-FFF2-40B4-BE49-F238E27FC236}">
                  <a16:creationId xmlns:a16="http://schemas.microsoft.com/office/drawing/2014/main" id="{00000000-0008-0000-1000-000005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47462" name="Button 6" hidden="1">
              <a:extLst>
                <a:ext uri="{63B3BB69-23CF-44E3-9099-C40C66FF867C}">
                  <a14:compatExt spid="_x0000_s147462"/>
                </a:ext>
                <a:ext uri="{FF2B5EF4-FFF2-40B4-BE49-F238E27FC236}">
                  <a16:creationId xmlns:a16="http://schemas.microsoft.com/office/drawing/2014/main" id="{00000000-0008-0000-1000-0000064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100-00000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89</xdr:row>
          <xdr:rowOff>76200</xdr:rowOff>
        </xdr:from>
        <xdr:to>
          <xdr:col>16</xdr:col>
          <xdr:colOff>38100</xdr:colOff>
          <xdr:row>90</xdr:row>
          <xdr:rowOff>144780</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100-00001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100-00001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100-00001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100-00001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100-00001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100-00001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100-00002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100-00002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100-00002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100-00002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100-00002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100-00002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100-00002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100-00002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100-00002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100-00002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100-00002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100-00002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100-00002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100-00002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100-00002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100-00002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100-00003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100-00003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100-00003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100-00003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100-00003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100-00003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100-00003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100-00003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100-00003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100-00003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100-00003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27707" name="Button 59" hidden="1">
              <a:extLst>
                <a:ext uri="{63B3BB69-23CF-44E3-9099-C40C66FF867C}">
                  <a14:compatExt spid="_x0000_s27707"/>
                </a:ext>
                <a:ext uri="{FF2B5EF4-FFF2-40B4-BE49-F238E27FC236}">
                  <a16:creationId xmlns:a16="http://schemas.microsoft.com/office/drawing/2014/main" id="{00000000-0008-0000-1100-00003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27708" name="Button 60" hidden="1">
              <a:extLst>
                <a:ext uri="{63B3BB69-23CF-44E3-9099-C40C66FF867C}">
                  <a14:compatExt spid="_x0000_s27708"/>
                </a:ext>
                <a:ext uri="{FF2B5EF4-FFF2-40B4-BE49-F238E27FC236}">
                  <a16:creationId xmlns:a16="http://schemas.microsoft.com/office/drawing/2014/main" id="{00000000-0008-0000-1100-00003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27709" name="Button 61" hidden="1">
              <a:extLst>
                <a:ext uri="{63B3BB69-23CF-44E3-9099-C40C66FF867C}">
                  <a14:compatExt spid="_x0000_s27709"/>
                </a:ext>
                <a:ext uri="{FF2B5EF4-FFF2-40B4-BE49-F238E27FC236}">
                  <a16:creationId xmlns:a16="http://schemas.microsoft.com/office/drawing/2014/main" id="{00000000-0008-0000-1100-00003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27710" name="Button 62" hidden="1">
              <a:extLst>
                <a:ext uri="{63B3BB69-23CF-44E3-9099-C40C66FF867C}">
                  <a14:compatExt spid="_x0000_s27710"/>
                </a:ext>
                <a:ext uri="{FF2B5EF4-FFF2-40B4-BE49-F238E27FC236}">
                  <a16:creationId xmlns:a16="http://schemas.microsoft.com/office/drawing/2014/main" id="{00000000-0008-0000-1100-00003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27711" name="Button 63" hidden="1">
              <a:extLst>
                <a:ext uri="{63B3BB69-23CF-44E3-9099-C40C66FF867C}">
                  <a14:compatExt spid="_x0000_s27711"/>
                </a:ext>
                <a:ext uri="{FF2B5EF4-FFF2-40B4-BE49-F238E27FC236}">
                  <a16:creationId xmlns:a16="http://schemas.microsoft.com/office/drawing/2014/main" id="{00000000-0008-0000-1100-00003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27712" name="Button 64" hidden="1">
              <a:extLst>
                <a:ext uri="{63B3BB69-23CF-44E3-9099-C40C66FF867C}">
                  <a14:compatExt spid="_x0000_s27712"/>
                </a:ext>
                <a:ext uri="{FF2B5EF4-FFF2-40B4-BE49-F238E27FC236}">
                  <a16:creationId xmlns:a16="http://schemas.microsoft.com/office/drawing/2014/main" id="{00000000-0008-0000-1100-00004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27713" name="Button 65" hidden="1">
              <a:extLst>
                <a:ext uri="{63B3BB69-23CF-44E3-9099-C40C66FF867C}">
                  <a14:compatExt spid="_x0000_s27713"/>
                </a:ext>
                <a:ext uri="{FF2B5EF4-FFF2-40B4-BE49-F238E27FC236}">
                  <a16:creationId xmlns:a16="http://schemas.microsoft.com/office/drawing/2014/main" id="{00000000-0008-0000-1100-00004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27714" name="Button 66" hidden="1">
              <a:extLst>
                <a:ext uri="{63B3BB69-23CF-44E3-9099-C40C66FF867C}">
                  <a14:compatExt spid="_x0000_s27714"/>
                </a:ext>
                <a:ext uri="{FF2B5EF4-FFF2-40B4-BE49-F238E27FC236}">
                  <a16:creationId xmlns:a16="http://schemas.microsoft.com/office/drawing/2014/main" id="{00000000-0008-0000-1100-00004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27715" name="Button 67" hidden="1">
              <a:extLst>
                <a:ext uri="{63B3BB69-23CF-44E3-9099-C40C66FF867C}">
                  <a14:compatExt spid="_x0000_s27715"/>
                </a:ext>
                <a:ext uri="{FF2B5EF4-FFF2-40B4-BE49-F238E27FC236}">
                  <a16:creationId xmlns:a16="http://schemas.microsoft.com/office/drawing/2014/main" id="{00000000-0008-0000-1100-00004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27716" name="Button 68" hidden="1">
              <a:extLst>
                <a:ext uri="{63B3BB69-23CF-44E3-9099-C40C66FF867C}">
                  <a14:compatExt spid="_x0000_s27716"/>
                </a:ext>
                <a:ext uri="{FF2B5EF4-FFF2-40B4-BE49-F238E27FC236}">
                  <a16:creationId xmlns:a16="http://schemas.microsoft.com/office/drawing/2014/main" id="{00000000-0008-0000-1100-00004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27717" name="Button 69" hidden="1">
              <a:extLst>
                <a:ext uri="{63B3BB69-23CF-44E3-9099-C40C66FF867C}">
                  <a14:compatExt spid="_x0000_s27717"/>
                </a:ext>
                <a:ext uri="{FF2B5EF4-FFF2-40B4-BE49-F238E27FC236}">
                  <a16:creationId xmlns:a16="http://schemas.microsoft.com/office/drawing/2014/main" id="{00000000-0008-0000-1100-00004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27718" name="Button 70" hidden="1">
              <a:extLst>
                <a:ext uri="{63B3BB69-23CF-44E3-9099-C40C66FF867C}">
                  <a14:compatExt spid="_x0000_s27718"/>
                </a:ext>
                <a:ext uri="{FF2B5EF4-FFF2-40B4-BE49-F238E27FC236}">
                  <a16:creationId xmlns:a16="http://schemas.microsoft.com/office/drawing/2014/main" id="{00000000-0008-0000-1100-000046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27719" name="Button 71" hidden="1">
              <a:extLst>
                <a:ext uri="{63B3BB69-23CF-44E3-9099-C40C66FF867C}">
                  <a14:compatExt spid="_x0000_s27719"/>
                </a:ext>
                <a:ext uri="{FF2B5EF4-FFF2-40B4-BE49-F238E27FC236}">
                  <a16:creationId xmlns:a16="http://schemas.microsoft.com/office/drawing/2014/main" id="{00000000-0008-0000-1100-000047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27720" name="Button 72" hidden="1">
              <a:extLst>
                <a:ext uri="{63B3BB69-23CF-44E3-9099-C40C66FF867C}">
                  <a14:compatExt spid="_x0000_s27720"/>
                </a:ext>
                <a:ext uri="{FF2B5EF4-FFF2-40B4-BE49-F238E27FC236}">
                  <a16:creationId xmlns:a16="http://schemas.microsoft.com/office/drawing/2014/main" id="{00000000-0008-0000-1100-000048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27721" name="Button 73" hidden="1">
              <a:extLst>
                <a:ext uri="{63B3BB69-23CF-44E3-9099-C40C66FF867C}">
                  <a14:compatExt spid="_x0000_s27721"/>
                </a:ext>
                <a:ext uri="{FF2B5EF4-FFF2-40B4-BE49-F238E27FC236}">
                  <a16:creationId xmlns:a16="http://schemas.microsoft.com/office/drawing/2014/main" id="{00000000-0008-0000-1100-000049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27722" name="Button 74" hidden="1">
              <a:extLst>
                <a:ext uri="{63B3BB69-23CF-44E3-9099-C40C66FF867C}">
                  <a14:compatExt spid="_x0000_s27722"/>
                </a:ext>
                <a:ext uri="{FF2B5EF4-FFF2-40B4-BE49-F238E27FC236}">
                  <a16:creationId xmlns:a16="http://schemas.microsoft.com/office/drawing/2014/main" id="{00000000-0008-0000-1100-00004A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27723" name="Button 75" hidden="1">
              <a:extLst>
                <a:ext uri="{63B3BB69-23CF-44E3-9099-C40C66FF867C}">
                  <a14:compatExt spid="_x0000_s27723"/>
                </a:ext>
                <a:ext uri="{FF2B5EF4-FFF2-40B4-BE49-F238E27FC236}">
                  <a16:creationId xmlns:a16="http://schemas.microsoft.com/office/drawing/2014/main" id="{00000000-0008-0000-1100-00004B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27724" name="Button 76" hidden="1">
              <a:extLst>
                <a:ext uri="{63B3BB69-23CF-44E3-9099-C40C66FF867C}">
                  <a14:compatExt spid="_x0000_s27724"/>
                </a:ext>
                <a:ext uri="{FF2B5EF4-FFF2-40B4-BE49-F238E27FC236}">
                  <a16:creationId xmlns:a16="http://schemas.microsoft.com/office/drawing/2014/main" id="{00000000-0008-0000-1100-00004C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27725" name="Button 77" hidden="1">
              <a:extLst>
                <a:ext uri="{63B3BB69-23CF-44E3-9099-C40C66FF867C}">
                  <a14:compatExt spid="_x0000_s27725"/>
                </a:ext>
                <a:ext uri="{FF2B5EF4-FFF2-40B4-BE49-F238E27FC236}">
                  <a16:creationId xmlns:a16="http://schemas.microsoft.com/office/drawing/2014/main" id="{00000000-0008-0000-1100-00004D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27726" name="Button 78" hidden="1">
              <a:extLst>
                <a:ext uri="{63B3BB69-23CF-44E3-9099-C40C66FF867C}">
                  <a14:compatExt spid="_x0000_s27726"/>
                </a:ext>
                <a:ext uri="{FF2B5EF4-FFF2-40B4-BE49-F238E27FC236}">
                  <a16:creationId xmlns:a16="http://schemas.microsoft.com/office/drawing/2014/main" id="{00000000-0008-0000-1100-00004E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27727" name="Button 79" hidden="1">
              <a:extLst>
                <a:ext uri="{63B3BB69-23CF-44E3-9099-C40C66FF867C}">
                  <a14:compatExt spid="_x0000_s27727"/>
                </a:ext>
                <a:ext uri="{FF2B5EF4-FFF2-40B4-BE49-F238E27FC236}">
                  <a16:creationId xmlns:a16="http://schemas.microsoft.com/office/drawing/2014/main" id="{00000000-0008-0000-1100-00004F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27728" name="Button 80" hidden="1">
              <a:extLst>
                <a:ext uri="{63B3BB69-23CF-44E3-9099-C40C66FF867C}">
                  <a14:compatExt spid="_x0000_s27728"/>
                </a:ext>
                <a:ext uri="{FF2B5EF4-FFF2-40B4-BE49-F238E27FC236}">
                  <a16:creationId xmlns:a16="http://schemas.microsoft.com/office/drawing/2014/main" id="{00000000-0008-0000-1100-000050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27729" name="Button 81" hidden="1">
              <a:extLst>
                <a:ext uri="{63B3BB69-23CF-44E3-9099-C40C66FF867C}">
                  <a14:compatExt spid="_x0000_s27729"/>
                </a:ext>
                <a:ext uri="{FF2B5EF4-FFF2-40B4-BE49-F238E27FC236}">
                  <a16:creationId xmlns:a16="http://schemas.microsoft.com/office/drawing/2014/main" id="{00000000-0008-0000-1100-000051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27730" name="Button 82" hidden="1">
              <a:extLst>
                <a:ext uri="{63B3BB69-23CF-44E3-9099-C40C66FF867C}">
                  <a14:compatExt spid="_x0000_s27730"/>
                </a:ext>
                <a:ext uri="{FF2B5EF4-FFF2-40B4-BE49-F238E27FC236}">
                  <a16:creationId xmlns:a16="http://schemas.microsoft.com/office/drawing/2014/main" id="{00000000-0008-0000-1100-000052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1200-00000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89</xdr:row>
          <xdr:rowOff>76200</xdr:rowOff>
        </xdr:from>
        <xdr:to>
          <xdr:col>16</xdr:col>
          <xdr:colOff>38100</xdr:colOff>
          <xdr:row>90</xdr:row>
          <xdr:rowOff>144780</xdr:rowOff>
        </xdr:to>
        <xdr:sp macro="" textlink="">
          <xdr:nvSpPr>
            <xdr:cNvPr id="76802" name="Button 2" hidden="1">
              <a:extLst>
                <a:ext uri="{63B3BB69-23CF-44E3-9099-C40C66FF867C}">
                  <a14:compatExt spid="_x0000_s76802"/>
                </a:ext>
                <a:ext uri="{FF2B5EF4-FFF2-40B4-BE49-F238E27FC236}">
                  <a16:creationId xmlns:a16="http://schemas.microsoft.com/office/drawing/2014/main" id="{00000000-0008-0000-1200-00000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6803" name="Button 3" hidden="1">
              <a:extLst>
                <a:ext uri="{63B3BB69-23CF-44E3-9099-C40C66FF867C}">
                  <a14:compatExt spid="_x0000_s76803"/>
                </a:ext>
                <a:ext uri="{FF2B5EF4-FFF2-40B4-BE49-F238E27FC236}">
                  <a16:creationId xmlns:a16="http://schemas.microsoft.com/office/drawing/2014/main" id="{00000000-0008-0000-1200-00000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6804" name="Button 4" hidden="1">
              <a:extLst>
                <a:ext uri="{63B3BB69-23CF-44E3-9099-C40C66FF867C}">
                  <a14:compatExt spid="_x0000_s76804"/>
                </a:ext>
                <a:ext uri="{FF2B5EF4-FFF2-40B4-BE49-F238E27FC236}">
                  <a16:creationId xmlns:a16="http://schemas.microsoft.com/office/drawing/2014/main" id="{00000000-0008-0000-1200-00000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6805" name="Button 5" hidden="1">
              <a:extLst>
                <a:ext uri="{63B3BB69-23CF-44E3-9099-C40C66FF867C}">
                  <a14:compatExt spid="_x0000_s76805"/>
                </a:ext>
                <a:ext uri="{FF2B5EF4-FFF2-40B4-BE49-F238E27FC236}">
                  <a16:creationId xmlns:a16="http://schemas.microsoft.com/office/drawing/2014/main" id="{00000000-0008-0000-1200-00000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6806" name="Button 6" hidden="1">
              <a:extLst>
                <a:ext uri="{63B3BB69-23CF-44E3-9099-C40C66FF867C}">
                  <a14:compatExt spid="_x0000_s76806"/>
                </a:ext>
                <a:ext uri="{FF2B5EF4-FFF2-40B4-BE49-F238E27FC236}">
                  <a16:creationId xmlns:a16="http://schemas.microsoft.com/office/drawing/2014/main" id="{00000000-0008-0000-1200-00000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6807" name="Button 7" hidden="1">
              <a:extLst>
                <a:ext uri="{63B3BB69-23CF-44E3-9099-C40C66FF867C}">
                  <a14:compatExt spid="_x0000_s76807"/>
                </a:ext>
                <a:ext uri="{FF2B5EF4-FFF2-40B4-BE49-F238E27FC236}">
                  <a16:creationId xmlns:a16="http://schemas.microsoft.com/office/drawing/2014/main" id="{00000000-0008-0000-1200-00000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6808" name="Button 8" hidden="1">
              <a:extLst>
                <a:ext uri="{63B3BB69-23CF-44E3-9099-C40C66FF867C}">
                  <a14:compatExt spid="_x0000_s76808"/>
                </a:ext>
                <a:ext uri="{FF2B5EF4-FFF2-40B4-BE49-F238E27FC236}">
                  <a16:creationId xmlns:a16="http://schemas.microsoft.com/office/drawing/2014/main" id="{00000000-0008-0000-1200-00000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6809" name="Button 9" hidden="1">
              <a:extLst>
                <a:ext uri="{63B3BB69-23CF-44E3-9099-C40C66FF867C}">
                  <a14:compatExt spid="_x0000_s76809"/>
                </a:ext>
                <a:ext uri="{FF2B5EF4-FFF2-40B4-BE49-F238E27FC236}">
                  <a16:creationId xmlns:a16="http://schemas.microsoft.com/office/drawing/2014/main" id="{00000000-0008-0000-1200-00000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6810" name="Button 10" hidden="1">
              <a:extLst>
                <a:ext uri="{63B3BB69-23CF-44E3-9099-C40C66FF867C}">
                  <a14:compatExt spid="_x0000_s76810"/>
                </a:ext>
                <a:ext uri="{FF2B5EF4-FFF2-40B4-BE49-F238E27FC236}">
                  <a16:creationId xmlns:a16="http://schemas.microsoft.com/office/drawing/2014/main" id="{00000000-0008-0000-1200-00000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6811" name="Button 11" hidden="1">
              <a:extLst>
                <a:ext uri="{63B3BB69-23CF-44E3-9099-C40C66FF867C}">
                  <a14:compatExt spid="_x0000_s76811"/>
                </a:ext>
                <a:ext uri="{FF2B5EF4-FFF2-40B4-BE49-F238E27FC236}">
                  <a16:creationId xmlns:a16="http://schemas.microsoft.com/office/drawing/2014/main" id="{00000000-0008-0000-1200-00000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6812" name="Button 12" hidden="1">
              <a:extLst>
                <a:ext uri="{63B3BB69-23CF-44E3-9099-C40C66FF867C}">
                  <a14:compatExt spid="_x0000_s76812"/>
                </a:ext>
                <a:ext uri="{FF2B5EF4-FFF2-40B4-BE49-F238E27FC236}">
                  <a16:creationId xmlns:a16="http://schemas.microsoft.com/office/drawing/2014/main" id="{00000000-0008-0000-1200-00000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6813" name="Button 13" hidden="1">
              <a:extLst>
                <a:ext uri="{63B3BB69-23CF-44E3-9099-C40C66FF867C}">
                  <a14:compatExt spid="_x0000_s76813"/>
                </a:ext>
                <a:ext uri="{FF2B5EF4-FFF2-40B4-BE49-F238E27FC236}">
                  <a16:creationId xmlns:a16="http://schemas.microsoft.com/office/drawing/2014/main" id="{00000000-0008-0000-1200-00000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6814" name="Button 14" hidden="1">
              <a:extLst>
                <a:ext uri="{63B3BB69-23CF-44E3-9099-C40C66FF867C}">
                  <a14:compatExt spid="_x0000_s76814"/>
                </a:ext>
                <a:ext uri="{FF2B5EF4-FFF2-40B4-BE49-F238E27FC236}">
                  <a16:creationId xmlns:a16="http://schemas.microsoft.com/office/drawing/2014/main" id="{00000000-0008-0000-1200-00000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6815" name="Button 15" hidden="1">
              <a:extLst>
                <a:ext uri="{63B3BB69-23CF-44E3-9099-C40C66FF867C}">
                  <a14:compatExt spid="_x0000_s76815"/>
                </a:ext>
                <a:ext uri="{FF2B5EF4-FFF2-40B4-BE49-F238E27FC236}">
                  <a16:creationId xmlns:a16="http://schemas.microsoft.com/office/drawing/2014/main" id="{00000000-0008-0000-1200-00000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6816" name="Button 16" hidden="1">
              <a:extLst>
                <a:ext uri="{63B3BB69-23CF-44E3-9099-C40C66FF867C}">
                  <a14:compatExt spid="_x0000_s76816"/>
                </a:ext>
                <a:ext uri="{FF2B5EF4-FFF2-40B4-BE49-F238E27FC236}">
                  <a16:creationId xmlns:a16="http://schemas.microsoft.com/office/drawing/2014/main" id="{00000000-0008-0000-1200-00001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6817" name="Button 17" hidden="1">
              <a:extLst>
                <a:ext uri="{63B3BB69-23CF-44E3-9099-C40C66FF867C}">
                  <a14:compatExt spid="_x0000_s76817"/>
                </a:ext>
                <a:ext uri="{FF2B5EF4-FFF2-40B4-BE49-F238E27FC236}">
                  <a16:creationId xmlns:a16="http://schemas.microsoft.com/office/drawing/2014/main" id="{00000000-0008-0000-1200-00001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6818" name="Button 18" hidden="1">
              <a:extLst>
                <a:ext uri="{63B3BB69-23CF-44E3-9099-C40C66FF867C}">
                  <a14:compatExt spid="_x0000_s76818"/>
                </a:ext>
                <a:ext uri="{FF2B5EF4-FFF2-40B4-BE49-F238E27FC236}">
                  <a16:creationId xmlns:a16="http://schemas.microsoft.com/office/drawing/2014/main" id="{00000000-0008-0000-1200-00001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6819" name="Button 19" hidden="1">
              <a:extLst>
                <a:ext uri="{63B3BB69-23CF-44E3-9099-C40C66FF867C}">
                  <a14:compatExt spid="_x0000_s76819"/>
                </a:ext>
                <a:ext uri="{FF2B5EF4-FFF2-40B4-BE49-F238E27FC236}">
                  <a16:creationId xmlns:a16="http://schemas.microsoft.com/office/drawing/2014/main" id="{00000000-0008-0000-1200-00001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6820" name="Button 20" hidden="1">
              <a:extLst>
                <a:ext uri="{63B3BB69-23CF-44E3-9099-C40C66FF867C}">
                  <a14:compatExt spid="_x0000_s76820"/>
                </a:ext>
                <a:ext uri="{FF2B5EF4-FFF2-40B4-BE49-F238E27FC236}">
                  <a16:creationId xmlns:a16="http://schemas.microsoft.com/office/drawing/2014/main" id="{00000000-0008-0000-1200-00001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6821" name="Button 21" hidden="1">
              <a:extLst>
                <a:ext uri="{63B3BB69-23CF-44E3-9099-C40C66FF867C}">
                  <a14:compatExt spid="_x0000_s76821"/>
                </a:ext>
                <a:ext uri="{FF2B5EF4-FFF2-40B4-BE49-F238E27FC236}">
                  <a16:creationId xmlns:a16="http://schemas.microsoft.com/office/drawing/2014/main" id="{00000000-0008-0000-1200-00001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6822" name="Button 22" hidden="1">
              <a:extLst>
                <a:ext uri="{63B3BB69-23CF-44E3-9099-C40C66FF867C}">
                  <a14:compatExt spid="_x0000_s76822"/>
                </a:ext>
                <a:ext uri="{FF2B5EF4-FFF2-40B4-BE49-F238E27FC236}">
                  <a16:creationId xmlns:a16="http://schemas.microsoft.com/office/drawing/2014/main" id="{00000000-0008-0000-1200-00001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6823" name="Button 23" hidden="1">
              <a:extLst>
                <a:ext uri="{63B3BB69-23CF-44E3-9099-C40C66FF867C}">
                  <a14:compatExt spid="_x0000_s76823"/>
                </a:ext>
                <a:ext uri="{FF2B5EF4-FFF2-40B4-BE49-F238E27FC236}">
                  <a16:creationId xmlns:a16="http://schemas.microsoft.com/office/drawing/2014/main" id="{00000000-0008-0000-1200-00001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6824" name="Button 24" hidden="1">
              <a:extLst>
                <a:ext uri="{63B3BB69-23CF-44E3-9099-C40C66FF867C}">
                  <a14:compatExt spid="_x0000_s76824"/>
                </a:ext>
                <a:ext uri="{FF2B5EF4-FFF2-40B4-BE49-F238E27FC236}">
                  <a16:creationId xmlns:a16="http://schemas.microsoft.com/office/drawing/2014/main" id="{00000000-0008-0000-1200-00001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6825" name="Button 25" hidden="1">
              <a:extLst>
                <a:ext uri="{63B3BB69-23CF-44E3-9099-C40C66FF867C}">
                  <a14:compatExt spid="_x0000_s76825"/>
                </a:ext>
                <a:ext uri="{FF2B5EF4-FFF2-40B4-BE49-F238E27FC236}">
                  <a16:creationId xmlns:a16="http://schemas.microsoft.com/office/drawing/2014/main" id="{00000000-0008-0000-1200-00001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6826" name="Button 26" hidden="1">
              <a:extLst>
                <a:ext uri="{63B3BB69-23CF-44E3-9099-C40C66FF867C}">
                  <a14:compatExt spid="_x0000_s76826"/>
                </a:ext>
                <a:ext uri="{FF2B5EF4-FFF2-40B4-BE49-F238E27FC236}">
                  <a16:creationId xmlns:a16="http://schemas.microsoft.com/office/drawing/2014/main" id="{00000000-0008-0000-1200-00001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6827" name="Button 27" hidden="1">
              <a:extLst>
                <a:ext uri="{63B3BB69-23CF-44E3-9099-C40C66FF867C}">
                  <a14:compatExt spid="_x0000_s76827"/>
                </a:ext>
                <a:ext uri="{FF2B5EF4-FFF2-40B4-BE49-F238E27FC236}">
                  <a16:creationId xmlns:a16="http://schemas.microsoft.com/office/drawing/2014/main" id="{00000000-0008-0000-1200-00001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6828" name="Button 28" hidden="1">
              <a:extLst>
                <a:ext uri="{63B3BB69-23CF-44E3-9099-C40C66FF867C}">
                  <a14:compatExt spid="_x0000_s76828"/>
                </a:ext>
                <a:ext uri="{FF2B5EF4-FFF2-40B4-BE49-F238E27FC236}">
                  <a16:creationId xmlns:a16="http://schemas.microsoft.com/office/drawing/2014/main" id="{00000000-0008-0000-1200-00001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6829" name="Button 29" hidden="1">
              <a:extLst>
                <a:ext uri="{63B3BB69-23CF-44E3-9099-C40C66FF867C}">
                  <a14:compatExt spid="_x0000_s76829"/>
                </a:ext>
                <a:ext uri="{FF2B5EF4-FFF2-40B4-BE49-F238E27FC236}">
                  <a16:creationId xmlns:a16="http://schemas.microsoft.com/office/drawing/2014/main" id="{00000000-0008-0000-1200-00001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6830" name="Button 30" hidden="1">
              <a:extLst>
                <a:ext uri="{63B3BB69-23CF-44E3-9099-C40C66FF867C}">
                  <a14:compatExt spid="_x0000_s76830"/>
                </a:ext>
                <a:ext uri="{FF2B5EF4-FFF2-40B4-BE49-F238E27FC236}">
                  <a16:creationId xmlns:a16="http://schemas.microsoft.com/office/drawing/2014/main" id="{00000000-0008-0000-1200-00001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6831" name="Button 31" hidden="1">
              <a:extLst>
                <a:ext uri="{63B3BB69-23CF-44E3-9099-C40C66FF867C}">
                  <a14:compatExt spid="_x0000_s76831"/>
                </a:ext>
                <a:ext uri="{FF2B5EF4-FFF2-40B4-BE49-F238E27FC236}">
                  <a16:creationId xmlns:a16="http://schemas.microsoft.com/office/drawing/2014/main" id="{00000000-0008-0000-1200-00001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6832" name="Button 32" hidden="1">
              <a:extLst>
                <a:ext uri="{63B3BB69-23CF-44E3-9099-C40C66FF867C}">
                  <a14:compatExt spid="_x0000_s76832"/>
                </a:ext>
                <a:ext uri="{FF2B5EF4-FFF2-40B4-BE49-F238E27FC236}">
                  <a16:creationId xmlns:a16="http://schemas.microsoft.com/office/drawing/2014/main" id="{00000000-0008-0000-1200-00002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6833" name="Button 33" hidden="1">
              <a:extLst>
                <a:ext uri="{63B3BB69-23CF-44E3-9099-C40C66FF867C}">
                  <a14:compatExt spid="_x0000_s76833"/>
                </a:ext>
                <a:ext uri="{FF2B5EF4-FFF2-40B4-BE49-F238E27FC236}">
                  <a16:creationId xmlns:a16="http://schemas.microsoft.com/office/drawing/2014/main" id="{00000000-0008-0000-1200-00002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6834" name="Button 34" hidden="1">
              <a:extLst>
                <a:ext uri="{63B3BB69-23CF-44E3-9099-C40C66FF867C}">
                  <a14:compatExt spid="_x0000_s76834"/>
                </a:ext>
                <a:ext uri="{FF2B5EF4-FFF2-40B4-BE49-F238E27FC236}">
                  <a16:creationId xmlns:a16="http://schemas.microsoft.com/office/drawing/2014/main" id="{00000000-0008-0000-1200-00002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6835" name="Button 35" hidden="1">
              <a:extLst>
                <a:ext uri="{63B3BB69-23CF-44E3-9099-C40C66FF867C}">
                  <a14:compatExt spid="_x0000_s76835"/>
                </a:ext>
                <a:ext uri="{FF2B5EF4-FFF2-40B4-BE49-F238E27FC236}">
                  <a16:creationId xmlns:a16="http://schemas.microsoft.com/office/drawing/2014/main" id="{00000000-0008-0000-1200-00002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6836" name="Button 36" hidden="1">
              <a:extLst>
                <a:ext uri="{63B3BB69-23CF-44E3-9099-C40C66FF867C}">
                  <a14:compatExt spid="_x0000_s76836"/>
                </a:ext>
                <a:ext uri="{FF2B5EF4-FFF2-40B4-BE49-F238E27FC236}">
                  <a16:creationId xmlns:a16="http://schemas.microsoft.com/office/drawing/2014/main" id="{00000000-0008-0000-1200-00002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6837" name="Button 37" hidden="1">
              <a:extLst>
                <a:ext uri="{63B3BB69-23CF-44E3-9099-C40C66FF867C}">
                  <a14:compatExt spid="_x0000_s76837"/>
                </a:ext>
                <a:ext uri="{FF2B5EF4-FFF2-40B4-BE49-F238E27FC236}">
                  <a16:creationId xmlns:a16="http://schemas.microsoft.com/office/drawing/2014/main" id="{00000000-0008-0000-1200-00002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6838" name="Button 38" hidden="1">
              <a:extLst>
                <a:ext uri="{63B3BB69-23CF-44E3-9099-C40C66FF867C}">
                  <a14:compatExt spid="_x0000_s76838"/>
                </a:ext>
                <a:ext uri="{FF2B5EF4-FFF2-40B4-BE49-F238E27FC236}">
                  <a16:creationId xmlns:a16="http://schemas.microsoft.com/office/drawing/2014/main" id="{00000000-0008-0000-1200-00002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6839" name="Button 39" hidden="1">
              <a:extLst>
                <a:ext uri="{63B3BB69-23CF-44E3-9099-C40C66FF867C}">
                  <a14:compatExt spid="_x0000_s76839"/>
                </a:ext>
                <a:ext uri="{FF2B5EF4-FFF2-40B4-BE49-F238E27FC236}">
                  <a16:creationId xmlns:a16="http://schemas.microsoft.com/office/drawing/2014/main" id="{00000000-0008-0000-1200-00002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6840" name="Button 40" hidden="1">
              <a:extLst>
                <a:ext uri="{63B3BB69-23CF-44E3-9099-C40C66FF867C}">
                  <a14:compatExt spid="_x0000_s76840"/>
                </a:ext>
                <a:ext uri="{FF2B5EF4-FFF2-40B4-BE49-F238E27FC236}">
                  <a16:creationId xmlns:a16="http://schemas.microsoft.com/office/drawing/2014/main" id="{00000000-0008-0000-1200-00002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6841" name="Button 41" hidden="1">
              <a:extLst>
                <a:ext uri="{63B3BB69-23CF-44E3-9099-C40C66FF867C}">
                  <a14:compatExt spid="_x0000_s76841"/>
                </a:ext>
                <a:ext uri="{FF2B5EF4-FFF2-40B4-BE49-F238E27FC236}">
                  <a16:creationId xmlns:a16="http://schemas.microsoft.com/office/drawing/2014/main" id="{00000000-0008-0000-1200-00002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6842" name="Button 42" hidden="1">
              <a:extLst>
                <a:ext uri="{63B3BB69-23CF-44E3-9099-C40C66FF867C}">
                  <a14:compatExt spid="_x0000_s76842"/>
                </a:ext>
                <a:ext uri="{FF2B5EF4-FFF2-40B4-BE49-F238E27FC236}">
                  <a16:creationId xmlns:a16="http://schemas.microsoft.com/office/drawing/2014/main" id="{00000000-0008-0000-1200-00002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6843" name="Button 43" hidden="1">
              <a:extLst>
                <a:ext uri="{63B3BB69-23CF-44E3-9099-C40C66FF867C}">
                  <a14:compatExt spid="_x0000_s76843"/>
                </a:ext>
                <a:ext uri="{FF2B5EF4-FFF2-40B4-BE49-F238E27FC236}">
                  <a16:creationId xmlns:a16="http://schemas.microsoft.com/office/drawing/2014/main" id="{00000000-0008-0000-1200-00002B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6844" name="Button 44" hidden="1">
              <a:extLst>
                <a:ext uri="{63B3BB69-23CF-44E3-9099-C40C66FF867C}">
                  <a14:compatExt spid="_x0000_s76844"/>
                </a:ext>
                <a:ext uri="{FF2B5EF4-FFF2-40B4-BE49-F238E27FC236}">
                  <a16:creationId xmlns:a16="http://schemas.microsoft.com/office/drawing/2014/main" id="{00000000-0008-0000-1200-00002C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6845" name="Button 45" hidden="1">
              <a:extLst>
                <a:ext uri="{63B3BB69-23CF-44E3-9099-C40C66FF867C}">
                  <a14:compatExt spid="_x0000_s76845"/>
                </a:ext>
                <a:ext uri="{FF2B5EF4-FFF2-40B4-BE49-F238E27FC236}">
                  <a16:creationId xmlns:a16="http://schemas.microsoft.com/office/drawing/2014/main" id="{00000000-0008-0000-1200-00002D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6846" name="Button 46" hidden="1">
              <a:extLst>
                <a:ext uri="{63B3BB69-23CF-44E3-9099-C40C66FF867C}">
                  <a14:compatExt spid="_x0000_s76846"/>
                </a:ext>
                <a:ext uri="{FF2B5EF4-FFF2-40B4-BE49-F238E27FC236}">
                  <a16:creationId xmlns:a16="http://schemas.microsoft.com/office/drawing/2014/main" id="{00000000-0008-0000-1200-00002E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6847" name="Button 47" hidden="1">
              <a:extLst>
                <a:ext uri="{63B3BB69-23CF-44E3-9099-C40C66FF867C}">
                  <a14:compatExt spid="_x0000_s76847"/>
                </a:ext>
                <a:ext uri="{FF2B5EF4-FFF2-40B4-BE49-F238E27FC236}">
                  <a16:creationId xmlns:a16="http://schemas.microsoft.com/office/drawing/2014/main" id="{00000000-0008-0000-1200-00002F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6848" name="Button 48" hidden="1">
              <a:extLst>
                <a:ext uri="{63B3BB69-23CF-44E3-9099-C40C66FF867C}">
                  <a14:compatExt spid="_x0000_s76848"/>
                </a:ext>
                <a:ext uri="{FF2B5EF4-FFF2-40B4-BE49-F238E27FC236}">
                  <a16:creationId xmlns:a16="http://schemas.microsoft.com/office/drawing/2014/main" id="{00000000-0008-0000-1200-000030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6849" name="Button 49" hidden="1">
              <a:extLst>
                <a:ext uri="{63B3BB69-23CF-44E3-9099-C40C66FF867C}">
                  <a14:compatExt spid="_x0000_s76849"/>
                </a:ext>
                <a:ext uri="{FF2B5EF4-FFF2-40B4-BE49-F238E27FC236}">
                  <a16:creationId xmlns:a16="http://schemas.microsoft.com/office/drawing/2014/main" id="{00000000-0008-0000-1200-000031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6850" name="Button 50" hidden="1">
              <a:extLst>
                <a:ext uri="{63B3BB69-23CF-44E3-9099-C40C66FF867C}">
                  <a14:compatExt spid="_x0000_s76850"/>
                </a:ext>
                <a:ext uri="{FF2B5EF4-FFF2-40B4-BE49-F238E27FC236}">
                  <a16:creationId xmlns:a16="http://schemas.microsoft.com/office/drawing/2014/main" id="{00000000-0008-0000-1200-000032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6851" name="Button 51" hidden="1">
              <a:extLst>
                <a:ext uri="{63B3BB69-23CF-44E3-9099-C40C66FF867C}">
                  <a14:compatExt spid="_x0000_s76851"/>
                </a:ext>
                <a:ext uri="{FF2B5EF4-FFF2-40B4-BE49-F238E27FC236}">
                  <a16:creationId xmlns:a16="http://schemas.microsoft.com/office/drawing/2014/main" id="{00000000-0008-0000-1200-000033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6852" name="Button 52" hidden="1">
              <a:extLst>
                <a:ext uri="{63B3BB69-23CF-44E3-9099-C40C66FF867C}">
                  <a14:compatExt spid="_x0000_s76852"/>
                </a:ext>
                <a:ext uri="{FF2B5EF4-FFF2-40B4-BE49-F238E27FC236}">
                  <a16:creationId xmlns:a16="http://schemas.microsoft.com/office/drawing/2014/main" id="{00000000-0008-0000-1200-000034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6853" name="Button 53" hidden="1">
              <a:extLst>
                <a:ext uri="{63B3BB69-23CF-44E3-9099-C40C66FF867C}">
                  <a14:compatExt spid="_x0000_s76853"/>
                </a:ext>
                <a:ext uri="{FF2B5EF4-FFF2-40B4-BE49-F238E27FC236}">
                  <a16:creationId xmlns:a16="http://schemas.microsoft.com/office/drawing/2014/main" id="{00000000-0008-0000-1200-000035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6854" name="Button 54" hidden="1">
              <a:extLst>
                <a:ext uri="{63B3BB69-23CF-44E3-9099-C40C66FF867C}">
                  <a14:compatExt spid="_x0000_s76854"/>
                </a:ext>
                <a:ext uri="{FF2B5EF4-FFF2-40B4-BE49-F238E27FC236}">
                  <a16:creationId xmlns:a16="http://schemas.microsoft.com/office/drawing/2014/main" id="{00000000-0008-0000-1200-000036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6855" name="Button 55" hidden="1">
              <a:extLst>
                <a:ext uri="{63B3BB69-23CF-44E3-9099-C40C66FF867C}">
                  <a14:compatExt spid="_x0000_s76855"/>
                </a:ext>
                <a:ext uri="{FF2B5EF4-FFF2-40B4-BE49-F238E27FC236}">
                  <a16:creationId xmlns:a16="http://schemas.microsoft.com/office/drawing/2014/main" id="{00000000-0008-0000-1200-000037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6856" name="Button 56" hidden="1">
              <a:extLst>
                <a:ext uri="{63B3BB69-23CF-44E3-9099-C40C66FF867C}">
                  <a14:compatExt spid="_x0000_s76856"/>
                </a:ext>
                <a:ext uri="{FF2B5EF4-FFF2-40B4-BE49-F238E27FC236}">
                  <a16:creationId xmlns:a16="http://schemas.microsoft.com/office/drawing/2014/main" id="{00000000-0008-0000-1200-000038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6857" name="Button 57" hidden="1">
              <a:extLst>
                <a:ext uri="{63B3BB69-23CF-44E3-9099-C40C66FF867C}">
                  <a14:compatExt spid="_x0000_s76857"/>
                </a:ext>
                <a:ext uri="{FF2B5EF4-FFF2-40B4-BE49-F238E27FC236}">
                  <a16:creationId xmlns:a16="http://schemas.microsoft.com/office/drawing/2014/main" id="{00000000-0008-0000-1200-000039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6858" name="Button 58" hidden="1">
              <a:extLst>
                <a:ext uri="{63B3BB69-23CF-44E3-9099-C40C66FF867C}">
                  <a14:compatExt spid="_x0000_s76858"/>
                </a:ext>
                <a:ext uri="{FF2B5EF4-FFF2-40B4-BE49-F238E27FC236}">
                  <a16:creationId xmlns:a16="http://schemas.microsoft.com/office/drawing/2014/main" id="{00000000-0008-0000-1200-00003A2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77825" name="Button 1" hidden="1">
              <a:extLst>
                <a:ext uri="{63B3BB69-23CF-44E3-9099-C40C66FF867C}">
                  <a14:compatExt spid="_x0000_s77825"/>
                </a:ext>
                <a:ext uri="{FF2B5EF4-FFF2-40B4-BE49-F238E27FC236}">
                  <a16:creationId xmlns:a16="http://schemas.microsoft.com/office/drawing/2014/main" id="{00000000-0008-0000-1300-00000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88</xdr:row>
          <xdr:rowOff>76200</xdr:rowOff>
        </xdr:from>
        <xdr:to>
          <xdr:col>16</xdr:col>
          <xdr:colOff>38100</xdr:colOff>
          <xdr:row>89</xdr:row>
          <xdr:rowOff>144780</xdr:rowOff>
        </xdr:to>
        <xdr:sp macro="" textlink="">
          <xdr:nvSpPr>
            <xdr:cNvPr id="77826" name="Button 2" hidden="1">
              <a:extLst>
                <a:ext uri="{63B3BB69-23CF-44E3-9099-C40C66FF867C}">
                  <a14:compatExt spid="_x0000_s77826"/>
                </a:ext>
                <a:ext uri="{FF2B5EF4-FFF2-40B4-BE49-F238E27FC236}">
                  <a16:creationId xmlns:a16="http://schemas.microsoft.com/office/drawing/2014/main" id="{00000000-0008-0000-1300-00000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7827" name="Button 3" hidden="1">
              <a:extLst>
                <a:ext uri="{63B3BB69-23CF-44E3-9099-C40C66FF867C}">
                  <a14:compatExt spid="_x0000_s77827"/>
                </a:ext>
                <a:ext uri="{FF2B5EF4-FFF2-40B4-BE49-F238E27FC236}">
                  <a16:creationId xmlns:a16="http://schemas.microsoft.com/office/drawing/2014/main" id="{00000000-0008-0000-1300-00000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7828" name="Button 4" hidden="1">
              <a:extLst>
                <a:ext uri="{63B3BB69-23CF-44E3-9099-C40C66FF867C}">
                  <a14:compatExt spid="_x0000_s77828"/>
                </a:ext>
                <a:ext uri="{FF2B5EF4-FFF2-40B4-BE49-F238E27FC236}">
                  <a16:creationId xmlns:a16="http://schemas.microsoft.com/office/drawing/2014/main" id="{00000000-0008-0000-1300-00000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7829" name="Button 5" hidden="1">
              <a:extLst>
                <a:ext uri="{63B3BB69-23CF-44E3-9099-C40C66FF867C}">
                  <a14:compatExt spid="_x0000_s77829"/>
                </a:ext>
                <a:ext uri="{FF2B5EF4-FFF2-40B4-BE49-F238E27FC236}">
                  <a16:creationId xmlns:a16="http://schemas.microsoft.com/office/drawing/2014/main" id="{00000000-0008-0000-1300-00000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7830" name="Button 6" hidden="1">
              <a:extLst>
                <a:ext uri="{63B3BB69-23CF-44E3-9099-C40C66FF867C}">
                  <a14:compatExt spid="_x0000_s77830"/>
                </a:ext>
                <a:ext uri="{FF2B5EF4-FFF2-40B4-BE49-F238E27FC236}">
                  <a16:creationId xmlns:a16="http://schemas.microsoft.com/office/drawing/2014/main" id="{00000000-0008-0000-1300-00000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7831" name="Button 7" hidden="1">
              <a:extLst>
                <a:ext uri="{63B3BB69-23CF-44E3-9099-C40C66FF867C}">
                  <a14:compatExt spid="_x0000_s77831"/>
                </a:ext>
                <a:ext uri="{FF2B5EF4-FFF2-40B4-BE49-F238E27FC236}">
                  <a16:creationId xmlns:a16="http://schemas.microsoft.com/office/drawing/2014/main" id="{00000000-0008-0000-1300-00000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7832" name="Button 8" hidden="1">
              <a:extLst>
                <a:ext uri="{63B3BB69-23CF-44E3-9099-C40C66FF867C}">
                  <a14:compatExt spid="_x0000_s77832"/>
                </a:ext>
                <a:ext uri="{FF2B5EF4-FFF2-40B4-BE49-F238E27FC236}">
                  <a16:creationId xmlns:a16="http://schemas.microsoft.com/office/drawing/2014/main" id="{00000000-0008-0000-1300-00000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7833" name="Button 9" hidden="1">
              <a:extLst>
                <a:ext uri="{63B3BB69-23CF-44E3-9099-C40C66FF867C}">
                  <a14:compatExt spid="_x0000_s77833"/>
                </a:ext>
                <a:ext uri="{FF2B5EF4-FFF2-40B4-BE49-F238E27FC236}">
                  <a16:creationId xmlns:a16="http://schemas.microsoft.com/office/drawing/2014/main" id="{00000000-0008-0000-1300-00000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77834" name="Button 10" hidden="1">
              <a:extLst>
                <a:ext uri="{63B3BB69-23CF-44E3-9099-C40C66FF867C}">
                  <a14:compatExt spid="_x0000_s77834"/>
                </a:ext>
                <a:ext uri="{FF2B5EF4-FFF2-40B4-BE49-F238E27FC236}">
                  <a16:creationId xmlns:a16="http://schemas.microsoft.com/office/drawing/2014/main" id="{00000000-0008-0000-1300-00000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7835" name="Button 11" hidden="1">
              <a:extLst>
                <a:ext uri="{63B3BB69-23CF-44E3-9099-C40C66FF867C}">
                  <a14:compatExt spid="_x0000_s77835"/>
                </a:ext>
                <a:ext uri="{FF2B5EF4-FFF2-40B4-BE49-F238E27FC236}">
                  <a16:creationId xmlns:a16="http://schemas.microsoft.com/office/drawing/2014/main" id="{00000000-0008-0000-1300-00000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7836" name="Button 12" hidden="1">
              <a:extLst>
                <a:ext uri="{63B3BB69-23CF-44E3-9099-C40C66FF867C}">
                  <a14:compatExt spid="_x0000_s77836"/>
                </a:ext>
                <a:ext uri="{FF2B5EF4-FFF2-40B4-BE49-F238E27FC236}">
                  <a16:creationId xmlns:a16="http://schemas.microsoft.com/office/drawing/2014/main" id="{00000000-0008-0000-1300-00000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7837" name="Button 13" hidden="1">
              <a:extLst>
                <a:ext uri="{63B3BB69-23CF-44E3-9099-C40C66FF867C}">
                  <a14:compatExt spid="_x0000_s77837"/>
                </a:ext>
                <a:ext uri="{FF2B5EF4-FFF2-40B4-BE49-F238E27FC236}">
                  <a16:creationId xmlns:a16="http://schemas.microsoft.com/office/drawing/2014/main" id="{00000000-0008-0000-1300-00000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77838" name="Button 14" hidden="1">
              <a:extLst>
                <a:ext uri="{63B3BB69-23CF-44E3-9099-C40C66FF867C}">
                  <a14:compatExt spid="_x0000_s77838"/>
                </a:ext>
                <a:ext uri="{FF2B5EF4-FFF2-40B4-BE49-F238E27FC236}">
                  <a16:creationId xmlns:a16="http://schemas.microsoft.com/office/drawing/2014/main" id="{00000000-0008-0000-1300-00000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7839" name="Button 15" hidden="1">
              <a:extLst>
                <a:ext uri="{63B3BB69-23CF-44E3-9099-C40C66FF867C}">
                  <a14:compatExt spid="_x0000_s77839"/>
                </a:ext>
                <a:ext uri="{FF2B5EF4-FFF2-40B4-BE49-F238E27FC236}">
                  <a16:creationId xmlns:a16="http://schemas.microsoft.com/office/drawing/2014/main" id="{00000000-0008-0000-1300-00000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7840" name="Button 16" hidden="1">
              <a:extLst>
                <a:ext uri="{63B3BB69-23CF-44E3-9099-C40C66FF867C}">
                  <a14:compatExt spid="_x0000_s77840"/>
                </a:ext>
                <a:ext uri="{FF2B5EF4-FFF2-40B4-BE49-F238E27FC236}">
                  <a16:creationId xmlns:a16="http://schemas.microsoft.com/office/drawing/2014/main" id="{00000000-0008-0000-1300-00001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7841" name="Button 17" hidden="1">
              <a:extLst>
                <a:ext uri="{63B3BB69-23CF-44E3-9099-C40C66FF867C}">
                  <a14:compatExt spid="_x0000_s77841"/>
                </a:ext>
                <a:ext uri="{FF2B5EF4-FFF2-40B4-BE49-F238E27FC236}">
                  <a16:creationId xmlns:a16="http://schemas.microsoft.com/office/drawing/2014/main" id="{00000000-0008-0000-1300-00001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77842" name="Button 18" hidden="1">
              <a:extLst>
                <a:ext uri="{63B3BB69-23CF-44E3-9099-C40C66FF867C}">
                  <a14:compatExt spid="_x0000_s77842"/>
                </a:ext>
                <a:ext uri="{FF2B5EF4-FFF2-40B4-BE49-F238E27FC236}">
                  <a16:creationId xmlns:a16="http://schemas.microsoft.com/office/drawing/2014/main" id="{00000000-0008-0000-1300-00001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7843" name="Button 19" hidden="1">
              <a:extLst>
                <a:ext uri="{63B3BB69-23CF-44E3-9099-C40C66FF867C}">
                  <a14:compatExt spid="_x0000_s77843"/>
                </a:ext>
                <a:ext uri="{FF2B5EF4-FFF2-40B4-BE49-F238E27FC236}">
                  <a16:creationId xmlns:a16="http://schemas.microsoft.com/office/drawing/2014/main" id="{00000000-0008-0000-1300-00001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7844" name="Button 20" hidden="1">
              <a:extLst>
                <a:ext uri="{63B3BB69-23CF-44E3-9099-C40C66FF867C}">
                  <a14:compatExt spid="_x0000_s77844"/>
                </a:ext>
                <a:ext uri="{FF2B5EF4-FFF2-40B4-BE49-F238E27FC236}">
                  <a16:creationId xmlns:a16="http://schemas.microsoft.com/office/drawing/2014/main" id="{00000000-0008-0000-1300-00001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7845" name="Button 21" hidden="1">
              <a:extLst>
                <a:ext uri="{63B3BB69-23CF-44E3-9099-C40C66FF867C}">
                  <a14:compatExt spid="_x0000_s77845"/>
                </a:ext>
                <a:ext uri="{FF2B5EF4-FFF2-40B4-BE49-F238E27FC236}">
                  <a16:creationId xmlns:a16="http://schemas.microsoft.com/office/drawing/2014/main" id="{00000000-0008-0000-1300-00001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77846" name="Button 22" hidden="1">
              <a:extLst>
                <a:ext uri="{63B3BB69-23CF-44E3-9099-C40C66FF867C}">
                  <a14:compatExt spid="_x0000_s77846"/>
                </a:ext>
                <a:ext uri="{FF2B5EF4-FFF2-40B4-BE49-F238E27FC236}">
                  <a16:creationId xmlns:a16="http://schemas.microsoft.com/office/drawing/2014/main" id="{00000000-0008-0000-1300-00001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7847" name="Button 23" hidden="1">
              <a:extLst>
                <a:ext uri="{63B3BB69-23CF-44E3-9099-C40C66FF867C}">
                  <a14:compatExt spid="_x0000_s77847"/>
                </a:ext>
                <a:ext uri="{FF2B5EF4-FFF2-40B4-BE49-F238E27FC236}">
                  <a16:creationId xmlns:a16="http://schemas.microsoft.com/office/drawing/2014/main" id="{00000000-0008-0000-1300-00001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7848" name="Button 24" hidden="1">
              <a:extLst>
                <a:ext uri="{63B3BB69-23CF-44E3-9099-C40C66FF867C}">
                  <a14:compatExt spid="_x0000_s77848"/>
                </a:ext>
                <a:ext uri="{FF2B5EF4-FFF2-40B4-BE49-F238E27FC236}">
                  <a16:creationId xmlns:a16="http://schemas.microsoft.com/office/drawing/2014/main" id="{00000000-0008-0000-1300-00001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7849" name="Button 25" hidden="1">
              <a:extLst>
                <a:ext uri="{63B3BB69-23CF-44E3-9099-C40C66FF867C}">
                  <a14:compatExt spid="_x0000_s77849"/>
                </a:ext>
                <a:ext uri="{FF2B5EF4-FFF2-40B4-BE49-F238E27FC236}">
                  <a16:creationId xmlns:a16="http://schemas.microsoft.com/office/drawing/2014/main" id="{00000000-0008-0000-1300-00001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77850" name="Button 26" hidden="1">
              <a:extLst>
                <a:ext uri="{63B3BB69-23CF-44E3-9099-C40C66FF867C}">
                  <a14:compatExt spid="_x0000_s77850"/>
                </a:ext>
                <a:ext uri="{FF2B5EF4-FFF2-40B4-BE49-F238E27FC236}">
                  <a16:creationId xmlns:a16="http://schemas.microsoft.com/office/drawing/2014/main" id="{00000000-0008-0000-1300-00001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7851" name="Button 27" hidden="1">
              <a:extLst>
                <a:ext uri="{63B3BB69-23CF-44E3-9099-C40C66FF867C}">
                  <a14:compatExt spid="_x0000_s77851"/>
                </a:ext>
                <a:ext uri="{FF2B5EF4-FFF2-40B4-BE49-F238E27FC236}">
                  <a16:creationId xmlns:a16="http://schemas.microsoft.com/office/drawing/2014/main" id="{00000000-0008-0000-1300-00001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7852" name="Button 28" hidden="1">
              <a:extLst>
                <a:ext uri="{63B3BB69-23CF-44E3-9099-C40C66FF867C}">
                  <a14:compatExt spid="_x0000_s77852"/>
                </a:ext>
                <a:ext uri="{FF2B5EF4-FFF2-40B4-BE49-F238E27FC236}">
                  <a16:creationId xmlns:a16="http://schemas.microsoft.com/office/drawing/2014/main" id="{00000000-0008-0000-1300-00001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7853" name="Button 29" hidden="1">
              <a:extLst>
                <a:ext uri="{63B3BB69-23CF-44E3-9099-C40C66FF867C}">
                  <a14:compatExt spid="_x0000_s77853"/>
                </a:ext>
                <a:ext uri="{FF2B5EF4-FFF2-40B4-BE49-F238E27FC236}">
                  <a16:creationId xmlns:a16="http://schemas.microsoft.com/office/drawing/2014/main" id="{00000000-0008-0000-1300-00001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77854" name="Button 30" hidden="1">
              <a:extLst>
                <a:ext uri="{63B3BB69-23CF-44E3-9099-C40C66FF867C}">
                  <a14:compatExt spid="_x0000_s77854"/>
                </a:ext>
                <a:ext uri="{FF2B5EF4-FFF2-40B4-BE49-F238E27FC236}">
                  <a16:creationId xmlns:a16="http://schemas.microsoft.com/office/drawing/2014/main" id="{00000000-0008-0000-1300-00001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7855" name="Button 31" hidden="1">
              <a:extLst>
                <a:ext uri="{63B3BB69-23CF-44E3-9099-C40C66FF867C}">
                  <a14:compatExt spid="_x0000_s77855"/>
                </a:ext>
                <a:ext uri="{FF2B5EF4-FFF2-40B4-BE49-F238E27FC236}">
                  <a16:creationId xmlns:a16="http://schemas.microsoft.com/office/drawing/2014/main" id="{00000000-0008-0000-1300-00001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7856" name="Button 32" hidden="1">
              <a:extLst>
                <a:ext uri="{63B3BB69-23CF-44E3-9099-C40C66FF867C}">
                  <a14:compatExt spid="_x0000_s77856"/>
                </a:ext>
                <a:ext uri="{FF2B5EF4-FFF2-40B4-BE49-F238E27FC236}">
                  <a16:creationId xmlns:a16="http://schemas.microsoft.com/office/drawing/2014/main" id="{00000000-0008-0000-1300-00002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7857" name="Button 33" hidden="1">
              <a:extLst>
                <a:ext uri="{63B3BB69-23CF-44E3-9099-C40C66FF867C}">
                  <a14:compatExt spid="_x0000_s77857"/>
                </a:ext>
                <a:ext uri="{FF2B5EF4-FFF2-40B4-BE49-F238E27FC236}">
                  <a16:creationId xmlns:a16="http://schemas.microsoft.com/office/drawing/2014/main" id="{00000000-0008-0000-1300-00002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77858" name="Button 34" hidden="1">
              <a:extLst>
                <a:ext uri="{63B3BB69-23CF-44E3-9099-C40C66FF867C}">
                  <a14:compatExt spid="_x0000_s77858"/>
                </a:ext>
                <a:ext uri="{FF2B5EF4-FFF2-40B4-BE49-F238E27FC236}">
                  <a16:creationId xmlns:a16="http://schemas.microsoft.com/office/drawing/2014/main" id="{00000000-0008-0000-1300-00002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7859" name="Button 35" hidden="1">
              <a:extLst>
                <a:ext uri="{63B3BB69-23CF-44E3-9099-C40C66FF867C}">
                  <a14:compatExt spid="_x0000_s77859"/>
                </a:ext>
                <a:ext uri="{FF2B5EF4-FFF2-40B4-BE49-F238E27FC236}">
                  <a16:creationId xmlns:a16="http://schemas.microsoft.com/office/drawing/2014/main" id="{00000000-0008-0000-1300-00002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7860" name="Button 36" hidden="1">
              <a:extLst>
                <a:ext uri="{63B3BB69-23CF-44E3-9099-C40C66FF867C}">
                  <a14:compatExt spid="_x0000_s77860"/>
                </a:ext>
                <a:ext uri="{FF2B5EF4-FFF2-40B4-BE49-F238E27FC236}">
                  <a16:creationId xmlns:a16="http://schemas.microsoft.com/office/drawing/2014/main" id="{00000000-0008-0000-1300-00002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7861" name="Button 37" hidden="1">
              <a:extLst>
                <a:ext uri="{63B3BB69-23CF-44E3-9099-C40C66FF867C}">
                  <a14:compatExt spid="_x0000_s77861"/>
                </a:ext>
                <a:ext uri="{FF2B5EF4-FFF2-40B4-BE49-F238E27FC236}">
                  <a16:creationId xmlns:a16="http://schemas.microsoft.com/office/drawing/2014/main" id="{00000000-0008-0000-1300-00002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77862" name="Button 38" hidden="1">
              <a:extLst>
                <a:ext uri="{63B3BB69-23CF-44E3-9099-C40C66FF867C}">
                  <a14:compatExt spid="_x0000_s77862"/>
                </a:ext>
                <a:ext uri="{FF2B5EF4-FFF2-40B4-BE49-F238E27FC236}">
                  <a16:creationId xmlns:a16="http://schemas.microsoft.com/office/drawing/2014/main" id="{00000000-0008-0000-1300-00002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7863" name="Button 39" hidden="1">
              <a:extLst>
                <a:ext uri="{63B3BB69-23CF-44E3-9099-C40C66FF867C}">
                  <a14:compatExt spid="_x0000_s77863"/>
                </a:ext>
                <a:ext uri="{FF2B5EF4-FFF2-40B4-BE49-F238E27FC236}">
                  <a16:creationId xmlns:a16="http://schemas.microsoft.com/office/drawing/2014/main" id="{00000000-0008-0000-1300-00002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7864" name="Button 40" hidden="1">
              <a:extLst>
                <a:ext uri="{63B3BB69-23CF-44E3-9099-C40C66FF867C}">
                  <a14:compatExt spid="_x0000_s77864"/>
                </a:ext>
                <a:ext uri="{FF2B5EF4-FFF2-40B4-BE49-F238E27FC236}">
                  <a16:creationId xmlns:a16="http://schemas.microsoft.com/office/drawing/2014/main" id="{00000000-0008-0000-1300-00002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7865" name="Button 41" hidden="1">
              <a:extLst>
                <a:ext uri="{63B3BB69-23CF-44E3-9099-C40C66FF867C}">
                  <a14:compatExt spid="_x0000_s77865"/>
                </a:ext>
                <a:ext uri="{FF2B5EF4-FFF2-40B4-BE49-F238E27FC236}">
                  <a16:creationId xmlns:a16="http://schemas.microsoft.com/office/drawing/2014/main" id="{00000000-0008-0000-1300-00002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77866" name="Button 42" hidden="1">
              <a:extLst>
                <a:ext uri="{63B3BB69-23CF-44E3-9099-C40C66FF867C}">
                  <a14:compatExt spid="_x0000_s77866"/>
                </a:ext>
                <a:ext uri="{FF2B5EF4-FFF2-40B4-BE49-F238E27FC236}">
                  <a16:creationId xmlns:a16="http://schemas.microsoft.com/office/drawing/2014/main" id="{00000000-0008-0000-1300-00002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7867" name="Button 43" hidden="1">
              <a:extLst>
                <a:ext uri="{63B3BB69-23CF-44E3-9099-C40C66FF867C}">
                  <a14:compatExt spid="_x0000_s77867"/>
                </a:ext>
                <a:ext uri="{FF2B5EF4-FFF2-40B4-BE49-F238E27FC236}">
                  <a16:creationId xmlns:a16="http://schemas.microsoft.com/office/drawing/2014/main" id="{00000000-0008-0000-1300-00002B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7868" name="Button 44" hidden="1">
              <a:extLst>
                <a:ext uri="{63B3BB69-23CF-44E3-9099-C40C66FF867C}">
                  <a14:compatExt spid="_x0000_s77868"/>
                </a:ext>
                <a:ext uri="{FF2B5EF4-FFF2-40B4-BE49-F238E27FC236}">
                  <a16:creationId xmlns:a16="http://schemas.microsoft.com/office/drawing/2014/main" id="{00000000-0008-0000-1300-00002C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7869" name="Button 45" hidden="1">
              <a:extLst>
                <a:ext uri="{63B3BB69-23CF-44E3-9099-C40C66FF867C}">
                  <a14:compatExt spid="_x0000_s77869"/>
                </a:ext>
                <a:ext uri="{FF2B5EF4-FFF2-40B4-BE49-F238E27FC236}">
                  <a16:creationId xmlns:a16="http://schemas.microsoft.com/office/drawing/2014/main" id="{00000000-0008-0000-1300-00002D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77870" name="Button 46" hidden="1">
              <a:extLst>
                <a:ext uri="{63B3BB69-23CF-44E3-9099-C40C66FF867C}">
                  <a14:compatExt spid="_x0000_s77870"/>
                </a:ext>
                <a:ext uri="{FF2B5EF4-FFF2-40B4-BE49-F238E27FC236}">
                  <a16:creationId xmlns:a16="http://schemas.microsoft.com/office/drawing/2014/main" id="{00000000-0008-0000-1300-00002E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7871" name="Button 47" hidden="1">
              <a:extLst>
                <a:ext uri="{63B3BB69-23CF-44E3-9099-C40C66FF867C}">
                  <a14:compatExt spid="_x0000_s77871"/>
                </a:ext>
                <a:ext uri="{FF2B5EF4-FFF2-40B4-BE49-F238E27FC236}">
                  <a16:creationId xmlns:a16="http://schemas.microsoft.com/office/drawing/2014/main" id="{00000000-0008-0000-1300-00002F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7872" name="Button 48" hidden="1">
              <a:extLst>
                <a:ext uri="{63B3BB69-23CF-44E3-9099-C40C66FF867C}">
                  <a14:compatExt spid="_x0000_s77872"/>
                </a:ext>
                <a:ext uri="{FF2B5EF4-FFF2-40B4-BE49-F238E27FC236}">
                  <a16:creationId xmlns:a16="http://schemas.microsoft.com/office/drawing/2014/main" id="{00000000-0008-0000-1300-000030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7873" name="Button 49" hidden="1">
              <a:extLst>
                <a:ext uri="{63B3BB69-23CF-44E3-9099-C40C66FF867C}">
                  <a14:compatExt spid="_x0000_s77873"/>
                </a:ext>
                <a:ext uri="{FF2B5EF4-FFF2-40B4-BE49-F238E27FC236}">
                  <a16:creationId xmlns:a16="http://schemas.microsoft.com/office/drawing/2014/main" id="{00000000-0008-0000-1300-000031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77874" name="Button 50" hidden="1">
              <a:extLst>
                <a:ext uri="{63B3BB69-23CF-44E3-9099-C40C66FF867C}">
                  <a14:compatExt spid="_x0000_s77874"/>
                </a:ext>
                <a:ext uri="{FF2B5EF4-FFF2-40B4-BE49-F238E27FC236}">
                  <a16:creationId xmlns:a16="http://schemas.microsoft.com/office/drawing/2014/main" id="{00000000-0008-0000-1300-000032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7875" name="Button 51" hidden="1">
              <a:extLst>
                <a:ext uri="{63B3BB69-23CF-44E3-9099-C40C66FF867C}">
                  <a14:compatExt spid="_x0000_s77875"/>
                </a:ext>
                <a:ext uri="{FF2B5EF4-FFF2-40B4-BE49-F238E27FC236}">
                  <a16:creationId xmlns:a16="http://schemas.microsoft.com/office/drawing/2014/main" id="{00000000-0008-0000-1300-000033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7876" name="Button 52" hidden="1">
              <a:extLst>
                <a:ext uri="{63B3BB69-23CF-44E3-9099-C40C66FF867C}">
                  <a14:compatExt spid="_x0000_s77876"/>
                </a:ext>
                <a:ext uri="{FF2B5EF4-FFF2-40B4-BE49-F238E27FC236}">
                  <a16:creationId xmlns:a16="http://schemas.microsoft.com/office/drawing/2014/main" id="{00000000-0008-0000-1300-000034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7877" name="Button 53" hidden="1">
              <a:extLst>
                <a:ext uri="{63B3BB69-23CF-44E3-9099-C40C66FF867C}">
                  <a14:compatExt spid="_x0000_s77877"/>
                </a:ext>
                <a:ext uri="{FF2B5EF4-FFF2-40B4-BE49-F238E27FC236}">
                  <a16:creationId xmlns:a16="http://schemas.microsoft.com/office/drawing/2014/main" id="{00000000-0008-0000-1300-000035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77878" name="Button 54" hidden="1">
              <a:extLst>
                <a:ext uri="{63B3BB69-23CF-44E3-9099-C40C66FF867C}">
                  <a14:compatExt spid="_x0000_s77878"/>
                </a:ext>
                <a:ext uri="{FF2B5EF4-FFF2-40B4-BE49-F238E27FC236}">
                  <a16:creationId xmlns:a16="http://schemas.microsoft.com/office/drawing/2014/main" id="{00000000-0008-0000-1300-000036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7879" name="Button 55" hidden="1">
              <a:extLst>
                <a:ext uri="{63B3BB69-23CF-44E3-9099-C40C66FF867C}">
                  <a14:compatExt spid="_x0000_s77879"/>
                </a:ext>
                <a:ext uri="{FF2B5EF4-FFF2-40B4-BE49-F238E27FC236}">
                  <a16:creationId xmlns:a16="http://schemas.microsoft.com/office/drawing/2014/main" id="{00000000-0008-0000-1300-000037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7880" name="Button 56" hidden="1">
              <a:extLst>
                <a:ext uri="{63B3BB69-23CF-44E3-9099-C40C66FF867C}">
                  <a14:compatExt spid="_x0000_s77880"/>
                </a:ext>
                <a:ext uri="{FF2B5EF4-FFF2-40B4-BE49-F238E27FC236}">
                  <a16:creationId xmlns:a16="http://schemas.microsoft.com/office/drawing/2014/main" id="{00000000-0008-0000-1300-000038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7881" name="Button 57" hidden="1">
              <a:extLst>
                <a:ext uri="{63B3BB69-23CF-44E3-9099-C40C66FF867C}">
                  <a14:compatExt spid="_x0000_s77881"/>
                </a:ext>
                <a:ext uri="{FF2B5EF4-FFF2-40B4-BE49-F238E27FC236}">
                  <a16:creationId xmlns:a16="http://schemas.microsoft.com/office/drawing/2014/main" id="{00000000-0008-0000-1300-000039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77882" name="Button 58" hidden="1">
              <a:extLst>
                <a:ext uri="{63B3BB69-23CF-44E3-9099-C40C66FF867C}">
                  <a14:compatExt spid="_x0000_s77882"/>
                </a:ext>
                <a:ext uri="{FF2B5EF4-FFF2-40B4-BE49-F238E27FC236}">
                  <a16:creationId xmlns:a16="http://schemas.microsoft.com/office/drawing/2014/main" id="{00000000-0008-0000-1300-00003A3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8849" name="Button 1" hidden="1">
              <a:extLst>
                <a:ext uri="{63B3BB69-23CF-44E3-9099-C40C66FF867C}">
                  <a14:compatExt spid="_x0000_s78849"/>
                </a:ext>
                <a:ext uri="{FF2B5EF4-FFF2-40B4-BE49-F238E27FC236}">
                  <a16:creationId xmlns:a16="http://schemas.microsoft.com/office/drawing/2014/main" id="{00000000-0008-0000-1400-000001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579120</xdr:colOff>
          <xdr:row>82</xdr:row>
          <xdr:rowOff>68580</xdr:rowOff>
        </xdr:from>
        <xdr:to>
          <xdr:col>30</xdr:col>
          <xdr:colOff>236220</xdr:colOff>
          <xdr:row>83</xdr:row>
          <xdr:rowOff>144780</xdr:rowOff>
        </xdr:to>
        <xdr:sp macro="" textlink="">
          <xdr:nvSpPr>
            <xdr:cNvPr id="78850" name="Button 2" hidden="1">
              <a:extLst>
                <a:ext uri="{63B3BB69-23CF-44E3-9099-C40C66FF867C}">
                  <a14:compatExt spid="_x0000_s78850"/>
                </a:ext>
                <a:ext uri="{FF2B5EF4-FFF2-40B4-BE49-F238E27FC236}">
                  <a16:creationId xmlns:a16="http://schemas.microsoft.com/office/drawing/2014/main" id="{00000000-0008-0000-1400-00000234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9873" name="Button 1" hidden="1">
              <a:extLst>
                <a:ext uri="{63B3BB69-23CF-44E3-9099-C40C66FF867C}">
                  <a14:compatExt spid="_x0000_s79873"/>
                </a:ext>
                <a:ext uri="{FF2B5EF4-FFF2-40B4-BE49-F238E27FC236}">
                  <a16:creationId xmlns:a16="http://schemas.microsoft.com/office/drawing/2014/main" id="{00000000-0008-0000-1500-000001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9874" name="Button 2" hidden="1">
              <a:extLst>
                <a:ext uri="{63B3BB69-23CF-44E3-9099-C40C66FF867C}">
                  <a14:compatExt spid="_x0000_s79874"/>
                </a:ext>
                <a:ext uri="{FF2B5EF4-FFF2-40B4-BE49-F238E27FC236}">
                  <a16:creationId xmlns:a16="http://schemas.microsoft.com/office/drawing/2014/main" id="{00000000-0008-0000-1500-000002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79875" name="Button 3" hidden="1">
              <a:extLst>
                <a:ext uri="{63B3BB69-23CF-44E3-9099-C40C66FF867C}">
                  <a14:compatExt spid="_x0000_s79875"/>
                </a:ext>
                <a:ext uri="{FF2B5EF4-FFF2-40B4-BE49-F238E27FC236}">
                  <a16:creationId xmlns:a16="http://schemas.microsoft.com/office/drawing/2014/main" id="{00000000-0008-0000-1500-0000033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68961" name="Button 1" hidden="1">
              <a:extLst>
                <a:ext uri="{63B3BB69-23CF-44E3-9099-C40C66FF867C}">
                  <a14:compatExt spid="_x0000_s168961"/>
                </a:ext>
                <a:ext uri="{FF2B5EF4-FFF2-40B4-BE49-F238E27FC236}">
                  <a16:creationId xmlns:a16="http://schemas.microsoft.com/office/drawing/2014/main" id="{00000000-0008-0000-1600-000001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68962" name="Button 2" hidden="1">
              <a:extLst>
                <a:ext uri="{63B3BB69-23CF-44E3-9099-C40C66FF867C}">
                  <a14:compatExt spid="_x0000_s168962"/>
                </a:ext>
                <a:ext uri="{FF2B5EF4-FFF2-40B4-BE49-F238E27FC236}">
                  <a16:creationId xmlns:a16="http://schemas.microsoft.com/office/drawing/2014/main" id="{00000000-0008-0000-1600-000002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68963" name="Button 3" hidden="1">
              <a:extLst>
                <a:ext uri="{63B3BB69-23CF-44E3-9099-C40C66FF867C}">
                  <a14:compatExt spid="_x0000_s168963"/>
                </a:ext>
                <a:ext uri="{FF2B5EF4-FFF2-40B4-BE49-F238E27FC236}">
                  <a16:creationId xmlns:a16="http://schemas.microsoft.com/office/drawing/2014/main" id="{00000000-0008-0000-1600-000003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7620</xdr:rowOff>
        </xdr:to>
        <xdr:sp macro="" textlink="">
          <xdr:nvSpPr>
            <xdr:cNvPr id="168964" name="Button 4" hidden="1">
              <a:extLst>
                <a:ext uri="{63B3BB69-23CF-44E3-9099-C40C66FF867C}">
                  <a14:compatExt spid="_x0000_s168964"/>
                </a:ext>
                <a:ext uri="{FF2B5EF4-FFF2-40B4-BE49-F238E27FC236}">
                  <a16:creationId xmlns:a16="http://schemas.microsoft.com/office/drawing/2014/main" id="{00000000-0008-0000-1600-000004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81</xdr:row>
          <xdr:rowOff>38100</xdr:rowOff>
        </xdr:from>
        <xdr:to>
          <xdr:col>14</xdr:col>
          <xdr:colOff>1135380</xdr:colOff>
          <xdr:row>82</xdr:row>
          <xdr:rowOff>114300</xdr:rowOff>
        </xdr:to>
        <xdr:sp macro="" textlink="">
          <xdr:nvSpPr>
            <xdr:cNvPr id="168965" name="Button 5" hidden="1">
              <a:extLst>
                <a:ext uri="{63B3BB69-23CF-44E3-9099-C40C66FF867C}">
                  <a14:compatExt spid="_x0000_s168965"/>
                </a:ext>
                <a:ext uri="{FF2B5EF4-FFF2-40B4-BE49-F238E27FC236}">
                  <a16:creationId xmlns:a16="http://schemas.microsoft.com/office/drawing/2014/main" id="{00000000-0008-0000-1600-00000594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0</xdr:row>
          <xdr:rowOff>259080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1700-000001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68</xdr:row>
          <xdr:rowOff>76200</xdr:rowOff>
        </xdr:from>
        <xdr:to>
          <xdr:col>15</xdr:col>
          <xdr:colOff>807720</xdr:colOff>
          <xdr:row>69</xdr:row>
          <xdr:rowOff>152400</xdr:rowOff>
        </xdr:to>
        <xdr:sp macro="" textlink="">
          <xdr:nvSpPr>
            <xdr:cNvPr id="80898" name="Button 2" hidden="1">
              <a:extLst>
                <a:ext uri="{63B3BB69-23CF-44E3-9099-C40C66FF867C}">
                  <a14:compatExt spid="_x0000_s80898"/>
                </a:ext>
                <a:ext uri="{FF2B5EF4-FFF2-40B4-BE49-F238E27FC236}">
                  <a16:creationId xmlns:a16="http://schemas.microsoft.com/office/drawing/2014/main" id="{00000000-0008-0000-1700-000002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0899" name="Button 3" hidden="1">
              <a:extLst>
                <a:ext uri="{63B3BB69-23CF-44E3-9099-C40C66FF867C}">
                  <a14:compatExt spid="_x0000_s80899"/>
                </a:ext>
                <a:ext uri="{FF2B5EF4-FFF2-40B4-BE49-F238E27FC236}">
                  <a16:creationId xmlns:a16="http://schemas.microsoft.com/office/drawing/2014/main" id="{00000000-0008-0000-1700-000003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0900" name="Button 4" hidden="1">
              <a:extLst>
                <a:ext uri="{63B3BB69-23CF-44E3-9099-C40C66FF867C}">
                  <a14:compatExt spid="_x0000_s80900"/>
                </a:ext>
                <a:ext uri="{FF2B5EF4-FFF2-40B4-BE49-F238E27FC236}">
                  <a16:creationId xmlns:a16="http://schemas.microsoft.com/office/drawing/2014/main" id="{00000000-0008-0000-1700-000004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0901" name="Button 5" hidden="1">
              <a:extLst>
                <a:ext uri="{63B3BB69-23CF-44E3-9099-C40C66FF867C}">
                  <a14:compatExt spid="_x0000_s80901"/>
                </a:ext>
                <a:ext uri="{FF2B5EF4-FFF2-40B4-BE49-F238E27FC236}">
                  <a16:creationId xmlns:a16="http://schemas.microsoft.com/office/drawing/2014/main" id="{00000000-0008-0000-1700-000005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0902" name="Button 6" hidden="1">
              <a:extLst>
                <a:ext uri="{63B3BB69-23CF-44E3-9099-C40C66FF867C}">
                  <a14:compatExt spid="_x0000_s80902"/>
                </a:ext>
                <a:ext uri="{FF2B5EF4-FFF2-40B4-BE49-F238E27FC236}">
                  <a16:creationId xmlns:a16="http://schemas.microsoft.com/office/drawing/2014/main" id="{00000000-0008-0000-1700-0000063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0</xdr:row>
          <xdr:rowOff>259080</xdr:rowOff>
        </xdr:to>
        <xdr:sp macro="" textlink="">
          <xdr:nvSpPr>
            <xdr:cNvPr id="129025" name="Button 1" hidden="1">
              <a:extLst>
                <a:ext uri="{63B3BB69-23CF-44E3-9099-C40C66FF867C}">
                  <a14:compatExt spid="_x0000_s129025"/>
                </a:ext>
                <a:ext uri="{FF2B5EF4-FFF2-40B4-BE49-F238E27FC236}">
                  <a16:creationId xmlns:a16="http://schemas.microsoft.com/office/drawing/2014/main" id="{00000000-0008-0000-1800-000001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29026" name="Button 2" hidden="1">
              <a:extLst>
                <a:ext uri="{63B3BB69-23CF-44E3-9099-C40C66FF867C}">
                  <a14:compatExt spid="_x0000_s129026"/>
                </a:ext>
                <a:ext uri="{FF2B5EF4-FFF2-40B4-BE49-F238E27FC236}">
                  <a16:creationId xmlns:a16="http://schemas.microsoft.com/office/drawing/2014/main" id="{00000000-0008-0000-1800-000002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9027" name="Button 3" hidden="1">
              <a:extLst>
                <a:ext uri="{63B3BB69-23CF-44E3-9099-C40C66FF867C}">
                  <a14:compatExt spid="_x0000_s129027"/>
                </a:ext>
                <a:ext uri="{FF2B5EF4-FFF2-40B4-BE49-F238E27FC236}">
                  <a16:creationId xmlns:a16="http://schemas.microsoft.com/office/drawing/2014/main" id="{00000000-0008-0000-1800-000003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9028" name="Button 4" hidden="1">
              <a:extLst>
                <a:ext uri="{63B3BB69-23CF-44E3-9099-C40C66FF867C}">
                  <a14:compatExt spid="_x0000_s129028"/>
                </a:ext>
                <a:ext uri="{FF2B5EF4-FFF2-40B4-BE49-F238E27FC236}">
                  <a16:creationId xmlns:a16="http://schemas.microsoft.com/office/drawing/2014/main" id="{00000000-0008-0000-1800-000004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9029" name="Button 5" hidden="1">
              <a:extLst>
                <a:ext uri="{63B3BB69-23CF-44E3-9099-C40C66FF867C}">
                  <a14:compatExt spid="_x0000_s129029"/>
                </a:ext>
                <a:ext uri="{FF2B5EF4-FFF2-40B4-BE49-F238E27FC236}">
                  <a16:creationId xmlns:a16="http://schemas.microsoft.com/office/drawing/2014/main" id="{00000000-0008-0000-1800-000005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9030" name="Button 6" hidden="1">
              <a:extLst>
                <a:ext uri="{63B3BB69-23CF-44E3-9099-C40C66FF867C}">
                  <a14:compatExt spid="_x0000_s129030"/>
                </a:ext>
                <a:ext uri="{FF2B5EF4-FFF2-40B4-BE49-F238E27FC236}">
                  <a16:creationId xmlns:a16="http://schemas.microsoft.com/office/drawing/2014/main" id="{00000000-0008-0000-1800-000006F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121857" name="Button 1" hidden="1">
              <a:extLst>
                <a:ext uri="{63B3BB69-23CF-44E3-9099-C40C66FF867C}">
                  <a14:compatExt spid="_x0000_s121857"/>
                </a:ext>
                <a:ext uri="{FF2B5EF4-FFF2-40B4-BE49-F238E27FC236}">
                  <a16:creationId xmlns:a16="http://schemas.microsoft.com/office/drawing/2014/main" id="{00000000-0008-0000-1900-00000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83</xdr:row>
          <xdr:rowOff>76200</xdr:rowOff>
        </xdr:from>
        <xdr:to>
          <xdr:col>16</xdr:col>
          <xdr:colOff>38100</xdr:colOff>
          <xdr:row>84</xdr:row>
          <xdr:rowOff>144780</xdr:rowOff>
        </xdr:to>
        <xdr:sp macro="" textlink="">
          <xdr:nvSpPr>
            <xdr:cNvPr id="121858" name="Button 2" hidden="1">
              <a:extLst>
                <a:ext uri="{63B3BB69-23CF-44E3-9099-C40C66FF867C}">
                  <a14:compatExt spid="_x0000_s121858"/>
                </a:ext>
                <a:ext uri="{FF2B5EF4-FFF2-40B4-BE49-F238E27FC236}">
                  <a16:creationId xmlns:a16="http://schemas.microsoft.com/office/drawing/2014/main" id="{00000000-0008-0000-1900-00000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1859" name="Button 3" hidden="1">
              <a:extLst>
                <a:ext uri="{63B3BB69-23CF-44E3-9099-C40C66FF867C}">
                  <a14:compatExt spid="_x0000_s121859"/>
                </a:ext>
                <a:ext uri="{FF2B5EF4-FFF2-40B4-BE49-F238E27FC236}">
                  <a16:creationId xmlns:a16="http://schemas.microsoft.com/office/drawing/2014/main" id="{00000000-0008-0000-1900-00000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1860" name="Button 4" hidden="1">
              <a:extLst>
                <a:ext uri="{63B3BB69-23CF-44E3-9099-C40C66FF867C}">
                  <a14:compatExt spid="_x0000_s121860"/>
                </a:ext>
                <a:ext uri="{FF2B5EF4-FFF2-40B4-BE49-F238E27FC236}">
                  <a16:creationId xmlns:a16="http://schemas.microsoft.com/office/drawing/2014/main" id="{00000000-0008-0000-1900-00000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1861" name="Button 5" hidden="1">
              <a:extLst>
                <a:ext uri="{63B3BB69-23CF-44E3-9099-C40C66FF867C}">
                  <a14:compatExt spid="_x0000_s121861"/>
                </a:ext>
                <a:ext uri="{FF2B5EF4-FFF2-40B4-BE49-F238E27FC236}">
                  <a16:creationId xmlns:a16="http://schemas.microsoft.com/office/drawing/2014/main" id="{00000000-0008-0000-1900-00000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1862" name="Button 6" hidden="1">
              <a:extLst>
                <a:ext uri="{63B3BB69-23CF-44E3-9099-C40C66FF867C}">
                  <a14:compatExt spid="_x0000_s121862"/>
                </a:ext>
                <a:ext uri="{FF2B5EF4-FFF2-40B4-BE49-F238E27FC236}">
                  <a16:creationId xmlns:a16="http://schemas.microsoft.com/office/drawing/2014/main" id="{00000000-0008-0000-1900-00000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1863" name="Button 7" hidden="1">
              <a:extLst>
                <a:ext uri="{63B3BB69-23CF-44E3-9099-C40C66FF867C}">
                  <a14:compatExt spid="_x0000_s121863"/>
                </a:ext>
                <a:ext uri="{FF2B5EF4-FFF2-40B4-BE49-F238E27FC236}">
                  <a16:creationId xmlns:a16="http://schemas.microsoft.com/office/drawing/2014/main" id="{00000000-0008-0000-1900-00000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1864" name="Button 8" hidden="1">
              <a:extLst>
                <a:ext uri="{63B3BB69-23CF-44E3-9099-C40C66FF867C}">
                  <a14:compatExt spid="_x0000_s121864"/>
                </a:ext>
                <a:ext uri="{FF2B5EF4-FFF2-40B4-BE49-F238E27FC236}">
                  <a16:creationId xmlns:a16="http://schemas.microsoft.com/office/drawing/2014/main" id="{00000000-0008-0000-1900-00000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1865" name="Button 9" hidden="1">
              <a:extLst>
                <a:ext uri="{63B3BB69-23CF-44E3-9099-C40C66FF867C}">
                  <a14:compatExt spid="_x0000_s121865"/>
                </a:ext>
                <a:ext uri="{FF2B5EF4-FFF2-40B4-BE49-F238E27FC236}">
                  <a16:creationId xmlns:a16="http://schemas.microsoft.com/office/drawing/2014/main" id="{00000000-0008-0000-1900-00000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1866" name="Button 10" hidden="1">
              <a:extLst>
                <a:ext uri="{63B3BB69-23CF-44E3-9099-C40C66FF867C}">
                  <a14:compatExt spid="_x0000_s121866"/>
                </a:ext>
                <a:ext uri="{FF2B5EF4-FFF2-40B4-BE49-F238E27FC236}">
                  <a16:creationId xmlns:a16="http://schemas.microsoft.com/office/drawing/2014/main" id="{00000000-0008-0000-1900-00000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1867" name="Button 11" hidden="1">
              <a:extLst>
                <a:ext uri="{63B3BB69-23CF-44E3-9099-C40C66FF867C}">
                  <a14:compatExt spid="_x0000_s121867"/>
                </a:ext>
                <a:ext uri="{FF2B5EF4-FFF2-40B4-BE49-F238E27FC236}">
                  <a16:creationId xmlns:a16="http://schemas.microsoft.com/office/drawing/2014/main" id="{00000000-0008-0000-1900-00000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1868" name="Button 12" hidden="1">
              <a:extLst>
                <a:ext uri="{63B3BB69-23CF-44E3-9099-C40C66FF867C}">
                  <a14:compatExt spid="_x0000_s121868"/>
                </a:ext>
                <a:ext uri="{FF2B5EF4-FFF2-40B4-BE49-F238E27FC236}">
                  <a16:creationId xmlns:a16="http://schemas.microsoft.com/office/drawing/2014/main" id="{00000000-0008-0000-1900-00000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1869" name="Button 13" hidden="1">
              <a:extLst>
                <a:ext uri="{63B3BB69-23CF-44E3-9099-C40C66FF867C}">
                  <a14:compatExt spid="_x0000_s121869"/>
                </a:ext>
                <a:ext uri="{FF2B5EF4-FFF2-40B4-BE49-F238E27FC236}">
                  <a16:creationId xmlns:a16="http://schemas.microsoft.com/office/drawing/2014/main" id="{00000000-0008-0000-1900-00000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1870" name="Button 14" hidden="1">
              <a:extLst>
                <a:ext uri="{63B3BB69-23CF-44E3-9099-C40C66FF867C}">
                  <a14:compatExt spid="_x0000_s121870"/>
                </a:ext>
                <a:ext uri="{FF2B5EF4-FFF2-40B4-BE49-F238E27FC236}">
                  <a16:creationId xmlns:a16="http://schemas.microsoft.com/office/drawing/2014/main" id="{00000000-0008-0000-1900-00000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1871" name="Button 15" hidden="1">
              <a:extLst>
                <a:ext uri="{63B3BB69-23CF-44E3-9099-C40C66FF867C}">
                  <a14:compatExt spid="_x0000_s121871"/>
                </a:ext>
                <a:ext uri="{FF2B5EF4-FFF2-40B4-BE49-F238E27FC236}">
                  <a16:creationId xmlns:a16="http://schemas.microsoft.com/office/drawing/2014/main" id="{00000000-0008-0000-1900-00000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1872" name="Button 16" hidden="1">
              <a:extLst>
                <a:ext uri="{63B3BB69-23CF-44E3-9099-C40C66FF867C}">
                  <a14:compatExt spid="_x0000_s121872"/>
                </a:ext>
                <a:ext uri="{FF2B5EF4-FFF2-40B4-BE49-F238E27FC236}">
                  <a16:creationId xmlns:a16="http://schemas.microsoft.com/office/drawing/2014/main" id="{00000000-0008-0000-1900-00001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1873" name="Button 17" hidden="1">
              <a:extLst>
                <a:ext uri="{63B3BB69-23CF-44E3-9099-C40C66FF867C}">
                  <a14:compatExt spid="_x0000_s121873"/>
                </a:ext>
                <a:ext uri="{FF2B5EF4-FFF2-40B4-BE49-F238E27FC236}">
                  <a16:creationId xmlns:a16="http://schemas.microsoft.com/office/drawing/2014/main" id="{00000000-0008-0000-1900-00001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1874" name="Button 18" hidden="1">
              <a:extLst>
                <a:ext uri="{63B3BB69-23CF-44E3-9099-C40C66FF867C}">
                  <a14:compatExt spid="_x0000_s121874"/>
                </a:ext>
                <a:ext uri="{FF2B5EF4-FFF2-40B4-BE49-F238E27FC236}">
                  <a16:creationId xmlns:a16="http://schemas.microsoft.com/office/drawing/2014/main" id="{00000000-0008-0000-1900-00001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1875" name="Button 19" hidden="1">
              <a:extLst>
                <a:ext uri="{63B3BB69-23CF-44E3-9099-C40C66FF867C}">
                  <a14:compatExt spid="_x0000_s121875"/>
                </a:ext>
                <a:ext uri="{FF2B5EF4-FFF2-40B4-BE49-F238E27FC236}">
                  <a16:creationId xmlns:a16="http://schemas.microsoft.com/office/drawing/2014/main" id="{00000000-0008-0000-1900-00001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1876" name="Button 20" hidden="1">
              <a:extLst>
                <a:ext uri="{63B3BB69-23CF-44E3-9099-C40C66FF867C}">
                  <a14:compatExt spid="_x0000_s121876"/>
                </a:ext>
                <a:ext uri="{FF2B5EF4-FFF2-40B4-BE49-F238E27FC236}">
                  <a16:creationId xmlns:a16="http://schemas.microsoft.com/office/drawing/2014/main" id="{00000000-0008-0000-1900-00001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1877" name="Button 21" hidden="1">
              <a:extLst>
                <a:ext uri="{63B3BB69-23CF-44E3-9099-C40C66FF867C}">
                  <a14:compatExt spid="_x0000_s121877"/>
                </a:ext>
                <a:ext uri="{FF2B5EF4-FFF2-40B4-BE49-F238E27FC236}">
                  <a16:creationId xmlns:a16="http://schemas.microsoft.com/office/drawing/2014/main" id="{00000000-0008-0000-1900-00001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1878" name="Button 22" hidden="1">
              <a:extLst>
                <a:ext uri="{63B3BB69-23CF-44E3-9099-C40C66FF867C}">
                  <a14:compatExt spid="_x0000_s121878"/>
                </a:ext>
                <a:ext uri="{FF2B5EF4-FFF2-40B4-BE49-F238E27FC236}">
                  <a16:creationId xmlns:a16="http://schemas.microsoft.com/office/drawing/2014/main" id="{00000000-0008-0000-1900-00001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1879" name="Button 23" hidden="1">
              <a:extLst>
                <a:ext uri="{63B3BB69-23CF-44E3-9099-C40C66FF867C}">
                  <a14:compatExt spid="_x0000_s121879"/>
                </a:ext>
                <a:ext uri="{FF2B5EF4-FFF2-40B4-BE49-F238E27FC236}">
                  <a16:creationId xmlns:a16="http://schemas.microsoft.com/office/drawing/2014/main" id="{00000000-0008-0000-1900-00001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1880" name="Button 24" hidden="1">
              <a:extLst>
                <a:ext uri="{63B3BB69-23CF-44E3-9099-C40C66FF867C}">
                  <a14:compatExt spid="_x0000_s121880"/>
                </a:ext>
                <a:ext uri="{FF2B5EF4-FFF2-40B4-BE49-F238E27FC236}">
                  <a16:creationId xmlns:a16="http://schemas.microsoft.com/office/drawing/2014/main" id="{00000000-0008-0000-1900-00001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1881" name="Button 25" hidden="1">
              <a:extLst>
                <a:ext uri="{63B3BB69-23CF-44E3-9099-C40C66FF867C}">
                  <a14:compatExt spid="_x0000_s121881"/>
                </a:ext>
                <a:ext uri="{FF2B5EF4-FFF2-40B4-BE49-F238E27FC236}">
                  <a16:creationId xmlns:a16="http://schemas.microsoft.com/office/drawing/2014/main" id="{00000000-0008-0000-1900-00001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1882" name="Button 26" hidden="1">
              <a:extLst>
                <a:ext uri="{63B3BB69-23CF-44E3-9099-C40C66FF867C}">
                  <a14:compatExt spid="_x0000_s121882"/>
                </a:ext>
                <a:ext uri="{FF2B5EF4-FFF2-40B4-BE49-F238E27FC236}">
                  <a16:creationId xmlns:a16="http://schemas.microsoft.com/office/drawing/2014/main" id="{00000000-0008-0000-1900-00001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1883" name="Button 27" hidden="1">
              <a:extLst>
                <a:ext uri="{63B3BB69-23CF-44E3-9099-C40C66FF867C}">
                  <a14:compatExt spid="_x0000_s121883"/>
                </a:ext>
                <a:ext uri="{FF2B5EF4-FFF2-40B4-BE49-F238E27FC236}">
                  <a16:creationId xmlns:a16="http://schemas.microsoft.com/office/drawing/2014/main" id="{00000000-0008-0000-1900-00001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1884" name="Button 28" hidden="1">
              <a:extLst>
                <a:ext uri="{63B3BB69-23CF-44E3-9099-C40C66FF867C}">
                  <a14:compatExt spid="_x0000_s121884"/>
                </a:ext>
                <a:ext uri="{FF2B5EF4-FFF2-40B4-BE49-F238E27FC236}">
                  <a16:creationId xmlns:a16="http://schemas.microsoft.com/office/drawing/2014/main" id="{00000000-0008-0000-1900-00001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1885" name="Button 29" hidden="1">
              <a:extLst>
                <a:ext uri="{63B3BB69-23CF-44E3-9099-C40C66FF867C}">
                  <a14:compatExt spid="_x0000_s121885"/>
                </a:ext>
                <a:ext uri="{FF2B5EF4-FFF2-40B4-BE49-F238E27FC236}">
                  <a16:creationId xmlns:a16="http://schemas.microsoft.com/office/drawing/2014/main" id="{00000000-0008-0000-1900-00001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1886" name="Button 30" hidden="1">
              <a:extLst>
                <a:ext uri="{63B3BB69-23CF-44E3-9099-C40C66FF867C}">
                  <a14:compatExt spid="_x0000_s121886"/>
                </a:ext>
                <a:ext uri="{FF2B5EF4-FFF2-40B4-BE49-F238E27FC236}">
                  <a16:creationId xmlns:a16="http://schemas.microsoft.com/office/drawing/2014/main" id="{00000000-0008-0000-1900-00001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1887" name="Button 31" hidden="1">
              <a:extLst>
                <a:ext uri="{63B3BB69-23CF-44E3-9099-C40C66FF867C}">
                  <a14:compatExt spid="_x0000_s121887"/>
                </a:ext>
                <a:ext uri="{FF2B5EF4-FFF2-40B4-BE49-F238E27FC236}">
                  <a16:creationId xmlns:a16="http://schemas.microsoft.com/office/drawing/2014/main" id="{00000000-0008-0000-1900-00001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1888" name="Button 32" hidden="1">
              <a:extLst>
                <a:ext uri="{63B3BB69-23CF-44E3-9099-C40C66FF867C}">
                  <a14:compatExt spid="_x0000_s121888"/>
                </a:ext>
                <a:ext uri="{FF2B5EF4-FFF2-40B4-BE49-F238E27FC236}">
                  <a16:creationId xmlns:a16="http://schemas.microsoft.com/office/drawing/2014/main" id="{00000000-0008-0000-1900-00002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1889" name="Button 33" hidden="1">
              <a:extLst>
                <a:ext uri="{63B3BB69-23CF-44E3-9099-C40C66FF867C}">
                  <a14:compatExt spid="_x0000_s121889"/>
                </a:ext>
                <a:ext uri="{FF2B5EF4-FFF2-40B4-BE49-F238E27FC236}">
                  <a16:creationId xmlns:a16="http://schemas.microsoft.com/office/drawing/2014/main" id="{00000000-0008-0000-1900-00002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1890" name="Button 34" hidden="1">
              <a:extLst>
                <a:ext uri="{63B3BB69-23CF-44E3-9099-C40C66FF867C}">
                  <a14:compatExt spid="_x0000_s121890"/>
                </a:ext>
                <a:ext uri="{FF2B5EF4-FFF2-40B4-BE49-F238E27FC236}">
                  <a16:creationId xmlns:a16="http://schemas.microsoft.com/office/drawing/2014/main" id="{00000000-0008-0000-1900-00002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1891" name="Button 35" hidden="1">
              <a:extLst>
                <a:ext uri="{63B3BB69-23CF-44E3-9099-C40C66FF867C}">
                  <a14:compatExt spid="_x0000_s121891"/>
                </a:ext>
                <a:ext uri="{FF2B5EF4-FFF2-40B4-BE49-F238E27FC236}">
                  <a16:creationId xmlns:a16="http://schemas.microsoft.com/office/drawing/2014/main" id="{00000000-0008-0000-1900-00002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1892" name="Button 36" hidden="1">
              <a:extLst>
                <a:ext uri="{63B3BB69-23CF-44E3-9099-C40C66FF867C}">
                  <a14:compatExt spid="_x0000_s121892"/>
                </a:ext>
                <a:ext uri="{FF2B5EF4-FFF2-40B4-BE49-F238E27FC236}">
                  <a16:creationId xmlns:a16="http://schemas.microsoft.com/office/drawing/2014/main" id="{00000000-0008-0000-1900-00002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1893" name="Button 37" hidden="1">
              <a:extLst>
                <a:ext uri="{63B3BB69-23CF-44E3-9099-C40C66FF867C}">
                  <a14:compatExt spid="_x0000_s121893"/>
                </a:ext>
                <a:ext uri="{FF2B5EF4-FFF2-40B4-BE49-F238E27FC236}">
                  <a16:creationId xmlns:a16="http://schemas.microsoft.com/office/drawing/2014/main" id="{00000000-0008-0000-1900-00002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1894" name="Button 38" hidden="1">
              <a:extLst>
                <a:ext uri="{63B3BB69-23CF-44E3-9099-C40C66FF867C}">
                  <a14:compatExt spid="_x0000_s121894"/>
                </a:ext>
                <a:ext uri="{FF2B5EF4-FFF2-40B4-BE49-F238E27FC236}">
                  <a16:creationId xmlns:a16="http://schemas.microsoft.com/office/drawing/2014/main" id="{00000000-0008-0000-1900-00002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1895" name="Button 39" hidden="1">
              <a:extLst>
                <a:ext uri="{63B3BB69-23CF-44E3-9099-C40C66FF867C}">
                  <a14:compatExt spid="_x0000_s121895"/>
                </a:ext>
                <a:ext uri="{FF2B5EF4-FFF2-40B4-BE49-F238E27FC236}">
                  <a16:creationId xmlns:a16="http://schemas.microsoft.com/office/drawing/2014/main" id="{00000000-0008-0000-1900-00002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1896" name="Button 40" hidden="1">
              <a:extLst>
                <a:ext uri="{63B3BB69-23CF-44E3-9099-C40C66FF867C}">
                  <a14:compatExt spid="_x0000_s121896"/>
                </a:ext>
                <a:ext uri="{FF2B5EF4-FFF2-40B4-BE49-F238E27FC236}">
                  <a16:creationId xmlns:a16="http://schemas.microsoft.com/office/drawing/2014/main" id="{00000000-0008-0000-1900-00002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1897" name="Button 41" hidden="1">
              <a:extLst>
                <a:ext uri="{63B3BB69-23CF-44E3-9099-C40C66FF867C}">
                  <a14:compatExt spid="_x0000_s121897"/>
                </a:ext>
                <a:ext uri="{FF2B5EF4-FFF2-40B4-BE49-F238E27FC236}">
                  <a16:creationId xmlns:a16="http://schemas.microsoft.com/office/drawing/2014/main" id="{00000000-0008-0000-1900-00002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1898" name="Button 42" hidden="1">
              <a:extLst>
                <a:ext uri="{63B3BB69-23CF-44E3-9099-C40C66FF867C}">
                  <a14:compatExt spid="_x0000_s121898"/>
                </a:ext>
                <a:ext uri="{FF2B5EF4-FFF2-40B4-BE49-F238E27FC236}">
                  <a16:creationId xmlns:a16="http://schemas.microsoft.com/office/drawing/2014/main" id="{00000000-0008-0000-1900-00002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1899" name="Button 43" hidden="1">
              <a:extLst>
                <a:ext uri="{63B3BB69-23CF-44E3-9099-C40C66FF867C}">
                  <a14:compatExt spid="_x0000_s121899"/>
                </a:ext>
                <a:ext uri="{FF2B5EF4-FFF2-40B4-BE49-F238E27FC236}">
                  <a16:creationId xmlns:a16="http://schemas.microsoft.com/office/drawing/2014/main" id="{00000000-0008-0000-1900-00002B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1900" name="Button 44" hidden="1">
              <a:extLst>
                <a:ext uri="{63B3BB69-23CF-44E3-9099-C40C66FF867C}">
                  <a14:compatExt spid="_x0000_s121900"/>
                </a:ext>
                <a:ext uri="{FF2B5EF4-FFF2-40B4-BE49-F238E27FC236}">
                  <a16:creationId xmlns:a16="http://schemas.microsoft.com/office/drawing/2014/main" id="{00000000-0008-0000-1900-00002C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1901" name="Button 45" hidden="1">
              <a:extLst>
                <a:ext uri="{63B3BB69-23CF-44E3-9099-C40C66FF867C}">
                  <a14:compatExt spid="_x0000_s121901"/>
                </a:ext>
                <a:ext uri="{FF2B5EF4-FFF2-40B4-BE49-F238E27FC236}">
                  <a16:creationId xmlns:a16="http://schemas.microsoft.com/office/drawing/2014/main" id="{00000000-0008-0000-1900-00002D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1902" name="Button 46" hidden="1">
              <a:extLst>
                <a:ext uri="{63B3BB69-23CF-44E3-9099-C40C66FF867C}">
                  <a14:compatExt spid="_x0000_s121902"/>
                </a:ext>
                <a:ext uri="{FF2B5EF4-FFF2-40B4-BE49-F238E27FC236}">
                  <a16:creationId xmlns:a16="http://schemas.microsoft.com/office/drawing/2014/main" id="{00000000-0008-0000-1900-00002E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1903" name="Button 47" hidden="1">
              <a:extLst>
                <a:ext uri="{63B3BB69-23CF-44E3-9099-C40C66FF867C}">
                  <a14:compatExt spid="_x0000_s121903"/>
                </a:ext>
                <a:ext uri="{FF2B5EF4-FFF2-40B4-BE49-F238E27FC236}">
                  <a16:creationId xmlns:a16="http://schemas.microsoft.com/office/drawing/2014/main" id="{00000000-0008-0000-1900-00002F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1904" name="Button 48" hidden="1">
              <a:extLst>
                <a:ext uri="{63B3BB69-23CF-44E3-9099-C40C66FF867C}">
                  <a14:compatExt spid="_x0000_s121904"/>
                </a:ext>
                <a:ext uri="{FF2B5EF4-FFF2-40B4-BE49-F238E27FC236}">
                  <a16:creationId xmlns:a16="http://schemas.microsoft.com/office/drawing/2014/main" id="{00000000-0008-0000-1900-000030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1905" name="Button 49" hidden="1">
              <a:extLst>
                <a:ext uri="{63B3BB69-23CF-44E3-9099-C40C66FF867C}">
                  <a14:compatExt spid="_x0000_s121905"/>
                </a:ext>
                <a:ext uri="{FF2B5EF4-FFF2-40B4-BE49-F238E27FC236}">
                  <a16:creationId xmlns:a16="http://schemas.microsoft.com/office/drawing/2014/main" id="{00000000-0008-0000-1900-000031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1906" name="Button 50" hidden="1">
              <a:extLst>
                <a:ext uri="{63B3BB69-23CF-44E3-9099-C40C66FF867C}">
                  <a14:compatExt spid="_x0000_s121906"/>
                </a:ext>
                <a:ext uri="{FF2B5EF4-FFF2-40B4-BE49-F238E27FC236}">
                  <a16:creationId xmlns:a16="http://schemas.microsoft.com/office/drawing/2014/main" id="{00000000-0008-0000-1900-000032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1907" name="Button 51" hidden="1">
              <a:extLst>
                <a:ext uri="{63B3BB69-23CF-44E3-9099-C40C66FF867C}">
                  <a14:compatExt spid="_x0000_s121907"/>
                </a:ext>
                <a:ext uri="{FF2B5EF4-FFF2-40B4-BE49-F238E27FC236}">
                  <a16:creationId xmlns:a16="http://schemas.microsoft.com/office/drawing/2014/main" id="{00000000-0008-0000-1900-000033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1908" name="Button 52" hidden="1">
              <a:extLst>
                <a:ext uri="{63B3BB69-23CF-44E3-9099-C40C66FF867C}">
                  <a14:compatExt spid="_x0000_s121908"/>
                </a:ext>
                <a:ext uri="{FF2B5EF4-FFF2-40B4-BE49-F238E27FC236}">
                  <a16:creationId xmlns:a16="http://schemas.microsoft.com/office/drawing/2014/main" id="{00000000-0008-0000-1900-000034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1909" name="Button 53" hidden="1">
              <a:extLst>
                <a:ext uri="{63B3BB69-23CF-44E3-9099-C40C66FF867C}">
                  <a14:compatExt spid="_x0000_s121909"/>
                </a:ext>
                <a:ext uri="{FF2B5EF4-FFF2-40B4-BE49-F238E27FC236}">
                  <a16:creationId xmlns:a16="http://schemas.microsoft.com/office/drawing/2014/main" id="{00000000-0008-0000-1900-000035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1910" name="Button 54" hidden="1">
              <a:extLst>
                <a:ext uri="{63B3BB69-23CF-44E3-9099-C40C66FF867C}">
                  <a14:compatExt spid="_x0000_s121910"/>
                </a:ext>
                <a:ext uri="{FF2B5EF4-FFF2-40B4-BE49-F238E27FC236}">
                  <a16:creationId xmlns:a16="http://schemas.microsoft.com/office/drawing/2014/main" id="{00000000-0008-0000-1900-000036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1911" name="Button 55" hidden="1">
              <a:extLst>
                <a:ext uri="{63B3BB69-23CF-44E3-9099-C40C66FF867C}">
                  <a14:compatExt spid="_x0000_s121911"/>
                </a:ext>
                <a:ext uri="{FF2B5EF4-FFF2-40B4-BE49-F238E27FC236}">
                  <a16:creationId xmlns:a16="http://schemas.microsoft.com/office/drawing/2014/main" id="{00000000-0008-0000-1900-000037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1912" name="Button 56" hidden="1">
              <a:extLst>
                <a:ext uri="{63B3BB69-23CF-44E3-9099-C40C66FF867C}">
                  <a14:compatExt spid="_x0000_s121912"/>
                </a:ext>
                <a:ext uri="{FF2B5EF4-FFF2-40B4-BE49-F238E27FC236}">
                  <a16:creationId xmlns:a16="http://schemas.microsoft.com/office/drawing/2014/main" id="{00000000-0008-0000-1900-000038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1913" name="Button 57" hidden="1">
              <a:extLst>
                <a:ext uri="{63B3BB69-23CF-44E3-9099-C40C66FF867C}">
                  <a14:compatExt spid="_x0000_s121913"/>
                </a:ext>
                <a:ext uri="{FF2B5EF4-FFF2-40B4-BE49-F238E27FC236}">
                  <a16:creationId xmlns:a16="http://schemas.microsoft.com/office/drawing/2014/main" id="{00000000-0008-0000-1900-000039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1914" name="Button 58" hidden="1">
              <a:extLst>
                <a:ext uri="{63B3BB69-23CF-44E3-9099-C40C66FF867C}">
                  <a14:compatExt spid="_x0000_s121914"/>
                </a:ext>
                <a:ext uri="{FF2B5EF4-FFF2-40B4-BE49-F238E27FC236}">
                  <a16:creationId xmlns:a16="http://schemas.microsoft.com/office/drawing/2014/main" id="{00000000-0008-0000-1900-00003ADC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122881" name="Button 1" hidden="1">
              <a:extLst>
                <a:ext uri="{63B3BB69-23CF-44E3-9099-C40C66FF867C}">
                  <a14:compatExt spid="_x0000_s122881"/>
                </a:ext>
                <a:ext uri="{FF2B5EF4-FFF2-40B4-BE49-F238E27FC236}">
                  <a16:creationId xmlns:a16="http://schemas.microsoft.com/office/drawing/2014/main" id="{00000000-0008-0000-1A00-00000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83</xdr:row>
          <xdr:rowOff>76200</xdr:rowOff>
        </xdr:from>
        <xdr:to>
          <xdr:col>16</xdr:col>
          <xdr:colOff>38100</xdr:colOff>
          <xdr:row>84</xdr:row>
          <xdr:rowOff>144780</xdr:rowOff>
        </xdr:to>
        <xdr:sp macro="" textlink="">
          <xdr:nvSpPr>
            <xdr:cNvPr id="122882" name="Button 2" hidden="1">
              <a:extLst>
                <a:ext uri="{63B3BB69-23CF-44E3-9099-C40C66FF867C}">
                  <a14:compatExt spid="_x0000_s122882"/>
                </a:ext>
                <a:ext uri="{FF2B5EF4-FFF2-40B4-BE49-F238E27FC236}">
                  <a16:creationId xmlns:a16="http://schemas.microsoft.com/office/drawing/2014/main" id="{00000000-0008-0000-1A00-00000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2883" name="Button 3" hidden="1">
              <a:extLst>
                <a:ext uri="{63B3BB69-23CF-44E3-9099-C40C66FF867C}">
                  <a14:compatExt spid="_x0000_s122883"/>
                </a:ext>
                <a:ext uri="{FF2B5EF4-FFF2-40B4-BE49-F238E27FC236}">
                  <a16:creationId xmlns:a16="http://schemas.microsoft.com/office/drawing/2014/main" id="{00000000-0008-0000-1A00-00000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2884" name="Button 4" hidden="1">
              <a:extLst>
                <a:ext uri="{63B3BB69-23CF-44E3-9099-C40C66FF867C}">
                  <a14:compatExt spid="_x0000_s122884"/>
                </a:ext>
                <a:ext uri="{FF2B5EF4-FFF2-40B4-BE49-F238E27FC236}">
                  <a16:creationId xmlns:a16="http://schemas.microsoft.com/office/drawing/2014/main" id="{00000000-0008-0000-1A00-00000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2885" name="Button 5" hidden="1">
              <a:extLst>
                <a:ext uri="{63B3BB69-23CF-44E3-9099-C40C66FF867C}">
                  <a14:compatExt spid="_x0000_s122885"/>
                </a:ext>
                <a:ext uri="{FF2B5EF4-FFF2-40B4-BE49-F238E27FC236}">
                  <a16:creationId xmlns:a16="http://schemas.microsoft.com/office/drawing/2014/main" id="{00000000-0008-0000-1A00-00000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122886" name="Button 6" hidden="1">
              <a:extLst>
                <a:ext uri="{63B3BB69-23CF-44E3-9099-C40C66FF867C}">
                  <a14:compatExt spid="_x0000_s122886"/>
                </a:ext>
                <a:ext uri="{FF2B5EF4-FFF2-40B4-BE49-F238E27FC236}">
                  <a16:creationId xmlns:a16="http://schemas.microsoft.com/office/drawing/2014/main" id="{00000000-0008-0000-1A00-00000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2887" name="Button 7" hidden="1">
              <a:extLst>
                <a:ext uri="{63B3BB69-23CF-44E3-9099-C40C66FF867C}">
                  <a14:compatExt spid="_x0000_s122887"/>
                </a:ext>
                <a:ext uri="{FF2B5EF4-FFF2-40B4-BE49-F238E27FC236}">
                  <a16:creationId xmlns:a16="http://schemas.microsoft.com/office/drawing/2014/main" id="{00000000-0008-0000-1A00-00000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2888" name="Button 8" hidden="1">
              <a:extLst>
                <a:ext uri="{63B3BB69-23CF-44E3-9099-C40C66FF867C}">
                  <a14:compatExt spid="_x0000_s122888"/>
                </a:ext>
                <a:ext uri="{FF2B5EF4-FFF2-40B4-BE49-F238E27FC236}">
                  <a16:creationId xmlns:a16="http://schemas.microsoft.com/office/drawing/2014/main" id="{00000000-0008-0000-1A00-00000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2889" name="Button 9" hidden="1">
              <a:extLst>
                <a:ext uri="{63B3BB69-23CF-44E3-9099-C40C66FF867C}">
                  <a14:compatExt spid="_x0000_s122889"/>
                </a:ext>
                <a:ext uri="{FF2B5EF4-FFF2-40B4-BE49-F238E27FC236}">
                  <a16:creationId xmlns:a16="http://schemas.microsoft.com/office/drawing/2014/main" id="{00000000-0008-0000-1A00-00000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122890" name="Button 10" hidden="1">
              <a:extLst>
                <a:ext uri="{63B3BB69-23CF-44E3-9099-C40C66FF867C}">
                  <a14:compatExt spid="_x0000_s122890"/>
                </a:ext>
                <a:ext uri="{FF2B5EF4-FFF2-40B4-BE49-F238E27FC236}">
                  <a16:creationId xmlns:a16="http://schemas.microsoft.com/office/drawing/2014/main" id="{00000000-0008-0000-1A00-00000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2891" name="Button 11" hidden="1">
              <a:extLst>
                <a:ext uri="{63B3BB69-23CF-44E3-9099-C40C66FF867C}">
                  <a14:compatExt spid="_x0000_s122891"/>
                </a:ext>
                <a:ext uri="{FF2B5EF4-FFF2-40B4-BE49-F238E27FC236}">
                  <a16:creationId xmlns:a16="http://schemas.microsoft.com/office/drawing/2014/main" id="{00000000-0008-0000-1A00-00000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2892" name="Button 12" hidden="1">
              <a:extLst>
                <a:ext uri="{63B3BB69-23CF-44E3-9099-C40C66FF867C}">
                  <a14:compatExt spid="_x0000_s122892"/>
                </a:ext>
                <a:ext uri="{FF2B5EF4-FFF2-40B4-BE49-F238E27FC236}">
                  <a16:creationId xmlns:a16="http://schemas.microsoft.com/office/drawing/2014/main" id="{00000000-0008-0000-1A00-00000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2893" name="Button 13" hidden="1">
              <a:extLst>
                <a:ext uri="{63B3BB69-23CF-44E3-9099-C40C66FF867C}">
                  <a14:compatExt spid="_x0000_s122893"/>
                </a:ext>
                <a:ext uri="{FF2B5EF4-FFF2-40B4-BE49-F238E27FC236}">
                  <a16:creationId xmlns:a16="http://schemas.microsoft.com/office/drawing/2014/main" id="{00000000-0008-0000-1A00-00000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122894" name="Button 14" hidden="1">
              <a:extLst>
                <a:ext uri="{63B3BB69-23CF-44E3-9099-C40C66FF867C}">
                  <a14:compatExt spid="_x0000_s122894"/>
                </a:ext>
                <a:ext uri="{FF2B5EF4-FFF2-40B4-BE49-F238E27FC236}">
                  <a16:creationId xmlns:a16="http://schemas.microsoft.com/office/drawing/2014/main" id="{00000000-0008-0000-1A00-00000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2895" name="Button 15" hidden="1">
              <a:extLst>
                <a:ext uri="{63B3BB69-23CF-44E3-9099-C40C66FF867C}">
                  <a14:compatExt spid="_x0000_s122895"/>
                </a:ext>
                <a:ext uri="{FF2B5EF4-FFF2-40B4-BE49-F238E27FC236}">
                  <a16:creationId xmlns:a16="http://schemas.microsoft.com/office/drawing/2014/main" id="{00000000-0008-0000-1A00-00000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2896" name="Button 16" hidden="1">
              <a:extLst>
                <a:ext uri="{63B3BB69-23CF-44E3-9099-C40C66FF867C}">
                  <a14:compatExt spid="_x0000_s122896"/>
                </a:ext>
                <a:ext uri="{FF2B5EF4-FFF2-40B4-BE49-F238E27FC236}">
                  <a16:creationId xmlns:a16="http://schemas.microsoft.com/office/drawing/2014/main" id="{00000000-0008-0000-1A00-00001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2897" name="Button 17" hidden="1">
              <a:extLst>
                <a:ext uri="{63B3BB69-23CF-44E3-9099-C40C66FF867C}">
                  <a14:compatExt spid="_x0000_s122897"/>
                </a:ext>
                <a:ext uri="{FF2B5EF4-FFF2-40B4-BE49-F238E27FC236}">
                  <a16:creationId xmlns:a16="http://schemas.microsoft.com/office/drawing/2014/main" id="{00000000-0008-0000-1A00-00001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122898" name="Button 18" hidden="1">
              <a:extLst>
                <a:ext uri="{63B3BB69-23CF-44E3-9099-C40C66FF867C}">
                  <a14:compatExt spid="_x0000_s122898"/>
                </a:ext>
                <a:ext uri="{FF2B5EF4-FFF2-40B4-BE49-F238E27FC236}">
                  <a16:creationId xmlns:a16="http://schemas.microsoft.com/office/drawing/2014/main" id="{00000000-0008-0000-1A00-00001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2899" name="Button 19" hidden="1">
              <a:extLst>
                <a:ext uri="{63B3BB69-23CF-44E3-9099-C40C66FF867C}">
                  <a14:compatExt spid="_x0000_s122899"/>
                </a:ext>
                <a:ext uri="{FF2B5EF4-FFF2-40B4-BE49-F238E27FC236}">
                  <a16:creationId xmlns:a16="http://schemas.microsoft.com/office/drawing/2014/main" id="{00000000-0008-0000-1A00-00001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2900" name="Button 20" hidden="1">
              <a:extLst>
                <a:ext uri="{63B3BB69-23CF-44E3-9099-C40C66FF867C}">
                  <a14:compatExt spid="_x0000_s122900"/>
                </a:ext>
                <a:ext uri="{FF2B5EF4-FFF2-40B4-BE49-F238E27FC236}">
                  <a16:creationId xmlns:a16="http://schemas.microsoft.com/office/drawing/2014/main" id="{00000000-0008-0000-1A00-00001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2901" name="Button 21" hidden="1">
              <a:extLst>
                <a:ext uri="{63B3BB69-23CF-44E3-9099-C40C66FF867C}">
                  <a14:compatExt spid="_x0000_s122901"/>
                </a:ext>
                <a:ext uri="{FF2B5EF4-FFF2-40B4-BE49-F238E27FC236}">
                  <a16:creationId xmlns:a16="http://schemas.microsoft.com/office/drawing/2014/main" id="{00000000-0008-0000-1A00-00001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122902" name="Button 22" hidden="1">
              <a:extLst>
                <a:ext uri="{63B3BB69-23CF-44E3-9099-C40C66FF867C}">
                  <a14:compatExt spid="_x0000_s122902"/>
                </a:ext>
                <a:ext uri="{FF2B5EF4-FFF2-40B4-BE49-F238E27FC236}">
                  <a16:creationId xmlns:a16="http://schemas.microsoft.com/office/drawing/2014/main" id="{00000000-0008-0000-1A00-00001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2903" name="Button 23" hidden="1">
              <a:extLst>
                <a:ext uri="{63B3BB69-23CF-44E3-9099-C40C66FF867C}">
                  <a14:compatExt spid="_x0000_s122903"/>
                </a:ext>
                <a:ext uri="{FF2B5EF4-FFF2-40B4-BE49-F238E27FC236}">
                  <a16:creationId xmlns:a16="http://schemas.microsoft.com/office/drawing/2014/main" id="{00000000-0008-0000-1A00-00001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2904" name="Button 24" hidden="1">
              <a:extLst>
                <a:ext uri="{63B3BB69-23CF-44E3-9099-C40C66FF867C}">
                  <a14:compatExt spid="_x0000_s122904"/>
                </a:ext>
                <a:ext uri="{FF2B5EF4-FFF2-40B4-BE49-F238E27FC236}">
                  <a16:creationId xmlns:a16="http://schemas.microsoft.com/office/drawing/2014/main" id="{00000000-0008-0000-1A00-00001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2905" name="Button 25" hidden="1">
              <a:extLst>
                <a:ext uri="{63B3BB69-23CF-44E3-9099-C40C66FF867C}">
                  <a14:compatExt spid="_x0000_s122905"/>
                </a:ext>
                <a:ext uri="{FF2B5EF4-FFF2-40B4-BE49-F238E27FC236}">
                  <a16:creationId xmlns:a16="http://schemas.microsoft.com/office/drawing/2014/main" id="{00000000-0008-0000-1A00-00001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122906" name="Button 26" hidden="1">
              <a:extLst>
                <a:ext uri="{63B3BB69-23CF-44E3-9099-C40C66FF867C}">
                  <a14:compatExt spid="_x0000_s122906"/>
                </a:ext>
                <a:ext uri="{FF2B5EF4-FFF2-40B4-BE49-F238E27FC236}">
                  <a16:creationId xmlns:a16="http://schemas.microsoft.com/office/drawing/2014/main" id="{00000000-0008-0000-1A00-00001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2907" name="Button 27" hidden="1">
              <a:extLst>
                <a:ext uri="{63B3BB69-23CF-44E3-9099-C40C66FF867C}">
                  <a14:compatExt spid="_x0000_s122907"/>
                </a:ext>
                <a:ext uri="{FF2B5EF4-FFF2-40B4-BE49-F238E27FC236}">
                  <a16:creationId xmlns:a16="http://schemas.microsoft.com/office/drawing/2014/main" id="{00000000-0008-0000-1A00-00001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2908" name="Button 28" hidden="1">
              <a:extLst>
                <a:ext uri="{63B3BB69-23CF-44E3-9099-C40C66FF867C}">
                  <a14:compatExt spid="_x0000_s122908"/>
                </a:ext>
                <a:ext uri="{FF2B5EF4-FFF2-40B4-BE49-F238E27FC236}">
                  <a16:creationId xmlns:a16="http://schemas.microsoft.com/office/drawing/2014/main" id="{00000000-0008-0000-1A00-00001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2909" name="Button 29" hidden="1">
              <a:extLst>
                <a:ext uri="{63B3BB69-23CF-44E3-9099-C40C66FF867C}">
                  <a14:compatExt spid="_x0000_s122909"/>
                </a:ext>
                <a:ext uri="{FF2B5EF4-FFF2-40B4-BE49-F238E27FC236}">
                  <a16:creationId xmlns:a16="http://schemas.microsoft.com/office/drawing/2014/main" id="{00000000-0008-0000-1A00-00001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122910" name="Button 30" hidden="1">
              <a:extLst>
                <a:ext uri="{63B3BB69-23CF-44E3-9099-C40C66FF867C}">
                  <a14:compatExt spid="_x0000_s122910"/>
                </a:ext>
                <a:ext uri="{FF2B5EF4-FFF2-40B4-BE49-F238E27FC236}">
                  <a16:creationId xmlns:a16="http://schemas.microsoft.com/office/drawing/2014/main" id="{00000000-0008-0000-1A00-00001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2911" name="Button 31" hidden="1">
              <a:extLst>
                <a:ext uri="{63B3BB69-23CF-44E3-9099-C40C66FF867C}">
                  <a14:compatExt spid="_x0000_s122911"/>
                </a:ext>
                <a:ext uri="{FF2B5EF4-FFF2-40B4-BE49-F238E27FC236}">
                  <a16:creationId xmlns:a16="http://schemas.microsoft.com/office/drawing/2014/main" id="{00000000-0008-0000-1A00-00001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2912" name="Button 32" hidden="1">
              <a:extLst>
                <a:ext uri="{63B3BB69-23CF-44E3-9099-C40C66FF867C}">
                  <a14:compatExt spid="_x0000_s122912"/>
                </a:ext>
                <a:ext uri="{FF2B5EF4-FFF2-40B4-BE49-F238E27FC236}">
                  <a16:creationId xmlns:a16="http://schemas.microsoft.com/office/drawing/2014/main" id="{00000000-0008-0000-1A00-00002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2913" name="Button 33" hidden="1">
              <a:extLst>
                <a:ext uri="{63B3BB69-23CF-44E3-9099-C40C66FF867C}">
                  <a14:compatExt spid="_x0000_s122913"/>
                </a:ext>
                <a:ext uri="{FF2B5EF4-FFF2-40B4-BE49-F238E27FC236}">
                  <a16:creationId xmlns:a16="http://schemas.microsoft.com/office/drawing/2014/main" id="{00000000-0008-0000-1A00-00002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122914" name="Button 34" hidden="1">
              <a:extLst>
                <a:ext uri="{63B3BB69-23CF-44E3-9099-C40C66FF867C}">
                  <a14:compatExt spid="_x0000_s122914"/>
                </a:ext>
                <a:ext uri="{FF2B5EF4-FFF2-40B4-BE49-F238E27FC236}">
                  <a16:creationId xmlns:a16="http://schemas.microsoft.com/office/drawing/2014/main" id="{00000000-0008-0000-1A00-00002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2915" name="Button 35" hidden="1">
              <a:extLst>
                <a:ext uri="{63B3BB69-23CF-44E3-9099-C40C66FF867C}">
                  <a14:compatExt spid="_x0000_s122915"/>
                </a:ext>
                <a:ext uri="{FF2B5EF4-FFF2-40B4-BE49-F238E27FC236}">
                  <a16:creationId xmlns:a16="http://schemas.microsoft.com/office/drawing/2014/main" id="{00000000-0008-0000-1A00-00002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2916" name="Button 36" hidden="1">
              <a:extLst>
                <a:ext uri="{63B3BB69-23CF-44E3-9099-C40C66FF867C}">
                  <a14:compatExt spid="_x0000_s122916"/>
                </a:ext>
                <a:ext uri="{FF2B5EF4-FFF2-40B4-BE49-F238E27FC236}">
                  <a16:creationId xmlns:a16="http://schemas.microsoft.com/office/drawing/2014/main" id="{00000000-0008-0000-1A00-00002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2917" name="Button 37" hidden="1">
              <a:extLst>
                <a:ext uri="{63B3BB69-23CF-44E3-9099-C40C66FF867C}">
                  <a14:compatExt spid="_x0000_s122917"/>
                </a:ext>
                <a:ext uri="{FF2B5EF4-FFF2-40B4-BE49-F238E27FC236}">
                  <a16:creationId xmlns:a16="http://schemas.microsoft.com/office/drawing/2014/main" id="{00000000-0008-0000-1A00-00002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122918" name="Button 38" hidden="1">
              <a:extLst>
                <a:ext uri="{63B3BB69-23CF-44E3-9099-C40C66FF867C}">
                  <a14:compatExt spid="_x0000_s122918"/>
                </a:ext>
                <a:ext uri="{FF2B5EF4-FFF2-40B4-BE49-F238E27FC236}">
                  <a16:creationId xmlns:a16="http://schemas.microsoft.com/office/drawing/2014/main" id="{00000000-0008-0000-1A00-00002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2919" name="Button 39" hidden="1">
              <a:extLst>
                <a:ext uri="{63B3BB69-23CF-44E3-9099-C40C66FF867C}">
                  <a14:compatExt spid="_x0000_s122919"/>
                </a:ext>
                <a:ext uri="{FF2B5EF4-FFF2-40B4-BE49-F238E27FC236}">
                  <a16:creationId xmlns:a16="http://schemas.microsoft.com/office/drawing/2014/main" id="{00000000-0008-0000-1A00-00002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2920" name="Button 40" hidden="1">
              <a:extLst>
                <a:ext uri="{63B3BB69-23CF-44E3-9099-C40C66FF867C}">
                  <a14:compatExt spid="_x0000_s122920"/>
                </a:ext>
                <a:ext uri="{FF2B5EF4-FFF2-40B4-BE49-F238E27FC236}">
                  <a16:creationId xmlns:a16="http://schemas.microsoft.com/office/drawing/2014/main" id="{00000000-0008-0000-1A00-00002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2921" name="Button 41" hidden="1">
              <a:extLst>
                <a:ext uri="{63B3BB69-23CF-44E3-9099-C40C66FF867C}">
                  <a14:compatExt spid="_x0000_s122921"/>
                </a:ext>
                <a:ext uri="{FF2B5EF4-FFF2-40B4-BE49-F238E27FC236}">
                  <a16:creationId xmlns:a16="http://schemas.microsoft.com/office/drawing/2014/main" id="{00000000-0008-0000-1A00-00002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122922" name="Button 42" hidden="1">
              <a:extLst>
                <a:ext uri="{63B3BB69-23CF-44E3-9099-C40C66FF867C}">
                  <a14:compatExt spid="_x0000_s122922"/>
                </a:ext>
                <a:ext uri="{FF2B5EF4-FFF2-40B4-BE49-F238E27FC236}">
                  <a16:creationId xmlns:a16="http://schemas.microsoft.com/office/drawing/2014/main" id="{00000000-0008-0000-1A00-00002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2923" name="Button 43" hidden="1">
              <a:extLst>
                <a:ext uri="{63B3BB69-23CF-44E3-9099-C40C66FF867C}">
                  <a14:compatExt spid="_x0000_s122923"/>
                </a:ext>
                <a:ext uri="{FF2B5EF4-FFF2-40B4-BE49-F238E27FC236}">
                  <a16:creationId xmlns:a16="http://schemas.microsoft.com/office/drawing/2014/main" id="{00000000-0008-0000-1A00-00002B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2924" name="Button 44" hidden="1">
              <a:extLst>
                <a:ext uri="{63B3BB69-23CF-44E3-9099-C40C66FF867C}">
                  <a14:compatExt spid="_x0000_s122924"/>
                </a:ext>
                <a:ext uri="{FF2B5EF4-FFF2-40B4-BE49-F238E27FC236}">
                  <a16:creationId xmlns:a16="http://schemas.microsoft.com/office/drawing/2014/main" id="{00000000-0008-0000-1A00-00002C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2925" name="Button 45" hidden="1">
              <a:extLst>
                <a:ext uri="{63B3BB69-23CF-44E3-9099-C40C66FF867C}">
                  <a14:compatExt spid="_x0000_s122925"/>
                </a:ext>
                <a:ext uri="{FF2B5EF4-FFF2-40B4-BE49-F238E27FC236}">
                  <a16:creationId xmlns:a16="http://schemas.microsoft.com/office/drawing/2014/main" id="{00000000-0008-0000-1A00-00002D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122926" name="Button 46" hidden="1">
              <a:extLst>
                <a:ext uri="{63B3BB69-23CF-44E3-9099-C40C66FF867C}">
                  <a14:compatExt spid="_x0000_s122926"/>
                </a:ext>
                <a:ext uri="{FF2B5EF4-FFF2-40B4-BE49-F238E27FC236}">
                  <a16:creationId xmlns:a16="http://schemas.microsoft.com/office/drawing/2014/main" id="{00000000-0008-0000-1A00-00002E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2927" name="Button 47" hidden="1">
              <a:extLst>
                <a:ext uri="{63B3BB69-23CF-44E3-9099-C40C66FF867C}">
                  <a14:compatExt spid="_x0000_s122927"/>
                </a:ext>
                <a:ext uri="{FF2B5EF4-FFF2-40B4-BE49-F238E27FC236}">
                  <a16:creationId xmlns:a16="http://schemas.microsoft.com/office/drawing/2014/main" id="{00000000-0008-0000-1A00-00002F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2928" name="Button 48" hidden="1">
              <a:extLst>
                <a:ext uri="{63B3BB69-23CF-44E3-9099-C40C66FF867C}">
                  <a14:compatExt spid="_x0000_s122928"/>
                </a:ext>
                <a:ext uri="{FF2B5EF4-FFF2-40B4-BE49-F238E27FC236}">
                  <a16:creationId xmlns:a16="http://schemas.microsoft.com/office/drawing/2014/main" id="{00000000-0008-0000-1A00-000030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2929" name="Button 49" hidden="1">
              <a:extLst>
                <a:ext uri="{63B3BB69-23CF-44E3-9099-C40C66FF867C}">
                  <a14:compatExt spid="_x0000_s122929"/>
                </a:ext>
                <a:ext uri="{FF2B5EF4-FFF2-40B4-BE49-F238E27FC236}">
                  <a16:creationId xmlns:a16="http://schemas.microsoft.com/office/drawing/2014/main" id="{00000000-0008-0000-1A00-000031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122930" name="Button 50" hidden="1">
              <a:extLst>
                <a:ext uri="{63B3BB69-23CF-44E3-9099-C40C66FF867C}">
                  <a14:compatExt spid="_x0000_s122930"/>
                </a:ext>
                <a:ext uri="{FF2B5EF4-FFF2-40B4-BE49-F238E27FC236}">
                  <a16:creationId xmlns:a16="http://schemas.microsoft.com/office/drawing/2014/main" id="{00000000-0008-0000-1A00-000032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2931" name="Button 51" hidden="1">
              <a:extLst>
                <a:ext uri="{63B3BB69-23CF-44E3-9099-C40C66FF867C}">
                  <a14:compatExt spid="_x0000_s122931"/>
                </a:ext>
                <a:ext uri="{FF2B5EF4-FFF2-40B4-BE49-F238E27FC236}">
                  <a16:creationId xmlns:a16="http://schemas.microsoft.com/office/drawing/2014/main" id="{00000000-0008-0000-1A00-000033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2932" name="Button 52" hidden="1">
              <a:extLst>
                <a:ext uri="{63B3BB69-23CF-44E3-9099-C40C66FF867C}">
                  <a14:compatExt spid="_x0000_s122932"/>
                </a:ext>
                <a:ext uri="{FF2B5EF4-FFF2-40B4-BE49-F238E27FC236}">
                  <a16:creationId xmlns:a16="http://schemas.microsoft.com/office/drawing/2014/main" id="{00000000-0008-0000-1A00-000034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2933" name="Button 53" hidden="1">
              <a:extLst>
                <a:ext uri="{63B3BB69-23CF-44E3-9099-C40C66FF867C}">
                  <a14:compatExt spid="_x0000_s122933"/>
                </a:ext>
                <a:ext uri="{FF2B5EF4-FFF2-40B4-BE49-F238E27FC236}">
                  <a16:creationId xmlns:a16="http://schemas.microsoft.com/office/drawing/2014/main" id="{00000000-0008-0000-1A00-000035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122934" name="Button 54" hidden="1">
              <a:extLst>
                <a:ext uri="{63B3BB69-23CF-44E3-9099-C40C66FF867C}">
                  <a14:compatExt spid="_x0000_s122934"/>
                </a:ext>
                <a:ext uri="{FF2B5EF4-FFF2-40B4-BE49-F238E27FC236}">
                  <a16:creationId xmlns:a16="http://schemas.microsoft.com/office/drawing/2014/main" id="{00000000-0008-0000-1A00-000036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2935" name="Button 55" hidden="1">
              <a:extLst>
                <a:ext uri="{63B3BB69-23CF-44E3-9099-C40C66FF867C}">
                  <a14:compatExt spid="_x0000_s122935"/>
                </a:ext>
                <a:ext uri="{FF2B5EF4-FFF2-40B4-BE49-F238E27FC236}">
                  <a16:creationId xmlns:a16="http://schemas.microsoft.com/office/drawing/2014/main" id="{00000000-0008-0000-1A00-000037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2936" name="Button 56" hidden="1">
              <a:extLst>
                <a:ext uri="{63B3BB69-23CF-44E3-9099-C40C66FF867C}">
                  <a14:compatExt spid="_x0000_s122936"/>
                </a:ext>
                <a:ext uri="{FF2B5EF4-FFF2-40B4-BE49-F238E27FC236}">
                  <a16:creationId xmlns:a16="http://schemas.microsoft.com/office/drawing/2014/main" id="{00000000-0008-0000-1A00-000038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2937" name="Button 57" hidden="1">
              <a:extLst>
                <a:ext uri="{63B3BB69-23CF-44E3-9099-C40C66FF867C}">
                  <a14:compatExt spid="_x0000_s122937"/>
                </a:ext>
                <a:ext uri="{FF2B5EF4-FFF2-40B4-BE49-F238E27FC236}">
                  <a16:creationId xmlns:a16="http://schemas.microsoft.com/office/drawing/2014/main" id="{00000000-0008-0000-1A00-000039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122938" name="Button 58" hidden="1">
              <a:extLst>
                <a:ext uri="{63B3BB69-23CF-44E3-9099-C40C66FF867C}">
                  <a14:compatExt spid="_x0000_s122938"/>
                </a:ext>
                <a:ext uri="{FF2B5EF4-FFF2-40B4-BE49-F238E27FC236}">
                  <a16:creationId xmlns:a16="http://schemas.microsoft.com/office/drawing/2014/main" id="{00000000-0008-0000-1A00-00003AE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45720</xdr:rowOff>
        </xdr:from>
        <xdr:to>
          <xdr:col>0</xdr:col>
          <xdr:colOff>563880</xdr:colOff>
          <xdr:row>1</xdr:row>
          <xdr:rowOff>38100</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00000000-0008-0000-1B00-00000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411480</xdr:colOff>
          <xdr:row>82</xdr:row>
          <xdr:rowOff>76200</xdr:rowOff>
        </xdr:from>
        <xdr:to>
          <xdr:col>16</xdr:col>
          <xdr:colOff>38100</xdr:colOff>
          <xdr:row>83</xdr:row>
          <xdr:rowOff>144780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00000000-0008-0000-1B00-00000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3971" name="Button 3" hidden="1">
              <a:extLst>
                <a:ext uri="{63B3BB69-23CF-44E3-9099-C40C66FF867C}">
                  <a14:compatExt spid="_x0000_s83971"/>
                </a:ext>
                <a:ext uri="{FF2B5EF4-FFF2-40B4-BE49-F238E27FC236}">
                  <a16:creationId xmlns:a16="http://schemas.microsoft.com/office/drawing/2014/main" id="{00000000-0008-0000-1B00-00000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3972" name="Button 4" hidden="1">
              <a:extLst>
                <a:ext uri="{63B3BB69-23CF-44E3-9099-C40C66FF867C}">
                  <a14:compatExt spid="_x0000_s83972"/>
                </a:ext>
                <a:ext uri="{FF2B5EF4-FFF2-40B4-BE49-F238E27FC236}">
                  <a16:creationId xmlns:a16="http://schemas.microsoft.com/office/drawing/2014/main" id="{00000000-0008-0000-1B00-00000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00000000-0008-0000-1B00-00000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68580</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00000000-0008-0000-1B00-00000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83975" name="Button 7" hidden="1">
              <a:extLst>
                <a:ext uri="{63B3BB69-23CF-44E3-9099-C40C66FF867C}">
                  <a14:compatExt spid="_x0000_s83975"/>
                </a:ext>
                <a:ext uri="{FF2B5EF4-FFF2-40B4-BE49-F238E27FC236}">
                  <a16:creationId xmlns:a16="http://schemas.microsoft.com/office/drawing/2014/main" id="{00000000-0008-0000-1B00-00000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83976" name="Button 8" hidden="1">
              <a:extLst>
                <a:ext uri="{63B3BB69-23CF-44E3-9099-C40C66FF867C}">
                  <a14:compatExt spid="_x0000_s83976"/>
                </a:ext>
                <a:ext uri="{FF2B5EF4-FFF2-40B4-BE49-F238E27FC236}">
                  <a16:creationId xmlns:a16="http://schemas.microsoft.com/office/drawing/2014/main" id="{00000000-0008-0000-1B00-00000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83977" name="Button 9" hidden="1">
              <a:extLst>
                <a:ext uri="{63B3BB69-23CF-44E3-9099-C40C66FF867C}">
                  <a14:compatExt spid="_x0000_s83977"/>
                </a:ext>
                <a:ext uri="{FF2B5EF4-FFF2-40B4-BE49-F238E27FC236}">
                  <a16:creationId xmlns:a16="http://schemas.microsoft.com/office/drawing/2014/main" id="{00000000-0008-0000-1B00-00000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525780</xdr:colOff>
          <xdr:row>0</xdr:row>
          <xdr:rowOff>76200</xdr:rowOff>
        </xdr:from>
        <xdr:to>
          <xdr:col>48</xdr:col>
          <xdr:colOff>426720</xdr:colOff>
          <xdr:row>1</xdr:row>
          <xdr:rowOff>68580</xdr:rowOff>
        </xdr:to>
        <xdr:sp macro="" textlink="">
          <xdr:nvSpPr>
            <xdr:cNvPr id="83978" name="Button 10" hidden="1">
              <a:extLst>
                <a:ext uri="{63B3BB69-23CF-44E3-9099-C40C66FF867C}">
                  <a14:compatExt spid="_x0000_s83978"/>
                </a:ext>
                <a:ext uri="{FF2B5EF4-FFF2-40B4-BE49-F238E27FC236}">
                  <a16:creationId xmlns:a16="http://schemas.microsoft.com/office/drawing/2014/main" id="{00000000-0008-0000-1B00-00000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83979" name="Button 11" hidden="1">
              <a:extLst>
                <a:ext uri="{63B3BB69-23CF-44E3-9099-C40C66FF867C}">
                  <a14:compatExt spid="_x0000_s83979"/>
                </a:ext>
                <a:ext uri="{FF2B5EF4-FFF2-40B4-BE49-F238E27FC236}">
                  <a16:creationId xmlns:a16="http://schemas.microsoft.com/office/drawing/2014/main" id="{00000000-0008-0000-1B00-00000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83980" name="Button 12" hidden="1">
              <a:extLst>
                <a:ext uri="{63B3BB69-23CF-44E3-9099-C40C66FF867C}">
                  <a14:compatExt spid="_x0000_s83980"/>
                </a:ext>
                <a:ext uri="{FF2B5EF4-FFF2-40B4-BE49-F238E27FC236}">
                  <a16:creationId xmlns:a16="http://schemas.microsoft.com/office/drawing/2014/main" id="{00000000-0008-0000-1B00-00000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83981" name="Button 13" hidden="1">
              <a:extLst>
                <a:ext uri="{63B3BB69-23CF-44E3-9099-C40C66FF867C}">
                  <a14:compatExt spid="_x0000_s83981"/>
                </a:ext>
                <a:ext uri="{FF2B5EF4-FFF2-40B4-BE49-F238E27FC236}">
                  <a16:creationId xmlns:a16="http://schemas.microsoft.com/office/drawing/2014/main" id="{00000000-0008-0000-1B00-00000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373380</xdr:colOff>
          <xdr:row>0</xdr:row>
          <xdr:rowOff>76200</xdr:rowOff>
        </xdr:from>
        <xdr:to>
          <xdr:col>64</xdr:col>
          <xdr:colOff>274320</xdr:colOff>
          <xdr:row>1</xdr:row>
          <xdr:rowOff>68580</xdr:rowOff>
        </xdr:to>
        <xdr:sp macro="" textlink="">
          <xdr:nvSpPr>
            <xdr:cNvPr id="83982" name="Button 14" hidden="1">
              <a:extLst>
                <a:ext uri="{63B3BB69-23CF-44E3-9099-C40C66FF867C}">
                  <a14:compatExt spid="_x0000_s83982"/>
                </a:ext>
                <a:ext uri="{FF2B5EF4-FFF2-40B4-BE49-F238E27FC236}">
                  <a16:creationId xmlns:a16="http://schemas.microsoft.com/office/drawing/2014/main" id="{00000000-0008-0000-1B00-00000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83983" name="Button 15" hidden="1">
              <a:extLst>
                <a:ext uri="{63B3BB69-23CF-44E3-9099-C40C66FF867C}">
                  <a14:compatExt spid="_x0000_s83983"/>
                </a:ext>
                <a:ext uri="{FF2B5EF4-FFF2-40B4-BE49-F238E27FC236}">
                  <a16:creationId xmlns:a16="http://schemas.microsoft.com/office/drawing/2014/main" id="{00000000-0008-0000-1B00-00000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83984" name="Button 16" hidden="1">
              <a:extLst>
                <a:ext uri="{63B3BB69-23CF-44E3-9099-C40C66FF867C}">
                  <a14:compatExt spid="_x0000_s83984"/>
                </a:ext>
                <a:ext uri="{FF2B5EF4-FFF2-40B4-BE49-F238E27FC236}">
                  <a16:creationId xmlns:a16="http://schemas.microsoft.com/office/drawing/2014/main" id="{00000000-0008-0000-1B00-00001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83985" name="Button 17" hidden="1">
              <a:extLst>
                <a:ext uri="{63B3BB69-23CF-44E3-9099-C40C66FF867C}">
                  <a14:compatExt spid="_x0000_s83985"/>
                </a:ext>
                <a:ext uri="{FF2B5EF4-FFF2-40B4-BE49-F238E27FC236}">
                  <a16:creationId xmlns:a16="http://schemas.microsoft.com/office/drawing/2014/main" id="{00000000-0008-0000-1B00-00001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0</xdr:row>
          <xdr:rowOff>76200</xdr:rowOff>
        </xdr:from>
        <xdr:to>
          <xdr:col>80</xdr:col>
          <xdr:colOff>121920</xdr:colOff>
          <xdr:row>1</xdr:row>
          <xdr:rowOff>68580</xdr:rowOff>
        </xdr:to>
        <xdr:sp macro="" textlink="">
          <xdr:nvSpPr>
            <xdr:cNvPr id="83986" name="Button 18" hidden="1">
              <a:extLst>
                <a:ext uri="{63B3BB69-23CF-44E3-9099-C40C66FF867C}">
                  <a14:compatExt spid="_x0000_s83986"/>
                </a:ext>
                <a:ext uri="{FF2B5EF4-FFF2-40B4-BE49-F238E27FC236}">
                  <a16:creationId xmlns:a16="http://schemas.microsoft.com/office/drawing/2014/main" id="{00000000-0008-0000-1B00-00001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83987" name="Button 19" hidden="1">
              <a:extLst>
                <a:ext uri="{63B3BB69-23CF-44E3-9099-C40C66FF867C}">
                  <a14:compatExt spid="_x0000_s83987"/>
                </a:ext>
                <a:ext uri="{FF2B5EF4-FFF2-40B4-BE49-F238E27FC236}">
                  <a16:creationId xmlns:a16="http://schemas.microsoft.com/office/drawing/2014/main" id="{00000000-0008-0000-1B00-00001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83988" name="Button 20" hidden="1">
              <a:extLst>
                <a:ext uri="{63B3BB69-23CF-44E3-9099-C40C66FF867C}">
                  <a14:compatExt spid="_x0000_s83988"/>
                </a:ext>
                <a:ext uri="{FF2B5EF4-FFF2-40B4-BE49-F238E27FC236}">
                  <a16:creationId xmlns:a16="http://schemas.microsoft.com/office/drawing/2014/main" id="{00000000-0008-0000-1B00-00001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83989" name="Button 21" hidden="1">
              <a:extLst>
                <a:ext uri="{63B3BB69-23CF-44E3-9099-C40C66FF867C}">
                  <a14:compatExt spid="_x0000_s83989"/>
                </a:ext>
                <a:ext uri="{FF2B5EF4-FFF2-40B4-BE49-F238E27FC236}">
                  <a16:creationId xmlns:a16="http://schemas.microsoft.com/office/drawing/2014/main" id="{00000000-0008-0000-1B00-00001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68580</xdr:colOff>
          <xdr:row>0</xdr:row>
          <xdr:rowOff>76200</xdr:rowOff>
        </xdr:from>
        <xdr:to>
          <xdr:col>95</xdr:col>
          <xdr:colOff>579120</xdr:colOff>
          <xdr:row>1</xdr:row>
          <xdr:rowOff>68580</xdr:rowOff>
        </xdr:to>
        <xdr:sp macro="" textlink="">
          <xdr:nvSpPr>
            <xdr:cNvPr id="83990" name="Button 22" hidden="1">
              <a:extLst>
                <a:ext uri="{63B3BB69-23CF-44E3-9099-C40C66FF867C}">
                  <a14:compatExt spid="_x0000_s83990"/>
                </a:ext>
                <a:ext uri="{FF2B5EF4-FFF2-40B4-BE49-F238E27FC236}">
                  <a16:creationId xmlns:a16="http://schemas.microsoft.com/office/drawing/2014/main" id="{00000000-0008-0000-1B00-00001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83991" name="Button 23" hidden="1">
              <a:extLst>
                <a:ext uri="{63B3BB69-23CF-44E3-9099-C40C66FF867C}">
                  <a14:compatExt spid="_x0000_s83991"/>
                </a:ext>
                <a:ext uri="{FF2B5EF4-FFF2-40B4-BE49-F238E27FC236}">
                  <a16:creationId xmlns:a16="http://schemas.microsoft.com/office/drawing/2014/main" id="{00000000-0008-0000-1B00-00001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83992" name="Button 24" hidden="1">
              <a:extLst>
                <a:ext uri="{63B3BB69-23CF-44E3-9099-C40C66FF867C}">
                  <a14:compatExt spid="_x0000_s83992"/>
                </a:ext>
                <a:ext uri="{FF2B5EF4-FFF2-40B4-BE49-F238E27FC236}">
                  <a16:creationId xmlns:a16="http://schemas.microsoft.com/office/drawing/2014/main" id="{00000000-0008-0000-1B00-00001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83993" name="Button 25" hidden="1">
              <a:extLst>
                <a:ext uri="{63B3BB69-23CF-44E3-9099-C40C66FF867C}">
                  <a14:compatExt spid="_x0000_s83993"/>
                </a:ext>
                <a:ext uri="{FF2B5EF4-FFF2-40B4-BE49-F238E27FC236}">
                  <a16:creationId xmlns:a16="http://schemas.microsoft.com/office/drawing/2014/main" id="{00000000-0008-0000-1B00-00001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525780</xdr:colOff>
          <xdr:row>0</xdr:row>
          <xdr:rowOff>76200</xdr:rowOff>
        </xdr:from>
        <xdr:to>
          <xdr:col>111</xdr:col>
          <xdr:colOff>426720</xdr:colOff>
          <xdr:row>1</xdr:row>
          <xdr:rowOff>68580</xdr:rowOff>
        </xdr:to>
        <xdr:sp macro="" textlink="">
          <xdr:nvSpPr>
            <xdr:cNvPr id="83994" name="Button 26" hidden="1">
              <a:extLst>
                <a:ext uri="{63B3BB69-23CF-44E3-9099-C40C66FF867C}">
                  <a14:compatExt spid="_x0000_s83994"/>
                </a:ext>
                <a:ext uri="{FF2B5EF4-FFF2-40B4-BE49-F238E27FC236}">
                  <a16:creationId xmlns:a16="http://schemas.microsoft.com/office/drawing/2014/main" id="{00000000-0008-0000-1B00-00001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83995" name="Button 27" hidden="1">
              <a:extLst>
                <a:ext uri="{63B3BB69-23CF-44E3-9099-C40C66FF867C}">
                  <a14:compatExt spid="_x0000_s83995"/>
                </a:ext>
                <a:ext uri="{FF2B5EF4-FFF2-40B4-BE49-F238E27FC236}">
                  <a16:creationId xmlns:a16="http://schemas.microsoft.com/office/drawing/2014/main" id="{00000000-0008-0000-1B00-00001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83996" name="Button 28" hidden="1">
              <a:extLst>
                <a:ext uri="{63B3BB69-23CF-44E3-9099-C40C66FF867C}">
                  <a14:compatExt spid="_x0000_s83996"/>
                </a:ext>
                <a:ext uri="{FF2B5EF4-FFF2-40B4-BE49-F238E27FC236}">
                  <a16:creationId xmlns:a16="http://schemas.microsoft.com/office/drawing/2014/main" id="{00000000-0008-0000-1B00-00001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83997" name="Button 29" hidden="1">
              <a:extLst>
                <a:ext uri="{63B3BB69-23CF-44E3-9099-C40C66FF867C}">
                  <a14:compatExt spid="_x0000_s83997"/>
                </a:ext>
                <a:ext uri="{FF2B5EF4-FFF2-40B4-BE49-F238E27FC236}">
                  <a16:creationId xmlns:a16="http://schemas.microsoft.com/office/drawing/2014/main" id="{00000000-0008-0000-1B00-00001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381000</xdr:colOff>
          <xdr:row>0</xdr:row>
          <xdr:rowOff>76200</xdr:rowOff>
        </xdr:from>
        <xdr:to>
          <xdr:col>127</xdr:col>
          <xdr:colOff>274320</xdr:colOff>
          <xdr:row>1</xdr:row>
          <xdr:rowOff>68580</xdr:rowOff>
        </xdr:to>
        <xdr:sp macro="" textlink="">
          <xdr:nvSpPr>
            <xdr:cNvPr id="83998" name="Button 30" hidden="1">
              <a:extLst>
                <a:ext uri="{63B3BB69-23CF-44E3-9099-C40C66FF867C}">
                  <a14:compatExt spid="_x0000_s83998"/>
                </a:ext>
                <a:ext uri="{FF2B5EF4-FFF2-40B4-BE49-F238E27FC236}">
                  <a16:creationId xmlns:a16="http://schemas.microsoft.com/office/drawing/2014/main" id="{00000000-0008-0000-1B00-00001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83999" name="Button 31" hidden="1">
              <a:extLst>
                <a:ext uri="{63B3BB69-23CF-44E3-9099-C40C66FF867C}">
                  <a14:compatExt spid="_x0000_s83999"/>
                </a:ext>
                <a:ext uri="{FF2B5EF4-FFF2-40B4-BE49-F238E27FC236}">
                  <a16:creationId xmlns:a16="http://schemas.microsoft.com/office/drawing/2014/main" id="{00000000-0008-0000-1B00-00001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84000" name="Button 32" hidden="1">
              <a:extLst>
                <a:ext uri="{63B3BB69-23CF-44E3-9099-C40C66FF867C}">
                  <a14:compatExt spid="_x0000_s84000"/>
                </a:ext>
                <a:ext uri="{FF2B5EF4-FFF2-40B4-BE49-F238E27FC236}">
                  <a16:creationId xmlns:a16="http://schemas.microsoft.com/office/drawing/2014/main" id="{00000000-0008-0000-1B00-00002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84001" name="Button 33" hidden="1">
              <a:extLst>
                <a:ext uri="{63B3BB69-23CF-44E3-9099-C40C66FF867C}">
                  <a14:compatExt spid="_x0000_s84001"/>
                </a:ext>
                <a:ext uri="{FF2B5EF4-FFF2-40B4-BE49-F238E27FC236}">
                  <a16:creationId xmlns:a16="http://schemas.microsoft.com/office/drawing/2014/main" id="{00000000-0008-0000-1B00-00002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228600</xdr:colOff>
          <xdr:row>0</xdr:row>
          <xdr:rowOff>76200</xdr:rowOff>
        </xdr:from>
        <xdr:to>
          <xdr:col>143</xdr:col>
          <xdr:colOff>121920</xdr:colOff>
          <xdr:row>1</xdr:row>
          <xdr:rowOff>68580</xdr:rowOff>
        </xdr:to>
        <xdr:sp macro="" textlink="">
          <xdr:nvSpPr>
            <xdr:cNvPr id="84002" name="Button 34" hidden="1">
              <a:extLst>
                <a:ext uri="{63B3BB69-23CF-44E3-9099-C40C66FF867C}">
                  <a14:compatExt spid="_x0000_s84002"/>
                </a:ext>
                <a:ext uri="{FF2B5EF4-FFF2-40B4-BE49-F238E27FC236}">
                  <a16:creationId xmlns:a16="http://schemas.microsoft.com/office/drawing/2014/main" id="{00000000-0008-0000-1B00-00002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84003" name="Button 35" hidden="1">
              <a:extLst>
                <a:ext uri="{63B3BB69-23CF-44E3-9099-C40C66FF867C}">
                  <a14:compatExt spid="_x0000_s84003"/>
                </a:ext>
                <a:ext uri="{FF2B5EF4-FFF2-40B4-BE49-F238E27FC236}">
                  <a16:creationId xmlns:a16="http://schemas.microsoft.com/office/drawing/2014/main" id="{00000000-0008-0000-1B00-00002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84004" name="Button 36" hidden="1">
              <a:extLst>
                <a:ext uri="{63B3BB69-23CF-44E3-9099-C40C66FF867C}">
                  <a14:compatExt spid="_x0000_s84004"/>
                </a:ext>
                <a:ext uri="{FF2B5EF4-FFF2-40B4-BE49-F238E27FC236}">
                  <a16:creationId xmlns:a16="http://schemas.microsoft.com/office/drawing/2014/main" id="{00000000-0008-0000-1B00-00002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84005" name="Button 37" hidden="1">
              <a:extLst>
                <a:ext uri="{63B3BB69-23CF-44E3-9099-C40C66FF867C}">
                  <a14:compatExt spid="_x0000_s84005"/>
                </a:ext>
                <a:ext uri="{FF2B5EF4-FFF2-40B4-BE49-F238E27FC236}">
                  <a16:creationId xmlns:a16="http://schemas.microsoft.com/office/drawing/2014/main" id="{00000000-0008-0000-1B00-00002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76200</xdr:colOff>
          <xdr:row>0</xdr:row>
          <xdr:rowOff>76200</xdr:rowOff>
        </xdr:from>
        <xdr:to>
          <xdr:col>158</xdr:col>
          <xdr:colOff>579120</xdr:colOff>
          <xdr:row>1</xdr:row>
          <xdr:rowOff>68580</xdr:rowOff>
        </xdr:to>
        <xdr:sp macro="" textlink="">
          <xdr:nvSpPr>
            <xdr:cNvPr id="84006" name="Button 38" hidden="1">
              <a:extLst>
                <a:ext uri="{63B3BB69-23CF-44E3-9099-C40C66FF867C}">
                  <a14:compatExt spid="_x0000_s84006"/>
                </a:ext>
                <a:ext uri="{FF2B5EF4-FFF2-40B4-BE49-F238E27FC236}">
                  <a16:creationId xmlns:a16="http://schemas.microsoft.com/office/drawing/2014/main" id="{00000000-0008-0000-1B00-00002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84007" name="Button 39" hidden="1">
              <a:extLst>
                <a:ext uri="{63B3BB69-23CF-44E3-9099-C40C66FF867C}">
                  <a14:compatExt spid="_x0000_s84007"/>
                </a:ext>
                <a:ext uri="{FF2B5EF4-FFF2-40B4-BE49-F238E27FC236}">
                  <a16:creationId xmlns:a16="http://schemas.microsoft.com/office/drawing/2014/main" id="{00000000-0008-0000-1B00-00002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84008" name="Button 40" hidden="1">
              <a:extLst>
                <a:ext uri="{63B3BB69-23CF-44E3-9099-C40C66FF867C}">
                  <a14:compatExt spid="_x0000_s84008"/>
                </a:ext>
                <a:ext uri="{FF2B5EF4-FFF2-40B4-BE49-F238E27FC236}">
                  <a16:creationId xmlns:a16="http://schemas.microsoft.com/office/drawing/2014/main" id="{00000000-0008-0000-1B00-00002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84009" name="Button 41" hidden="1">
              <a:extLst>
                <a:ext uri="{63B3BB69-23CF-44E3-9099-C40C66FF867C}">
                  <a14:compatExt spid="_x0000_s84009"/>
                </a:ext>
                <a:ext uri="{FF2B5EF4-FFF2-40B4-BE49-F238E27FC236}">
                  <a16:creationId xmlns:a16="http://schemas.microsoft.com/office/drawing/2014/main" id="{00000000-0008-0000-1B00-00002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541020</xdr:colOff>
          <xdr:row>0</xdr:row>
          <xdr:rowOff>76200</xdr:rowOff>
        </xdr:from>
        <xdr:to>
          <xdr:col>174</xdr:col>
          <xdr:colOff>426720</xdr:colOff>
          <xdr:row>1</xdr:row>
          <xdr:rowOff>68580</xdr:rowOff>
        </xdr:to>
        <xdr:sp macro="" textlink="">
          <xdr:nvSpPr>
            <xdr:cNvPr id="84010" name="Button 42" hidden="1">
              <a:extLst>
                <a:ext uri="{63B3BB69-23CF-44E3-9099-C40C66FF867C}">
                  <a14:compatExt spid="_x0000_s84010"/>
                </a:ext>
                <a:ext uri="{FF2B5EF4-FFF2-40B4-BE49-F238E27FC236}">
                  <a16:creationId xmlns:a16="http://schemas.microsoft.com/office/drawing/2014/main" id="{00000000-0008-0000-1B00-00002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84011" name="Button 43" hidden="1">
              <a:extLst>
                <a:ext uri="{63B3BB69-23CF-44E3-9099-C40C66FF867C}">
                  <a14:compatExt spid="_x0000_s84011"/>
                </a:ext>
                <a:ext uri="{FF2B5EF4-FFF2-40B4-BE49-F238E27FC236}">
                  <a16:creationId xmlns:a16="http://schemas.microsoft.com/office/drawing/2014/main" id="{00000000-0008-0000-1B00-00002B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84012" name="Button 44" hidden="1">
              <a:extLst>
                <a:ext uri="{63B3BB69-23CF-44E3-9099-C40C66FF867C}">
                  <a14:compatExt spid="_x0000_s84012"/>
                </a:ext>
                <a:ext uri="{FF2B5EF4-FFF2-40B4-BE49-F238E27FC236}">
                  <a16:creationId xmlns:a16="http://schemas.microsoft.com/office/drawing/2014/main" id="{00000000-0008-0000-1B00-00002C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84013" name="Button 45" hidden="1">
              <a:extLst>
                <a:ext uri="{63B3BB69-23CF-44E3-9099-C40C66FF867C}">
                  <a14:compatExt spid="_x0000_s84013"/>
                </a:ext>
                <a:ext uri="{FF2B5EF4-FFF2-40B4-BE49-F238E27FC236}">
                  <a16:creationId xmlns:a16="http://schemas.microsoft.com/office/drawing/2014/main" id="{00000000-0008-0000-1B00-00002D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388620</xdr:colOff>
          <xdr:row>0</xdr:row>
          <xdr:rowOff>76200</xdr:rowOff>
        </xdr:from>
        <xdr:to>
          <xdr:col>190</xdr:col>
          <xdr:colOff>274320</xdr:colOff>
          <xdr:row>1</xdr:row>
          <xdr:rowOff>68580</xdr:rowOff>
        </xdr:to>
        <xdr:sp macro="" textlink="">
          <xdr:nvSpPr>
            <xdr:cNvPr id="84014" name="Button 46" hidden="1">
              <a:extLst>
                <a:ext uri="{63B3BB69-23CF-44E3-9099-C40C66FF867C}">
                  <a14:compatExt spid="_x0000_s84014"/>
                </a:ext>
                <a:ext uri="{FF2B5EF4-FFF2-40B4-BE49-F238E27FC236}">
                  <a16:creationId xmlns:a16="http://schemas.microsoft.com/office/drawing/2014/main" id="{00000000-0008-0000-1B00-00002E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84015" name="Button 47" hidden="1">
              <a:extLst>
                <a:ext uri="{63B3BB69-23CF-44E3-9099-C40C66FF867C}">
                  <a14:compatExt spid="_x0000_s84015"/>
                </a:ext>
                <a:ext uri="{FF2B5EF4-FFF2-40B4-BE49-F238E27FC236}">
                  <a16:creationId xmlns:a16="http://schemas.microsoft.com/office/drawing/2014/main" id="{00000000-0008-0000-1B00-00002F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84016" name="Button 48" hidden="1">
              <a:extLst>
                <a:ext uri="{63B3BB69-23CF-44E3-9099-C40C66FF867C}">
                  <a14:compatExt spid="_x0000_s84016"/>
                </a:ext>
                <a:ext uri="{FF2B5EF4-FFF2-40B4-BE49-F238E27FC236}">
                  <a16:creationId xmlns:a16="http://schemas.microsoft.com/office/drawing/2014/main" id="{00000000-0008-0000-1B00-000030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84017" name="Button 49" hidden="1">
              <a:extLst>
                <a:ext uri="{63B3BB69-23CF-44E3-9099-C40C66FF867C}">
                  <a14:compatExt spid="_x0000_s84017"/>
                </a:ext>
                <a:ext uri="{FF2B5EF4-FFF2-40B4-BE49-F238E27FC236}">
                  <a16:creationId xmlns:a16="http://schemas.microsoft.com/office/drawing/2014/main" id="{00000000-0008-0000-1B00-000031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236220</xdr:colOff>
          <xdr:row>0</xdr:row>
          <xdr:rowOff>76200</xdr:rowOff>
        </xdr:from>
        <xdr:to>
          <xdr:col>206</xdr:col>
          <xdr:colOff>144780</xdr:colOff>
          <xdr:row>1</xdr:row>
          <xdr:rowOff>68580</xdr:rowOff>
        </xdr:to>
        <xdr:sp macro="" textlink="">
          <xdr:nvSpPr>
            <xdr:cNvPr id="84018" name="Button 50" hidden="1">
              <a:extLst>
                <a:ext uri="{63B3BB69-23CF-44E3-9099-C40C66FF867C}">
                  <a14:compatExt spid="_x0000_s84018"/>
                </a:ext>
                <a:ext uri="{FF2B5EF4-FFF2-40B4-BE49-F238E27FC236}">
                  <a16:creationId xmlns:a16="http://schemas.microsoft.com/office/drawing/2014/main" id="{00000000-0008-0000-1B00-000032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84019" name="Button 51" hidden="1">
              <a:extLst>
                <a:ext uri="{63B3BB69-23CF-44E3-9099-C40C66FF867C}">
                  <a14:compatExt spid="_x0000_s84019"/>
                </a:ext>
                <a:ext uri="{FF2B5EF4-FFF2-40B4-BE49-F238E27FC236}">
                  <a16:creationId xmlns:a16="http://schemas.microsoft.com/office/drawing/2014/main" id="{00000000-0008-0000-1B00-000033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84020" name="Button 52" hidden="1">
              <a:extLst>
                <a:ext uri="{63B3BB69-23CF-44E3-9099-C40C66FF867C}">
                  <a14:compatExt spid="_x0000_s84020"/>
                </a:ext>
                <a:ext uri="{FF2B5EF4-FFF2-40B4-BE49-F238E27FC236}">
                  <a16:creationId xmlns:a16="http://schemas.microsoft.com/office/drawing/2014/main" id="{00000000-0008-0000-1B00-000034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84021" name="Button 53" hidden="1">
              <a:extLst>
                <a:ext uri="{63B3BB69-23CF-44E3-9099-C40C66FF867C}">
                  <a14:compatExt spid="_x0000_s84021"/>
                </a:ext>
                <a:ext uri="{FF2B5EF4-FFF2-40B4-BE49-F238E27FC236}">
                  <a16:creationId xmlns:a16="http://schemas.microsoft.com/office/drawing/2014/main" id="{00000000-0008-0000-1B00-000035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83820</xdr:colOff>
          <xdr:row>0</xdr:row>
          <xdr:rowOff>76200</xdr:rowOff>
        </xdr:from>
        <xdr:to>
          <xdr:col>221</xdr:col>
          <xdr:colOff>601980</xdr:colOff>
          <xdr:row>1</xdr:row>
          <xdr:rowOff>68580</xdr:rowOff>
        </xdr:to>
        <xdr:sp macro="" textlink="">
          <xdr:nvSpPr>
            <xdr:cNvPr id="84022" name="Button 54" hidden="1">
              <a:extLst>
                <a:ext uri="{63B3BB69-23CF-44E3-9099-C40C66FF867C}">
                  <a14:compatExt spid="_x0000_s84022"/>
                </a:ext>
                <a:ext uri="{FF2B5EF4-FFF2-40B4-BE49-F238E27FC236}">
                  <a16:creationId xmlns:a16="http://schemas.microsoft.com/office/drawing/2014/main" id="{00000000-0008-0000-1B00-000036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84023" name="Button 55" hidden="1">
              <a:extLst>
                <a:ext uri="{63B3BB69-23CF-44E3-9099-C40C66FF867C}">
                  <a14:compatExt spid="_x0000_s84023"/>
                </a:ext>
                <a:ext uri="{FF2B5EF4-FFF2-40B4-BE49-F238E27FC236}">
                  <a16:creationId xmlns:a16="http://schemas.microsoft.com/office/drawing/2014/main" id="{00000000-0008-0000-1B00-000037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84024" name="Button 56" hidden="1">
              <a:extLst>
                <a:ext uri="{63B3BB69-23CF-44E3-9099-C40C66FF867C}">
                  <a14:compatExt spid="_x0000_s84024"/>
                </a:ext>
                <a:ext uri="{FF2B5EF4-FFF2-40B4-BE49-F238E27FC236}">
                  <a16:creationId xmlns:a16="http://schemas.microsoft.com/office/drawing/2014/main" id="{00000000-0008-0000-1B00-000038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84025" name="Button 57" hidden="1">
              <a:extLst>
                <a:ext uri="{63B3BB69-23CF-44E3-9099-C40C66FF867C}">
                  <a14:compatExt spid="_x0000_s84025"/>
                </a:ext>
                <a:ext uri="{FF2B5EF4-FFF2-40B4-BE49-F238E27FC236}">
                  <a16:creationId xmlns:a16="http://schemas.microsoft.com/office/drawing/2014/main" id="{00000000-0008-0000-1B00-000039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541020</xdr:colOff>
          <xdr:row>0</xdr:row>
          <xdr:rowOff>76200</xdr:rowOff>
        </xdr:from>
        <xdr:to>
          <xdr:col>237</xdr:col>
          <xdr:colOff>449580</xdr:colOff>
          <xdr:row>1</xdr:row>
          <xdr:rowOff>68580</xdr:rowOff>
        </xdr:to>
        <xdr:sp macro="" textlink="">
          <xdr:nvSpPr>
            <xdr:cNvPr id="84026" name="Button 58" hidden="1">
              <a:extLst>
                <a:ext uri="{63B3BB69-23CF-44E3-9099-C40C66FF867C}">
                  <a14:compatExt spid="_x0000_s84026"/>
                </a:ext>
                <a:ext uri="{FF2B5EF4-FFF2-40B4-BE49-F238E27FC236}">
                  <a16:creationId xmlns:a16="http://schemas.microsoft.com/office/drawing/2014/main" id="{00000000-0008-0000-1B00-00003A4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1</xdr:row>
          <xdr:rowOff>83820</xdr:rowOff>
        </xdr:to>
        <xdr:sp macro="" textlink="">
          <xdr:nvSpPr>
            <xdr:cNvPr id="165889" name="Button 1" hidden="1">
              <a:extLst>
                <a:ext uri="{63B3BB69-23CF-44E3-9099-C40C66FF867C}">
                  <a14:compatExt spid="_x0000_s165889"/>
                </a:ext>
                <a:ext uri="{FF2B5EF4-FFF2-40B4-BE49-F238E27FC236}">
                  <a16:creationId xmlns:a16="http://schemas.microsoft.com/office/drawing/2014/main" id="{00000000-0008-0000-1C00-000001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65890" name="Button 2" hidden="1">
              <a:extLst>
                <a:ext uri="{63B3BB69-23CF-44E3-9099-C40C66FF867C}">
                  <a14:compatExt spid="_x0000_s165890"/>
                </a:ext>
                <a:ext uri="{FF2B5EF4-FFF2-40B4-BE49-F238E27FC236}">
                  <a16:creationId xmlns:a16="http://schemas.microsoft.com/office/drawing/2014/main" id="{00000000-0008-0000-1C00-000002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65891" name="Button 3" hidden="1">
              <a:extLst>
                <a:ext uri="{63B3BB69-23CF-44E3-9099-C40C66FF867C}">
                  <a14:compatExt spid="_x0000_s165891"/>
                </a:ext>
                <a:ext uri="{FF2B5EF4-FFF2-40B4-BE49-F238E27FC236}">
                  <a16:creationId xmlns:a16="http://schemas.microsoft.com/office/drawing/2014/main" id="{00000000-0008-0000-1C00-000003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65892" name="Button 4" hidden="1">
              <a:extLst>
                <a:ext uri="{63B3BB69-23CF-44E3-9099-C40C66FF867C}">
                  <a14:compatExt spid="_x0000_s165892"/>
                </a:ext>
                <a:ext uri="{FF2B5EF4-FFF2-40B4-BE49-F238E27FC236}">
                  <a16:creationId xmlns:a16="http://schemas.microsoft.com/office/drawing/2014/main" id="{00000000-0008-0000-1C00-000004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65893" name="Button 5" hidden="1">
              <a:extLst>
                <a:ext uri="{63B3BB69-23CF-44E3-9099-C40C66FF867C}">
                  <a14:compatExt spid="_x0000_s165893"/>
                </a:ext>
                <a:ext uri="{FF2B5EF4-FFF2-40B4-BE49-F238E27FC236}">
                  <a16:creationId xmlns:a16="http://schemas.microsoft.com/office/drawing/2014/main" id="{00000000-0008-0000-1C00-000005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1</xdr:row>
          <xdr:rowOff>152400</xdr:rowOff>
        </xdr:to>
        <xdr:sp macro="" textlink="">
          <xdr:nvSpPr>
            <xdr:cNvPr id="165894" name="Button 6" hidden="1">
              <a:extLst>
                <a:ext uri="{63B3BB69-23CF-44E3-9099-C40C66FF867C}">
                  <a14:compatExt spid="_x0000_s165894"/>
                </a:ext>
                <a:ext uri="{FF2B5EF4-FFF2-40B4-BE49-F238E27FC236}">
                  <a16:creationId xmlns:a16="http://schemas.microsoft.com/office/drawing/2014/main" id="{00000000-0008-0000-1C00-00000688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2</xdr:row>
          <xdr:rowOff>30480</xdr:rowOff>
        </xdr:to>
        <xdr:sp macro="" textlink="">
          <xdr:nvSpPr>
            <xdr:cNvPr id="166913" name="Button 1" hidden="1">
              <a:extLst>
                <a:ext uri="{63B3BB69-23CF-44E3-9099-C40C66FF867C}">
                  <a14:compatExt spid="_x0000_s166913"/>
                </a:ext>
                <a:ext uri="{FF2B5EF4-FFF2-40B4-BE49-F238E27FC236}">
                  <a16:creationId xmlns:a16="http://schemas.microsoft.com/office/drawing/2014/main" id="{00000000-0008-0000-1D00-000001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66914" name="Button 2" hidden="1">
              <a:extLst>
                <a:ext uri="{63B3BB69-23CF-44E3-9099-C40C66FF867C}">
                  <a14:compatExt spid="_x0000_s166914"/>
                </a:ext>
                <a:ext uri="{FF2B5EF4-FFF2-40B4-BE49-F238E27FC236}">
                  <a16:creationId xmlns:a16="http://schemas.microsoft.com/office/drawing/2014/main" id="{00000000-0008-0000-1D00-000002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66915" name="Button 3" hidden="1">
              <a:extLst>
                <a:ext uri="{63B3BB69-23CF-44E3-9099-C40C66FF867C}">
                  <a14:compatExt spid="_x0000_s166915"/>
                </a:ext>
                <a:ext uri="{FF2B5EF4-FFF2-40B4-BE49-F238E27FC236}">
                  <a16:creationId xmlns:a16="http://schemas.microsoft.com/office/drawing/2014/main" id="{00000000-0008-0000-1D00-000003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66916" name="Button 4" hidden="1">
              <a:extLst>
                <a:ext uri="{63B3BB69-23CF-44E3-9099-C40C66FF867C}">
                  <a14:compatExt spid="_x0000_s166916"/>
                </a:ext>
                <a:ext uri="{FF2B5EF4-FFF2-40B4-BE49-F238E27FC236}">
                  <a16:creationId xmlns:a16="http://schemas.microsoft.com/office/drawing/2014/main" id="{00000000-0008-0000-1D00-000004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66917" name="Button 5" hidden="1">
              <a:extLst>
                <a:ext uri="{63B3BB69-23CF-44E3-9099-C40C66FF867C}">
                  <a14:compatExt spid="_x0000_s166917"/>
                </a:ext>
                <a:ext uri="{FF2B5EF4-FFF2-40B4-BE49-F238E27FC236}">
                  <a16:creationId xmlns:a16="http://schemas.microsoft.com/office/drawing/2014/main" id="{00000000-0008-0000-1D00-000005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2</xdr:row>
          <xdr:rowOff>83820</xdr:rowOff>
        </xdr:to>
        <xdr:sp macro="" textlink="">
          <xdr:nvSpPr>
            <xdr:cNvPr id="166918" name="Button 6" hidden="1">
              <a:extLst>
                <a:ext uri="{63B3BB69-23CF-44E3-9099-C40C66FF867C}">
                  <a14:compatExt spid="_x0000_s166918"/>
                </a:ext>
                <a:ext uri="{FF2B5EF4-FFF2-40B4-BE49-F238E27FC236}">
                  <a16:creationId xmlns:a16="http://schemas.microsoft.com/office/drawing/2014/main" id="{00000000-0008-0000-1D00-0000068C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68580</xdr:colOff>
          <xdr:row>0</xdr:row>
          <xdr:rowOff>38100</xdr:rowOff>
        </xdr:from>
        <xdr:to>
          <xdr:col>0</xdr:col>
          <xdr:colOff>571500</xdr:colOff>
          <xdr:row>3</xdr:row>
          <xdr:rowOff>45720</xdr:rowOff>
        </xdr:to>
        <xdr:sp macro="" textlink="">
          <xdr:nvSpPr>
            <xdr:cNvPr id="167937" name="Button 1" hidden="1">
              <a:extLst>
                <a:ext uri="{63B3BB69-23CF-44E3-9099-C40C66FF867C}">
                  <a14:compatExt spid="_x0000_s167937"/>
                </a:ext>
                <a:ext uri="{FF2B5EF4-FFF2-40B4-BE49-F238E27FC236}">
                  <a16:creationId xmlns:a16="http://schemas.microsoft.com/office/drawing/2014/main" id="{00000000-0008-0000-1E00-000001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297180</xdr:colOff>
          <xdr:row>73</xdr:row>
          <xdr:rowOff>76200</xdr:rowOff>
        </xdr:from>
        <xdr:to>
          <xdr:col>15</xdr:col>
          <xdr:colOff>807720</xdr:colOff>
          <xdr:row>74</xdr:row>
          <xdr:rowOff>152400</xdr:rowOff>
        </xdr:to>
        <xdr:sp macro="" textlink="">
          <xdr:nvSpPr>
            <xdr:cNvPr id="167938" name="Button 2" hidden="1">
              <a:extLst>
                <a:ext uri="{63B3BB69-23CF-44E3-9099-C40C66FF867C}">
                  <a14:compatExt spid="_x0000_s167938"/>
                </a:ext>
                <a:ext uri="{FF2B5EF4-FFF2-40B4-BE49-F238E27FC236}">
                  <a16:creationId xmlns:a16="http://schemas.microsoft.com/office/drawing/2014/main" id="{00000000-0008-0000-1E00-000002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67939" name="Button 3" hidden="1">
              <a:extLst>
                <a:ext uri="{63B3BB69-23CF-44E3-9099-C40C66FF867C}">
                  <a14:compatExt spid="_x0000_s167939"/>
                </a:ext>
                <a:ext uri="{FF2B5EF4-FFF2-40B4-BE49-F238E27FC236}">
                  <a16:creationId xmlns:a16="http://schemas.microsoft.com/office/drawing/2014/main" id="{00000000-0008-0000-1E00-000003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67940" name="Button 4" hidden="1">
              <a:extLst>
                <a:ext uri="{63B3BB69-23CF-44E3-9099-C40C66FF867C}">
                  <a14:compatExt spid="_x0000_s167940"/>
                </a:ext>
                <a:ext uri="{FF2B5EF4-FFF2-40B4-BE49-F238E27FC236}">
                  <a16:creationId xmlns:a16="http://schemas.microsoft.com/office/drawing/2014/main" id="{00000000-0008-0000-1E00-000004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67941" name="Button 5" hidden="1">
              <a:extLst>
                <a:ext uri="{63B3BB69-23CF-44E3-9099-C40C66FF867C}">
                  <a14:compatExt spid="_x0000_s167941"/>
                </a:ext>
                <a:ext uri="{FF2B5EF4-FFF2-40B4-BE49-F238E27FC236}">
                  <a16:creationId xmlns:a16="http://schemas.microsoft.com/office/drawing/2014/main" id="{00000000-0008-0000-1E00-000005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0</xdr:row>
          <xdr:rowOff>76200</xdr:rowOff>
        </xdr:from>
        <xdr:to>
          <xdr:col>0</xdr:col>
          <xdr:colOff>579120</xdr:colOff>
          <xdr:row>3</xdr:row>
          <xdr:rowOff>114300</xdr:rowOff>
        </xdr:to>
        <xdr:sp macro="" textlink="">
          <xdr:nvSpPr>
            <xdr:cNvPr id="167942" name="Button 6" hidden="1">
              <a:extLst>
                <a:ext uri="{63B3BB69-23CF-44E3-9099-C40C66FF867C}">
                  <a14:compatExt spid="_x0000_s167942"/>
                </a:ext>
                <a:ext uri="{FF2B5EF4-FFF2-40B4-BE49-F238E27FC236}">
                  <a16:creationId xmlns:a16="http://schemas.microsoft.com/office/drawing/2014/main" id="{00000000-0008-0000-1E00-0000069002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2</xdr:row>
          <xdr:rowOff>144780</xdr:rowOff>
        </xdr:from>
        <xdr:to>
          <xdr:col>6</xdr:col>
          <xdr:colOff>121920</xdr:colOff>
          <xdr:row>4</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xdr:row>
          <xdr:rowOff>38100</xdr:rowOff>
        </xdr:from>
        <xdr:to>
          <xdr:col>6</xdr:col>
          <xdr:colOff>121920</xdr:colOff>
          <xdr:row>5</xdr:row>
          <xdr:rowOff>106680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121920</xdr:rowOff>
        </xdr:from>
        <xdr:to>
          <xdr:col>6</xdr:col>
          <xdr:colOff>121920</xdr:colOff>
          <xdr:row>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114300</xdr:rowOff>
        </xdr:from>
        <xdr:to>
          <xdr:col>5</xdr:col>
          <xdr:colOff>0</xdr:colOff>
          <xdr:row>9</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144780</xdr:rowOff>
        </xdr:from>
        <xdr:to>
          <xdr:col>6</xdr:col>
          <xdr:colOff>121920</xdr:colOff>
          <xdr:row>11</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144780</xdr:rowOff>
        </xdr:from>
        <xdr:to>
          <xdr:col>5</xdr:col>
          <xdr:colOff>0</xdr:colOff>
          <xdr:row>12</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11</xdr:row>
          <xdr:rowOff>144780</xdr:rowOff>
        </xdr:from>
        <xdr:to>
          <xdr:col>5</xdr:col>
          <xdr:colOff>0</xdr:colOff>
          <xdr:row>13</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144780</xdr:rowOff>
        </xdr:from>
        <xdr:to>
          <xdr:col>5</xdr:col>
          <xdr:colOff>0</xdr:colOff>
          <xdr:row>14</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144780</xdr:rowOff>
        </xdr:from>
        <xdr:to>
          <xdr:col>5</xdr:col>
          <xdr:colOff>0</xdr:colOff>
          <xdr:row>15</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144780</xdr:rowOff>
        </xdr:from>
        <xdr:to>
          <xdr:col>5</xdr:col>
          <xdr:colOff>0</xdr:colOff>
          <xdr:row>16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144780</xdr:rowOff>
        </xdr:from>
        <xdr:to>
          <xdr:col>5</xdr:col>
          <xdr:colOff>0</xdr:colOff>
          <xdr:row>17</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121920</xdr:rowOff>
        </xdr:from>
        <xdr:to>
          <xdr:col>5</xdr:col>
          <xdr:colOff>0</xdr:colOff>
          <xdr:row>18</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17</xdr:row>
          <xdr:rowOff>144780</xdr:rowOff>
        </xdr:from>
        <xdr:to>
          <xdr:col>5</xdr:col>
          <xdr:colOff>0</xdr:colOff>
          <xdr:row>19</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2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18</xdr:row>
          <xdr:rowOff>144780</xdr:rowOff>
        </xdr:from>
        <xdr:to>
          <xdr:col>5</xdr:col>
          <xdr:colOff>0</xdr:colOff>
          <xdr:row>20</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2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19</xdr:row>
          <xdr:rowOff>144780</xdr:rowOff>
        </xdr:from>
        <xdr:to>
          <xdr:col>5</xdr:col>
          <xdr:colOff>0</xdr:colOff>
          <xdr:row>21</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2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20</xdr:row>
          <xdr:rowOff>144780</xdr:rowOff>
        </xdr:from>
        <xdr:to>
          <xdr:col>5</xdr:col>
          <xdr:colOff>0</xdr:colOff>
          <xdr:row>22</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2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21</xdr:row>
          <xdr:rowOff>144780</xdr:rowOff>
        </xdr:from>
        <xdr:to>
          <xdr:col>5</xdr:col>
          <xdr:colOff>0</xdr:colOff>
          <xdr:row>23</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2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144780</xdr:rowOff>
        </xdr:from>
        <xdr:to>
          <xdr:col>5</xdr:col>
          <xdr:colOff>0</xdr:colOff>
          <xdr:row>24</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2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23</xdr:row>
          <xdr:rowOff>144780</xdr:rowOff>
        </xdr:from>
        <xdr:to>
          <xdr:col>5</xdr:col>
          <xdr:colOff>0</xdr:colOff>
          <xdr:row>25</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2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8.vml"/><Relationship Id="rId7" Type="http://schemas.openxmlformats.org/officeDocument/2006/relationships/ctrlProp" Target="../ctrlProps/ctrlProp3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11.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55" Type="http://schemas.openxmlformats.org/officeDocument/2006/relationships/ctrlProp" Target="../ctrlProps/ctrlProp101.xml"/><Relationship Id="rId7" Type="http://schemas.openxmlformats.org/officeDocument/2006/relationships/ctrlProp" Target="../ctrlProps/ctrlProp53.xml"/><Relationship Id="rId2" Type="http://schemas.openxmlformats.org/officeDocument/2006/relationships/drawing" Target="../drawings/drawing1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1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1" Type="http://schemas.openxmlformats.org/officeDocument/2006/relationships/printerSettings" Target="../printerSettings/printerSettings12.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9" Type="http://schemas.openxmlformats.org/officeDocument/2006/relationships/ctrlProp" Target="../ctrlProps/ctrlProp143.xml"/><Relationship Id="rId21" Type="http://schemas.openxmlformats.org/officeDocument/2006/relationships/ctrlProp" Target="../ctrlProps/ctrlProp125.xml"/><Relationship Id="rId34" Type="http://schemas.openxmlformats.org/officeDocument/2006/relationships/ctrlProp" Target="../ctrlProps/ctrlProp138.xml"/><Relationship Id="rId42" Type="http://schemas.openxmlformats.org/officeDocument/2006/relationships/ctrlProp" Target="../ctrlProps/ctrlProp146.xml"/><Relationship Id="rId47" Type="http://schemas.openxmlformats.org/officeDocument/2006/relationships/ctrlProp" Target="../ctrlProps/ctrlProp151.xml"/><Relationship Id="rId50" Type="http://schemas.openxmlformats.org/officeDocument/2006/relationships/ctrlProp" Target="../ctrlProps/ctrlProp154.xml"/><Relationship Id="rId55" Type="http://schemas.openxmlformats.org/officeDocument/2006/relationships/ctrlProp" Target="../ctrlProps/ctrlProp159.xml"/><Relationship Id="rId7" Type="http://schemas.openxmlformats.org/officeDocument/2006/relationships/ctrlProp" Target="../ctrlProps/ctrlProp111.xml"/><Relationship Id="rId2" Type="http://schemas.openxmlformats.org/officeDocument/2006/relationships/drawing" Target="../drawings/drawing13.xml"/><Relationship Id="rId16" Type="http://schemas.openxmlformats.org/officeDocument/2006/relationships/ctrlProp" Target="../ctrlProps/ctrlProp120.xml"/><Relationship Id="rId29" Type="http://schemas.openxmlformats.org/officeDocument/2006/relationships/ctrlProp" Target="../ctrlProps/ctrlProp133.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5" Type="http://schemas.openxmlformats.org/officeDocument/2006/relationships/ctrlProp" Target="../ctrlProps/ctrlProp109.xml"/><Relationship Id="rId61" Type="http://schemas.openxmlformats.org/officeDocument/2006/relationships/ctrlProp" Target="../ctrlProps/ctrlProp165.xml"/><Relationship Id="rId19" Type="http://schemas.openxmlformats.org/officeDocument/2006/relationships/ctrlProp" Target="../ctrlProps/ctrlProp12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8" Type="http://schemas.openxmlformats.org/officeDocument/2006/relationships/ctrlProp" Target="../ctrlProps/ctrlProp112.xml"/><Relationship Id="rId51" Type="http://schemas.openxmlformats.org/officeDocument/2006/relationships/ctrlProp" Target="../ctrlProps/ctrlProp155.xml"/><Relationship Id="rId3" Type="http://schemas.openxmlformats.org/officeDocument/2006/relationships/vmlDrawing" Target="../drawings/vmlDrawing13.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4" Type="http://schemas.openxmlformats.org/officeDocument/2006/relationships/ctrlProp" Target="../ctrlProps/ctrlProp108.xml"/><Relationship Id="rId9" Type="http://schemas.openxmlformats.org/officeDocument/2006/relationships/ctrlProp" Target="../ctrlProps/ctrlProp11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1.xml"/><Relationship Id="rId3" Type="http://schemas.openxmlformats.org/officeDocument/2006/relationships/ctrlProp" Target="../ctrlProps/ctrlProp166.xml"/><Relationship Id="rId7" Type="http://schemas.openxmlformats.org/officeDocument/2006/relationships/ctrlProp" Target="../ctrlProps/ctrlProp170.xml"/><Relationship Id="rId2" Type="http://schemas.openxmlformats.org/officeDocument/2006/relationships/vmlDrawing" Target="../drawings/vmlDrawing14.vml"/><Relationship Id="rId1" Type="http://schemas.openxmlformats.org/officeDocument/2006/relationships/drawing" Target="../drawings/drawing14.xml"/><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7.xml"/><Relationship Id="rId3" Type="http://schemas.openxmlformats.org/officeDocument/2006/relationships/ctrlProp" Target="../ctrlProps/ctrlProp172.xml"/><Relationship Id="rId7" Type="http://schemas.openxmlformats.org/officeDocument/2006/relationships/ctrlProp" Target="../ctrlProps/ctrlProp176.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3.xml"/><Relationship Id="rId3" Type="http://schemas.openxmlformats.org/officeDocument/2006/relationships/ctrlProp" Target="../ctrlProps/ctrlProp178.xml"/><Relationship Id="rId7" Type="http://schemas.openxmlformats.org/officeDocument/2006/relationships/ctrlProp" Target="../ctrlProps/ctrlProp182.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81.xml"/><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93.xml"/><Relationship Id="rId18" Type="http://schemas.openxmlformats.org/officeDocument/2006/relationships/ctrlProp" Target="../ctrlProps/ctrlProp198.xml"/><Relationship Id="rId26" Type="http://schemas.openxmlformats.org/officeDocument/2006/relationships/ctrlProp" Target="../ctrlProps/ctrlProp206.xml"/><Relationship Id="rId39" Type="http://schemas.openxmlformats.org/officeDocument/2006/relationships/ctrlProp" Target="../ctrlProps/ctrlProp219.xml"/><Relationship Id="rId21" Type="http://schemas.openxmlformats.org/officeDocument/2006/relationships/ctrlProp" Target="../ctrlProps/ctrlProp201.xml"/><Relationship Id="rId34" Type="http://schemas.openxmlformats.org/officeDocument/2006/relationships/ctrlProp" Target="../ctrlProps/ctrlProp214.xml"/><Relationship Id="rId42" Type="http://schemas.openxmlformats.org/officeDocument/2006/relationships/ctrlProp" Target="../ctrlProps/ctrlProp222.xml"/><Relationship Id="rId47" Type="http://schemas.openxmlformats.org/officeDocument/2006/relationships/ctrlProp" Target="../ctrlProps/ctrlProp227.xml"/><Relationship Id="rId50" Type="http://schemas.openxmlformats.org/officeDocument/2006/relationships/ctrlProp" Target="../ctrlProps/ctrlProp230.xml"/><Relationship Id="rId55" Type="http://schemas.openxmlformats.org/officeDocument/2006/relationships/ctrlProp" Target="../ctrlProps/ctrlProp235.xml"/><Relationship Id="rId7" Type="http://schemas.openxmlformats.org/officeDocument/2006/relationships/ctrlProp" Target="../ctrlProps/ctrlProp187.xml"/><Relationship Id="rId2" Type="http://schemas.openxmlformats.org/officeDocument/2006/relationships/drawing" Target="../drawings/drawing17.xml"/><Relationship Id="rId16" Type="http://schemas.openxmlformats.org/officeDocument/2006/relationships/ctrlProp" Target="../ctrlProps/ctrlProp196.xml"/><Relationship Id="rId29" Type="http://schemas.openxmlformats.org/officeDocument/2006/relationships/ctrlProp" Target="../ctrlProps/ctrlProp209.xml"/><Relationship Id="rId11" Type="http://schemas.openxmlformats.org/officeDocument/2006/relationships/ctrlProp" Target="../ctrlProps/ctrlProp191.xml"/><Relationship Id="rId24" Type="http://schemas.openxmlformats.org/officeDocument/2006/relationships/ctrlProp" Target="../ctrlProps/ctrlProp204.xml"/><Relationship Id="rId32" Type="http://schemas.openxmlformats.org/officeDocument/2006/relationships/ctrlProp" Target="../ctrlProps/ctrlProp212.xml"/><Relationship Id="rId37" Type="http://schemas.openxmlformats.org/officeDocument/2006/relationships/ctrlProp" Target="../ctrlProps/ctrlProp217.xml"/><Relationship Id="rId40" Type="http://schemas.openxmlformats.org/officeDocument/2006/relationships/ctrlProp" Target="../ctrlProps/ctrlProp220.xml"/><Relationship Id="rId45" Type="http://schemas.openxmlformats.org/officeDocument/2006/relationships/ctrlProp" Target="../ctrlProps/ctrlProp225.xml"/><Relationship Id="rId53" Type="http://schemas.openxmlformats.org/officeDocument/2006/relationships/ctrlProp" Target="../ctrlProps/ctrlProp233.xml"/><Relationship Id="rId58" Type="http://schemas.openxmlformats.org/officeDocument/2006/relationships/ctrlProp" Target="../ctrlProps/ctrlProp238.xml"/><Relationship Id="rId5" Type="http://schemas.openxmlformats.org/officeDocument/2006/relationships/ctrlProp" Target="../ctrlProps/ctrlProp185.xml"/><Relationship Id="rId61" Type="http://schemas.openxmlformats.org/officeDocument/2006/relationships/ctrlProp" Target="../ctrlProps/ctrlProp241.xml"/><Relationship Id="rId19" Type="http://schemas.openxmlformats.org/officeDocument/2006/relationships/ctrlProp" Target="../ctrlProps/ctrlProp199.xml"/><Relationship Id="rId14" Type="http://schemas.openxmlformats.org/officeDocument/2006/relationships/ctrlProp" Target="../ctrlProps/ctrlProp194.xml"/><Relationship Id="rId22" Type="http://schemas.openxmlformats.org/officeDocument/2006/relationships/ctrlProp" Target="../ctrlProps/ctrlProp202.xml"/><Relationship Id="rId27" Type="http://schemas.openxmlformats.org/officeDocument/2006/relationships/ctrlProp" Target="../ctrlProps/ctrlProp207.xml"/><Relationship Id="rId30" Type="http://schemas.openxmlformats.org/officeDocument/2006/relationships/ctrlProp" Target="../ctrlProps/ctrlProp210.xml"/><Relationship Id="rId35" Type="http://schemas.openxmlformats.org/officeDocument/2006/relationships/ctrlProp" Target="../ctrlProps/ctrlProp215.xml"/><Relationship Id="rId43" Type="http://schemas.openxmlformats.org/officeDocument/2006/relationships/ctrlProp" Target="../ctrlProps/ctrlProp223.xml"/><Relationship Id="rId48" Type="http://schemas.openxmlformats.org/officeDocument/2006/relationships/ctrlProp" Target="../ctrlProps/ctrlProp228.xml"/><Relationship Id="rId56" Type="http://schemas.openxmlformats.org/officeDocument/2006/relationships/ctrlProp" Target="../ctrlProps/ctrlProp236.xml"/><Relationship Id="rId8" Type="http://schemas.openxmlformats.org/officeDocument/2006/relationships/ctrlProp" Target="../ctrlProps/ctrlProp188.xml"/><Relationship Id="rId51" Type="http://schemas.openxmlformats.org/officeDocument/2006/relationships/ctrlProp" Target="../ctrlProps/ctrlProp231.xml"/><Relationship Id="rId3" Type="http://schemas.openxmlformats.org/officeDocument/2006/relationships/vmlDrawing" Target="../drawings/vmlDrawing17.vml"/><Relationship Id="rId12" Type="http://schemas.openxmlformats.org/officeDocument/2006/relationships/ctrlProp" Target="../ctrlProps/ctrlProp192.xml"/><Relationship Id="rId17" Type="http://schemas.openxmlformats.org/officeDocument/2006/relationships/ctrlProp" Target="../ctrlProps/ctrlProp197.xml"/><Relationship Id="rId25" Type="http://schemas.openxmlformats.org/officeDocument/2006/relationships/ctrlProp" Target="../ctrlProps/ctrlProp205.xml"/><Relationship Id="rId33" Type="http://schemas.openxmlformats.org/officeDocument/2006/relationships/ctrlProp" Target="../ctrlProps/ctrlProp213.xml"/><Relationship Id="rId38" Type="http://schemas.openxmlformats.org/officeDocument/2006/relationships/ctrlProp" Target="../ctrlProps/ctrlProp218.xml"/><Relationship Id="rId46" Type="http://schemas.openxmlformats.org/officeDocument/2006/relationships/ctrlProp" Target="../ctrlProps/ctrlProp226.xml"/><Relationship Id="rId59" Type="http://schemas.openxmlformats.org/officeDocument/2006/relationships/ctrlProp" Target="../ctrlProps/ctrlProp239.xml"/><Relationship Id="rId20" Type="http://schemas.openxmlformats.org/officeDocument/2006/relationships/ctrlProp" Target="../ctrlProps/ctrlProp200.xml"/><Relationship Id="rId41" Type="http://schemas.openxmlformats.org/officeDocument/2006/relationships/ctrlProp" Target="../ctrlProps/ctrlProp221.xml"/><Relationship Id="rId54" Type="http://schemas.openxmlformats.org/officeDocument/2006/relationships/ctrlProp" Target="../ctrlProps/ctrlProp234.xml"/><Relationship Id="rId1" Type="http://schemas.openxmlformats.org/officeDocument/2006/relationships/printerSettings" Target="../printerSettings/printerSettings14.bin"/><Relationship Id="rId6" Type="http://schemas.openxmlformats.org/officeDocument/2006/relationships/ctrlProp" Target="../ctrlProps/ctrlProp186.xml"/><Relationship Id="rId15" Type="http://schemas.openxmlformats.org/officeDocument/2006/relationships/ctrlProp" Target="../ctrlProps/ctrlProp195.xml"/><Relationship Id="rId23" Type="http://schemas.openxmlformats.org/officeDocument/2006/relationships/ctrlProp" Target="../ctrlProps/ctrlProp203.xml"/><Relationship Id="rId28" Type="http://schemas.openxmlformats.org/officeDocument/2006/relationships/ctrlProp" Target="../ctrlProps/ctrlProp208.xml"/><Relationship Id="rId36" Type="http://schemas.openxmlformats.org/officeDocument/2006/relationships/ctrlProp" Target="../ctrlProps/ctrlProp216.xml"/><Relationship Id="rId49" Type="http://schemas.openxmlformats.org/officeDocument/2006/relationships/ctrlProp" Target="../ctrlProps/ctrlProp229.xml"/><Relationship Id="rId57" Type="http://schemas.openxmlformats.org/officeDocument/2006/relationships/ctrlProp" Target="../ctrlProps/ctrlProp237.xml"/><Relationship Id="rId10" Type="http://schemas.openxmlformats.org/officeDocument/2006/relationships/ctrlProp" Target="../ctrlProps/ctrlProp190.xml"/><Relationship Id="rId31" Type="http://schemas.openxmlformats.org/officeDocument/2006/relationships/ctrlProp" Target="../ctrlProps/ctrlProp211.xml"/><Relationship Id="rId44" Type="http://schemas.openxmlformats.org/officeDocument/2006/relationships/ctrlProp" Target="../ctrlProps/ctrlProp224.xml"/><Relationship Id="rId52" Type="http://schemas.openxmlformats.org/officeDocument/2006/relationships/ctrlProp" Target="../ctrlProps/ctrlProp232.xml"/><Relationship Id="rId60" Type="http://schemas.openxmlformats.org/officeDocument/2006/relationships/ctrlProp" Target="../ctrlProps/ctrlProp240.xml"/><Relationship Id="rId4" Type="http://schemas.openxmlformats.org/officeDocument/2006/relationships/ctrlProp" Target="../ctrlProps/ctrlProp184.xml"/><Relationship Id="rId9" Type="http://schemas.openxmlformats.org/officeDocument/2006/relationships/ctrlProp" Target="../ctrlProps/ctrlProp189.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47" Type="http://schemas.openxmlformats.org/officeDocument/2006/relationships/ctrlProp" Target="../ctrlProps/ctrlProp285.xml"/><Relationship Id="rId50" Type="http://schemas.openxmlformats.org/officeDocument/2006/relationships/ctrlProp" Target="../ctrlProps/ctrlProp288.xml"/><Relationship Id="rId55" Type="http://schemas.openxmlformats.org/officeDocument/2006/relationships/ctrlProp" Target="../ctrlProps/ctrlProp293.xml"/><Relationship Id="rId7" Type="http://schemas.openxmlformats.org/officeDocument/2006/relationships/ctrlProp" Target="../ctrlProps/ctrlProp245.xml"/><Relationship Id="rId2" Type="http://schemas.openxmlformats.org/officeDocument/2006/relationships/drawing" Target="../drawings/drawing18.xml"/><Relationship Id="rId16" Type="http://schemas.openxmlformats.org/officeDocument/2006/relationships/ctrlProp" Target="../ctrlProps/ctrlProp254.xml"/><Relationship Id="rId29" Type="http://schemas.openxmlformats.org/officeDocument/2006/relationships/ctrlProp" Target="../ctrlProps/ctrlProp267.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45" Type="http://schemas.openxmlformats.org/officeDocument/2006/relationships/ctrlProp" Target="../ctrlProps/ctrlProp283.xml"/><Relationship Id="rId53" Type="http://schemas.openxmlformats.org/officeDocument/2006/relationships/ctrlProp" Target="../ctrlProps/ctrlProp291.xml"/><Relationship Id="rId58" Type="http://schemas.openxmlformats.org/officeDocument/2006/relationships/ctrlProp" Target="../ctrlProps/ctrlProp296.xml"/><Relationship Id="rId5" Type="http://schemas.openxmlformats.org/officeDocument/2006/relationships/ctrlProp" Target="../ctrlProps/ctrlProp243.xml"/><Relationship Id="rId61" Type="http://schemas.openxmlformats.org/officeDocument/2006/relationships/ctrlProp" Target="../ctrlProps/ctrlProp299.xml"/><Relationship Id="rId19" Type="http://schemas.openxmlformats.org/officeDocument/2006/relationships/ctrlProp" Target="../ctrlProps/ctrlProp25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 Id="rId43" Type="http://schemas.openxmlformats.org/officeDocument/2006/relationships/ctrlProp" Target="../ctrlProps/ctrlProp281.xml"/><Relationship Id="rId48" Type="http://schemas.openxmlformats.org/officeDocument/2006/relationships/ctrlProp" Target="../ctrlProps/ctrlProp286.xml"/><Relationship Id="rId56" Type="http://schemas.openxmlformats.org/officeDocument/2006/relationships/ctrlProp" Target="../ctrlProps/ctrlProp294.xml"/><Relationship Id="rId8" Type="http://schemas.openxmlformats.org/officeDocument/2006/relationships/ctrlProp" Target="../ctrlProps/ctrlProp246.xml"/><Relationship Id="rId51" Type="http://schemas.openxmlformats.org/officeDocument/2006/relationships/ctrlProp" Target="../ctrlProps/ctrlProp289.xml"/><Relationship Id="rId3" Type="http://schemas.openxmlformats.org/officeDocument/2006/relationships/vmlDrawing" Target="../drawings/vmlDrawing18.vml"/><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46" Type="http://schemas.openxmlformats.org/officeDocument/2006/relationships/ctrlProp" Target="../ctrlProps/ctrlProp284.xml"/><Relationship Id="rId59" Type="http://schemas.openxmlformats.org/officeDocument/2006/relationships/ctrlProp" Target="../ctrlProps/ctrlProp297.xml"/><Relationship Id="rId20" Type="http://schemas.openxmlformats.org/officeDocument/2006/relationships/ctrlProp" Target="../ctrlProps/ctrlProp258.xml"/><Relationship Id="rId41" Type="http://schemas.openxmlformats.org/officeDocument/2006/relationships/ctrlProp" Target="../ctrlProps/ctrlProp279.xml"/><Relationship Id="rId54" Type="http://schemas.openxmlformats.org/officeDocument/2006/relationships/ctrlProp" Target="../ctrlProps/ctrlProp292.xml"/><Relationship Id="rId1" Type="http://schemas.openxmlformats.org/officeDocument/2006/relationships/printerSettings" Target="../printerSettings/printerSettings15.bin"/><Relationship Id="rId6" Type="http://schemas.openxmlformats.org/officeDocument/2006/relationships/ctrlProp" Target="../ctrlProps/ctrlProp244.xml"/><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49" Type="http://schemas.openxmlformats.org/officeDocument/2006/relationships/ctrlProp" Target="../ctrlProps/ctrlProp287.xml"/><Relationship Id="rId57" Type="http://schemas.openxmlformats.org/officeDocument/2006/relationships/ctrlProp" Target="../ctrlProps/ctrlProp295.xml"/><Relationship Id="rId10" Type="http://schemas.openxmlformats.org/officeDocument/2006/relationships/ctrlProp" Target="../ctrlProps/ctrlProp248.xml"/><Relationship Id="rId31" Type="http://schemas.openxmlformats.org/officeDocument/2006/relationships/ctrlProp" Target="../ctrlProps/ctrlProp269.xml"/><Relationship Id="rId44" Type="http://schemas.openxmlformats.org/officeDocument/2006/relationships/ctrlProp" Target="../ctrlProps/ctrlProp282.xml"/><Relationship Id="rId52" Type="http://schemas.openxmlformats.org/officeDocument/2006/relationships/ctrlProp" Target="../ctrlProps/ctrlProp290.xml"/><Relationship Id="rId60" Type="http://schemas.openxmlformats.org/officeDocument/2006/relationships/ctrlProp" Target="../ctrlProps/ctrlProp298.xml"/><Relationship Id="rId4" Type="http://schemas.openxmlformats.org/officeDocument/2006/relationships/ctrlProp" Target="../ctrlProps/ctrlProp242.xml"/><Relationship Id="rId9" Type="http://schemas.openxmlformats.org/officeDocument/2006/relationships/ctrlProp" Target="../ctrlProps/ctrlProp247.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47" Type="http://schemas.openxmlformats.org/officeDocument/2006/relationships/ctrlProp" Target="../ctrlProps/ctrlProp343.xml"/><Relationship Id="rId50" Type="http://schemas.openxmlformats.org/officeDocument/2006/relationships/ctrlProp" Target="../ctrlProps/ctrlProp346.xml"/><Relationship Id="rId55" Type="http://schemas.openxmlformats.org/officeDocument/2006/relationships/ctrlProp" Target="../ctrlProps/ctrlProp351.xml"/><Relationship Id="rId7" Type="http://schemas.openxmlformats.org/officeDocument/2006/relationships/ctrlProp" Target="../ctrlProps/ctrlProp303.xml"/><Relationship Id="rId2" Type="http://schemas.openxmlformats.org/officeDocument/2006/relationships/drawing" Target="../drawings/drawing19.xml"/><Relationship Id="rId16" Type="http://schemas.openxmlformats.org/officeDocument/2006/relationships/ctrlProp" Target="../ctrlProps/ctrlProp312.xml"/><Relationship Id="rId29" Type="http://schemas.openxmlformats.org/officeDocument/2006/relationships/ctrlProp" Target="../ctrlProps/ctrlProp325.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45" Type="http://schemas.openxmlformats.org/officeDocument/2006/relationships/ctrlProp" Target="../ctrlProps/ctrlProp341.xml"/><Relationship Id="rId53" Type="http://schemas.openxmlformats.org/officeDocument/2006/relationships/ctrlProp" Target="../ctrlProps/ctrlProp349.xml"/><Relationship Id="rId58" Type="http://schemas.openxmlformats.org/officeDocument/2006/relationships/ctrlProp" Target="../ctrlProps/ctrlProp354.xml"/><Relationship Id="rId5" Type="http://schemas.openxmlformats.org/officeDocument/2006/relationships/ctrlProp" Target="../ctrlProps/ctrlProp301.xml"/><Relationship Id="rId61" Type="http://schemas.openxmlformats.org/officeDocument/2006/relationships/ctrlProp" Target="../ctrlProps/ctrlProp357.xml"/><Relationship Id="rId19" Type="http://schemas.openxmlformats.org/officeDocument/2006/relationships/ctrlProp" Target="../ctrlProps/ctrlProp31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48" Type="http://schemas.openxmlformats.org/officeDocument/2006/relationships/ctrlProp" Target="../ctrlProps/ctrlProp344.xml"/><Relationship Id="rId56" Type="http://schemas.openxmlformats.org/officeDocument/2006/relationships/ctrlProp" Target="../ctrlProps/ctrlProp352.xml"/><Relationship Id="rId8" Type="http://schemas.openxmlformats.org/officeDocument/2006/relationships/ctrlProp" Target="../ctrlProps/ctrlProp304.xml"/><Relationship Id="rId51" Type="http://schemas.openxmlformats.org/officeDocument/2006/relationships/ctrlProp" Target="../ctrlProps/ctrlProp347.xml"/><Relationship Id="rId3" Type="http://schemas.openxmlformats.org/officeDocument/2006/relationships/vmlDrawing" Target="../drawings/vmlDrawing19.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46" Type="http://schemas.openxmlformats.org/officeDocument/2006/relationships/ctrlProp" Target="../ctrlProps/ctrlProp342.xml"/><Relationship Id="rId59" Type="http://schemas.openxmlformats.org/officeDocument/2006/relationships/ctrlProp" Target="../ctrlProps/ctrlProp355.xml"/><Relationship Id="rId20" Type="http://schemas.openxmlformats.org/officeDocument/2006/relationships/ctrlProp" Target="../ctrlProps/ctrlProp316.xml"/><Relationship Id="rId41" Type="http://schemas.openxmlformats.org/officeDocument/2006/relationships/ctrlProp" Target="../ctrlProps/ctrlProp337.xml"/><Relationship Id="rId54" Type="http://schemas.openxmlformats.org/officeDocument/2006/relationships/ctrlProp" Target="../ctrlProps/ctrlProp350.xml"/><Relationship Id="rId1" Type="http://schemas.openxmlformats.org/officeDocument/2006/relationships/printerSettings" Target="../printerSettings/printerSettings16.bin"/><Relationship Id="rId6" Type="http://schemas.openxmlformats.org/officeDocument/2006/relationships/ctrlProp" Target="../ctrlProps/ctrlProp302.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49" Type="http://schemas.openxmlformats.org/officeDocument/2006/relationships/ctrlProp" Target="../ctrlProps/ctrlProp345.xml"/><Relationship Id="rId57" Type="http://schemas.openxmlformats.org/officeDocument/2006/relationships/ctrlProp" Target="../ctrlProps/ctrlProp353.xml"/><Relationship Id="rId10" Type="http://schemas.openxmlformats.org/officeDocument/2006/relationships/ctrlProp" Target="../ctrlProps/ctrlProp306.xml"/><Relationship Id="rId31" Type="http://schemas.openxmlformats.org/officeDocument/2006/relationships/ctrlProp" Target="../ctrlProps/ctrlProp327.xml"/><Relationship Id="rId44" Type="http://schemas.openxmlformats.org/officeDocument/2006/relationships/ctrlProp" Target="../ctrlProps/ctrlProp340.xml"/><Relationship Id="rId52" Type="http://schemas.openxmlformats.org/officeDocument/2006/relationships/ctrlProp" Target="../ctrlProps/ctrlProp348.xml"/><Relationship Id="rId60" Type="http://schemas.openxmlformats.org/officeDocument/2006/relationships/ctrlProp" Target="../ctrlProps/ctrlProp356.xml"/><Relationship Id="rId4" Type="http://schemas.openxmlformats.org/officeDocument/2006/relationships/ctrlProp" Target="../ctrlProps/ctrlProp300.xml"/><Relationship Id="rId9" Type="http://schemas.openxmlformats.org/officeDocument/2006/relationships/ctrlProp" Target="../ctrlProps/ctrlProp30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7.bin"/><Relationship Id="rId5" Type="http://schemas.openxmlformats.org/officeDocument/2006/relationships/ctrlProp" Target="../ctrlProps/ctrlProp359.xml"/><Relationship Id="rId4" Type="http://schemas.openxmlformats.org/officeDocument/2006/relationships/ctrlProp" Target="../ctrlProps/ctrlProp35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18.bin"/><Relationship Id="rId6" Type="http://schemas.openxmlformats.org/officeDocument/2006/relationships/ctrlProp" Target="../ctrlProps/ctrlProp362.xml"/><Relationship Id="rId5" Type="http://schemas.openxmlformats.org/officeDocument/2006/relationships/ctrlProp" Target="../ctrlProps/ctrlProp361.xml"/><Relationship Id="rId4" Type="http://schemas.openxmlformats.org/officeDocument/2006/relationships/ctrlProp" Target="../ctrlProps/ctrlProp360.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363.xml"/><Relationship Id="rId7" Type="http://schemas.openxmlformats.org/officeDocument/2006/relationships/ctrlProp" Target="../ctrlProps/ctrlProp367.xml"/><Relationship Id="rId2" Type="http://schemas.openxmlformats.org/officeDocument/2006/relationships/vmlDrawing" Target="../drawings/vmlDrawing22.vml"/><Relationship Id="rId1" Type="http://schemas.openxmlformats.org/officeDocument/2006/relationships/drawing" Target="../drawings/drawing22.xml"/><Relationship Id="rId6" Type="http://schemas.openxmlformats.org/officeDocument/2006/relationships/ctrlProp" Target="../ctrlProps/ctrlProp366.xml"/><Relationship Id="rId5" Type="http://schemas.openxmlformats.org/officeDocument/2006/relationships/ctrlProp" Target="../ctrlProps/ctrlProp365.xml"/><Relationship Id="rId4" Type="http://schemas.openxmlformats.org/officeDocument/2006/relationships/ctrlProp" Target="../ctrlProps/ctrlProp36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2.xml"/><Relationship Id="rId3" Type="http://schemas.openxmlformats.org/officeDocument/2006/relationships/vmlDrawing" Target="../drawings/vmlDrawing23.vml"/><Relationship Id="rId7" Type="http://schemas.openxmlformats.org/officeDocument/2006/relationships/ctrlProp" Target="../ctrlProps/ctrlProp371.xml"/><Relationship Id="rId2" Type="http://schemas.openxmlformats.org/officeDocument/2006/relationships/drawing" Target="../drawings/drawing23.xml"/><Relationship Id="rId1" Type="http://schemas.openxmlformats.org/officeDocument/2006/relationships/printerSettings" Target="../printerSettings/printerSettings19.bin"/><Relationship Id="rId6" Type="http://schemas.openxmlformats.org/officeDocument/2006/relationships/ctrlProp" Target="../ctrlProps/ctrlProp370.xml"/><Relationship Id="rId5" Type="http://schemas.openxmlformats.org/officeDocument/2006/relationships/ctrlProp" Target="../ctrlProps/ctrlProp369.xml"/><Relationship Id="rId4" Type="http://schemas.openxmlformats.org/officeDocument/2006/relationships/ctrlProp" Target="../ctrlProps/ctrlProp368.xml"/><Relationship Id="rId9" Type="http://schemas.openxmlformats.org/officeDocument/2006/relationships/ctrlProp" Target="../ctrlProps/ctrlProp37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78.xml"/><Relationship Id="rId3" Type="http://schemas.openxmlformats.org/officeDocument/2006/relationships/vmlDrawing" Target="../drawings/vmlDrawing24.vml"/><Relationship Id="rId7" Type="http://schemas.openxmlformats.org/officeDocument/2006/relationships/ctrlProp" Target="../ctrlProps/ctrlProp377.xml"/><Relationship Id="rId2" Type="http://schemas.openxmlformats.org/officeDocument/2006/relationships/drawing" Target="../drawings/drawing24.xml"/><Relationship Id="rId1" Type="http://schemas.openxmlformats.org/officeDocument/2006/relationships/printerSettings" Target="../printerSettings/printerSettings20.bin"/><Relationship Id="rId6" Type="http://schemas.openxmlformats.org/officeDocument/2006/relationships/ctrlProp" Target="../ctrlProps/ctrlProp376.xml"/><Relationship Id="rId5" Type="http://schemas.openxmlformats.org/officeDocument/2006/relationships/ctrlProp" Target="../ctrlProps/ctrlProp375.xml"/><Relationship Id="rId4" Type="http://schemas.openxmlformats.org/officeDocument/2006/relationships/ctrlProp" Target="../ctrlProps/ctrlProp374.xml"/><Relationship Id="rId9" Type="http://schemas.openxmlformats.org/officeDocument/2006/relationships/ctrlProp" Target="../ctrlProps/ctrlProp379.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389.xml"/><Relationship Id="rId18" Type="http://schemas.openxmlformats.org/officeDocument/2006/relationships/ctrlProp" Target="../ctrlProps/ctrlProp394.xml"/><Relationship Id="rId26" Type="http://schemas.openxmlformats.org/officeDocument/2006/relationships/ctrlProp" Target="../ctrlProps/ctrlProp402.xml"/><Relationship Id="rId39" Type="http://schemas.openxmlformats.org/officeDocument/2006/relationships/ctrlProp" Target="../ctrlProps/ctrlProp415.xml"/><Relationship Id="rId21" Type="http://schemas.openxmlformats.org/officeDocument/2006/relationships/ctrlProp" Target="../ctrlProps/ctrlProp397.xml"/><Relationship Id="rId34" Type="http://schemas.openxmlformats.org/officeDocument/2006/relationships/ctrlProp" Target="../ctrlProps/ctrlProp410.xml"/><Relationship Id="rId42" Type="http://schemas.openxmlformats.org/officeDocument/2006/relationships/ctrlProp" Target="../ctrlProps/ctrlProp418.xml"/><Relationship Id="rId47" Type="http://schemas.openxmlformats.org/officeDocument/2006/relationships/ctrlProp" Target="../ctrlProps/ctrlProp423.xml"/><Relationship Id="rId50" Type="http://schemas.openxmlformats.org/officeDocument/2006/relationships/ctrlProp" Target="../ctrlProps/ctrlProp426.xml"/><Relationship Id="rId55" Type="http://schemas.openxmlformats.org/officeDocument/2006/relationships/ctrlProp" Target="../ctrlProps/ctrlProp431.xml"/><Relationship Id="rId7" Type="http://schemas.openxmlformats.org/officeDocument/2006/relationships/ctrlProp" Target="../ctrlProps/ctrlProp383.xml"/><Relationship Id="rId2" Type="http://schemas.openxmlformats.org/officeDocument/2006/relationships/drawing" Target="../drawings/drawing25.xml"/><Relationship Id="rId16" Type="http://schemas.openxmlformats.org/officeDocument/2006/relationships/ctrlProp" Target="../ctrlProps/ctrlProp392.xml"/><Relationship Id="rId29" Type="http://schemas.openxmlformats.org/officeDocument/2006/relationships/ctrlProp" Target="../ctrlProps/ctrlProp405.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trlProp" Target="../ctrlProps/ctrlProp434.xml"/><Relationship Id="rId5" Type="http://schemas.openxmlformats.org/officeDocument/2006/relationships/ctrlProp" Target="../ctrlProps/ctrlProp381.xml"/><Relationship Id="rId61" Type="http://schemas.openxmlformats.org/officeDocument/2006/relationships/ctrlProp" Target="../ctrlProps/ctrlProp437.xml"/><Relationship Id="rId19" Type="http://schemas.openxmlformats.org/officeDocument/2006/relationships/ctrlProp" Target="../ctrlProps/ctrlProp39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8" Type="http://schemas.openxmlformats.org/officeDocument/2006/relationships/ctrlProp" Target="../ctrlProps/ctrlProp384.xml"/><Relationship Id="rId51" Type="http://schemas.openxmlformats.org/officeDocument/2006/relationships/ctrlProp" Target="../ctrlProps/ctrlProp427.xml"/><Relationship Id="rId3" Type="http://schemas.openxmlformats.org/officeDocument/2006/relationships/vmlDrawing" Target="../drawings/vmlDrawing25.v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59" Type="http://schemas.openxmlformats.org/officeDocument/2006/relationships/ctrlProp" Target="../ctrlProps/ctrlProp435.xml"/><Relationship Id="rId20" Type="http://schemas.openxmlformats.org/officeDocument/2006/relationships/ctrlProp" Target="../ctrlProps/ctrlProp396.xml"/><Relationship Id="rId41" Type="http://schemas.openxmlformats.org/officeDocument/2006/relationships/ctrlProp" Target="../ctrlProps/ctrlProp417.xml"/><Relationship Id="rId54" Type="http://schemas.openxmlformats.org/officeDocument/2006/relationships/ctrlProp" Target="../ctrlProps/ctrlProp430.xml"/><Relationship Id="rId1" Type="http://schemas.openxmlformats.org/officeDocument/2006/relationships/printerSettings" Target="../printerSettings/printerSettings21.bin"/><Relationship Id="rId6" Type="http://schemas.openxmlformats.org/officeDocument/2006/relationships/ctrlProp" Target="../ctrlProps/ctrlProp382.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60" Type="http://schemas.openxmlformats.org/officeDocument/2006/relationships/ctrlProp" Target="../ctrlProps/ctrlProp436.xml"/><Relationship Id="rId4" Type="http://schemas.openxmlformats.org/officeDocument/2006/relationships/ctrlProp" Target="../ctrlProps/ctrlProp380.xml"/><Relationship Id="rId9" Type="http://schemas.openxmlformats.org/officeDocument/2006/relationships/ctrlProp" Target="../ctrlProps/ctrlProp385.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47.xml"/><Relationship Id="rId18" Type="http://schemas.openxmlformats.org/officeDocument/2006/relationships/ctrlProp" Target="../ctrlProps/ctrlProp452.xml"/><Relationship Id="rId26" Type="http://schemas.openxmlformats.org/officeDocument/2006/relationships/ctrlProp" Target="../ctrlProps/ctrlProp460.xml"/><Relationship Id="rId39" Type="http://schemas.openxmlformats.org/officeDocument/2006/relationships/ctrlProp" Target="../ctrlProps/ctrlProp473.xml"/><Relationship Id="rId21" Type="http://schemas.openxmlformats.org/officeDocument/2006/relationships/ctrlProp" Target="../ctrlProps/ctrlProp455.xml"/><Relationship Id="rId34" Type="http://schemas.openxmlformats.org/officeDocument/2006/relationships/ctrlProp" Target="../ctrlProps/ctrlProp468.xml"/><Relationship Id="rId42" Type="http://schemas.openxmlformats.org/officeDocument/2006/relationships/ctrlProp" Target="../ctrlProps/ctrlProp476.xml"/><Relationship Id="rId47" Type="http://schemas.openxmlformats.org/officeDocument/2006/relationships/ctrlProp" Target="../ctrlProps/ctrlProp481.xml"/><Relationship Id="rId50" Type="http://schemas.openxmlformats.org/officeDocument/2006/relationships/ctrlProp" Target="../ctrlProps/ctrlProp484.xml"/><Relationship Id="rId55" Type="http://schemas.openxmlformats.org/officeDocument/2006/relationships/ctrlProp" Target="../ctrlProps/ctrlProp489.xml"/><Relationship Id="rId7" Type="http://schemas.openxmlformats.org/officeDocument/2006/relationships/ctrlProp" Target="../ctrlProps/ctrlProp441.xml"/><Relationship Id="rId2" Type="http://schemas.openxmlformats.org/officeDocument/2006/relationships/drawing" Target="../drawings/drawing26.xml"/><Relationship Id="rId16" Type="http://schemas.openxmlformats.org/officeDocument/2006/relationships/ctrlProp" Target="../ctrlProps/ctrlProp450.xml"/><Relationship Id="rId29" Type="http://schemas.openxmlformats.org/officeDocument/2006/relationships/ctrlProp" Target="../ctrlProps/ctrlProp463.xml"/><Relationship Id="rId11" Type="http://schemas.openxmlformats.org/officeDocument/2006/relationships/ctrlProp" Target="../ctrlProps/ctrlProp445.xml"/><Relationship Id="rId24" Type="http://schemas.openxmlformats.org/officeDocument/2006/relationships/ctrlProp" Target="../ctrlProps/ctrlProp458.xml"/><Relationship Id="rId32" Type="http://schemas.openxmlformats.org/officeDocument/2006/relationships/ctrlProp" Target="../ctrlProps/ctrlProp466.xml"/><Relationship Id="rId37" Type="http://schemas.openxmlformats.org/officeDocument/2006/relationships/ctrlProp" Target="../ctrlProps/ctrlProp471.xml"/><Relationship Id="rId40" Type="http://schemas.openxmlformats.org/officeDocument/2006/relationships/ctrlProp" Target="../ctrlProps/ctrlProp474.xml"/><Relationship Id="rId45" Type="http://schemas.openxmlformats.org/officeDocument/2006/relationships/ctrlProp" Target="../ctrlProps/ctrlProp479.xml"/><Relationship Id="rId53" Type="http://schemas.openxmlformats.org/officeDocument/2006/relationships/ctrlProp" Target="../ctrlProps/ctrlProp487.xml"/><Relationship Id="rId58" Type="http://schemas.openxmlformats.org/officeDocument/2006/relationships/ctrlProp" Target="../ctrlProps/ctrlProp492.xml"/><Relationship Id="rId5" Type="http://schemas.openxmlformats.org/officeDocument/2006/relationships/ctrlProp" Target="../ctrlProps/ctrlProp439.xml"/><Relationship Id="rId61" Type="http://schemas.openxmlformats.org/officeDocument/2006/relationships/ctrlProp" Target="../ctrlProps/ctrlProp495.xml"/><Relationship Id="rId19" Type="http://schemas.openxmlformats.org/officeDocument/2006/relationships/ctrlProp" Target="../ctrlProps/ctrlProp453.xml"/><Relationship Id="rId14" Type="http://schemas.openxmlformats.org/officeDocument/2006/relationships/ctrlProp" Target="../ctrlProps/ctrlProp448.xml"/><Relationship Id="rId22" Type="http://schemas.openxmlformats.org/officeDocument/2006/relationships/ctrlProp" Target="../ctrlProps/ctrlProp456.xml"/><Relationship Id="rId27" Type="http://schemas.openxmlformats.org/officeDocument/2006/relationships/ctrlProp" Target="../ctrlProps/ctrlProp461.xml"/><Relationship Id="rId30" Type="http://schemas.openxmlformats.org/officeDocument/2006/relationships/ctrlProp" Target="../ctrlProps/ctrlProp464.xml"/><Relationship Id="rId35" Type="http://schemas.openxmlformats.org/officeDocument/2006/relationships/ctrlProp" Target="../ctrlProps/ctrlProp469.xml"/><Relationship Id="rId43" Type="http://schemas.openxmlformats.org/officeDocument/2006/relationships/ctrlProp" Target="../ctrlProps/ctrlProp477.xml"/><Relationship Id="rId48" Type="http://schemas.openxmlformats.org/officeDocument/2006/relationships/ctrlProp" Target="../ctrlProps/ctrlProp482.xml"/><Relationship Id="rId56" Type="http://schemas.openxmlformats.org/officeDocument/2006/relationships/ctrlProp" Target="../ctrlProps/ctrlProp490.xml"/><Relationship Id="rId8" Type="http://schemas.openxmlformats.org/officeDocument/2006/relationships/ctrlProp" Target="../ctrlProps/ctrlProp442.xml"/><Relationship Id="rId51" Type="http://schemas.openxmlformats.org/officeDocument/2006/relationships/ctrlProp" Target="../ctrlProps/ctrlProp485.xml"/><Relationship Id="rId3" Type="http://schemas.openxmlformats.org/officeDocument/2006/relationships/vmlDrawing" Target="../drawings/vmlDrawing26.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 Id="rId46" Type="http://schemas.openxmlformats.org/officeDocument/2006/relationships/ctrlProp" Target="../ctrlProps/ctrlProp480.xml"/><Relationship Id="rId59" Type="http://schemas.openxmlformats.org/officeDocument/2006/relationships/ctrlProp" Target="../ctrlProps/ctrlProp493.xml"/><Relationship Id="rId20" Type="http://schemas.openxmlformats.org/officeDocument/2006/relationships/ctrlProp" Target="../ctrlProps/ctrlProp454.xml"/><Relationship Id="rId41" Type="http://schemas.openxmlformats.org/officeDocument/2006/relationships/ctrlProp" Target="../ctrlProps/ctrlProp475.xml"/><Relationship Id="rId54" Type="http://schemas.openxmlformats.org/officeDocument/2006/relationships/ctrlProp" Target="../ctrlProps/ctrlProp488.xml"/><Relationship Id="rId1" Type="http://schemas.openxmlformats.org/officeDocument/2006/relationships/printerSettings" Target="../printerSettings/printerSettings22.bin"/><Relationship Id="rId6" Type="http://schemas.openxmlformats.org/officeDocument/2006/relationships/ctrlProp" Target="../ctrlProps/ctrlProp440.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49" Type="http://schemas.openxmlformats.org/officeDocument/2006/relationships/ctrlProp" Target="../ctrlProps/ctrlProp483.xml"/><Relationship Id="rId57" Type="http://schemas.openxmlformats.org/officeDocument/2006/relationships/ctrlProp" Target="../ctrlProps/ctrlProp491.xml"/><Relationship Id="rId10" Type="http://schemas.openxmlformats.org/officeDocument/2006/relationships/ctrlProp" Target="../ctrlProps/ctrlProp444.xml"/><Relationship Id="rId31" Type="http://schemas.openxmlformats.org/officeDocument/2006/relationships/ctrlProp" Target="../ctrlProps/ctrlProp465.xml"/><Relationship Id="rId44" Type="http://schemas.openxmlformats.org/officeDocument/2006/relationships/ctrlProp" Target="../ctrlProps/ctrlProp478.xml"/><Relationship Id="rId52" Type="http://schemas.openxmlformats.org/officeDocument/2006/relationships/ctrlProp" Target="../ctrlProps/ctrlProp486.xml"/><Relationship Id="rId60" Type="http://schemas.openxmlformats.org/officeDocument/2006/relationships/ctrlProp" Target="../ctrlProps/ctrlProp494.xml"/><Relationship Id="rId4" Type="http://schemas.openxmlformats.org/officeDocument/2006/relationships/ctrlProp" Target="../ctrlProps/ctrlProp438.xml"/><Relationship Id="rId9" Type="http://schemas.openxmlformats.org/officeDocument/2006/relationships/ctrlProp" Target="../ctrlProps/ctrlProp443.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505.xml"/><Relationship Id="rId18" Type="http://schemas.openxmlformats.org/officeDocument/2006/relationships/ctrlProp" Target="../ctrlProps/ctrlProp510.xml"/><Relationship Id="rId26" Type="http://schemas.openxmlformats.org/officeDocument/2006/relationships/ctrlProp" Target="../ctrlProps/ctrlProp518.xml"/><Relationship Id="rId39" Type="http://schemas.openxmlformats.org/officeDocument/2006/relationships/ctrlProp" Target="../ctrlProps/ctrlProp531.xml"/><Relationship Id="rId21" Type="http://schemas.openxmlformats.org/officeDocument/2006/relationships/ctrlProp" Target="../ctrlProps/ctrlProp513.xml"/><Relationship Id="rId34" Type="http://schemas.openxmlformats.org/officeDocument/2006/relationships/ctrlProp" Target="../ctrlProps/ctrlProp526.xml"/><Relationship Id="rId42" Type="http://schemas.openxmlformats.org/officeDocument/2006/relationships/ctrlProp" Target="../ctrlProps/ctrlProp534.xml"/><Relationship Id="rId47" Type="http://schemas.openxmlformats.org/officeDocument/2006/relationships/ctrlProp" Target="../ctrlProps/ctrlProp539.xml"/><Relationship Id="rId50" Type="http://schemas.openxmlformats.org/officeDocument/2006/relationships/ctrlProp" Target="../ctrlProps/ctrlProp542.xml"/><Relationship Id="rId55" Type="http://schemas.openxmlformats.org/officeDocument/2006/relationships/ctrlProp" Target="../ctrlProps/ctrlProp547.xml"/><Relationship Id="rId7" Type="http://schemas.openxmlformats.org/officeDocument/2006/relationships/ctrlProp" Target="../ctrlProps/ctrlProp499.xml"/><Relationship Id="rId2" Type="http://schemas.openxmlformats.org/officeDocument/2006/relationships/drawing" Target="../drawings/drawing27.xml"/><Relationship Id="rId16" Type="http://schemas.openxmlformats.org/officeDocument/2006/relationships/ctrlProp" Target="../ctrlProps/ctrlProp508.xml"/><Relationship Id="rId29" Type="http://schemas.openxmlformats.org/officeDocument/2006/relationships/ctrlProp" Target="../ctrlProps/ctrlProp521.xml"/><Relationship Id="rId11" Type="http://schemas.openxmlformats.org/officeDocument/2006/relationships/ctrlProp" Target="../ctrlProps/ctrlProp503.xml"/><Relationship Id="rId24" Type="http://schemas.openxmlformats.org/officeDocument/2006/relationships/ctrlProp" Target="../ctrlProps/ctrlProp516.xml"/><Relationship Id="rId32" Type="http://schemas.openxmlformats.org/officeDocument/2006/relationships/ctrlProp" Target="../ctrlProps/ctrlProp524.xml"/><Relationship Id="rId37" Type="http://schemas.openxmlformats.org/officeDocument/2006/relationships/ctrlProp" Target="../ctrlProps/ctrlProp529.xml"/><Relationship Id="rId40" Type="http://schemas.openxmlformats.org/officeDocument/2006/relationships/ctrlProp" Target="../ctrlProps/ctrlProp532.xml"/><Relationship Id="rId45" Type="http://schemas.openxmlformats.org/officeDocument/2006/relationships/ctrlProp" Target="../ctrlProps/ctrlProp537.xml"/><Relationship Id="rId53" Type="http://schemas.openxmlformats.org/officeDocument/2006/relationships/ctrlProp" Target="../ctrlProps/ctrlProp545.xml"/><Relationship Id="rId58" Type="http://schemas.openxmlformats.org/officeDocument/2006/relationships/ctrlProp" Target="../ctrlProps/ctrlProp550.xml"/><Relationship Id="rId5" Type="http://schemas.openxmlformats.org/officeDocument/2006/relationships/ctrlProp" Target="../ctrlProps/ctrlProp497.xml"/><Relationship Id="rId61" Type="http://schemas.openxmlformats.org/officeDocument/2006/relationships/ctrlProp" Target="../ctrlProps/ctrlProp553.xml"/><Relationship Id="rId19" Type="http://schemas.openxmlformats.org/officeDocument/2006/relationships/ctrlProp" Target="../ctrlProps/ctrlProp511.xml"/><Relationship Id="rId14" Type="http://schemas.openxmlformats.org/officeDocument/2006/relationships/ctrlProp" Target="../ctrlProps/ctrlProp506.xml"/><Relationship Id="rId22" Type="http://schemas.openxmlformats.org/officeDocument/2006/relationships/ctrlProp" Target="../ctrlProps/ctrlProp514.xml"/><Relationship Id="rId27" Type="http://schemas.openxmlformats.org/officeDocument/2006/relationships/ctrlProp" Target="../ctrlProps/ctrlProp519.xml"/><Relationship Id="rId30" Type="http://schemas.openxmlformats.org/officeDocument/2006/relationships/ctrlProp" Target="../ctrlProps/ctrlProp522.xml"/><Relationship Id="rId35" Type="http://schemas.openxmlformats.org/officeDocument/2006/relationships/ctrlProp" Target="../ctrlProps/ctrlProp527.xml"/><Relationship Id="rId43" Type="http://schemas.openxmlformats.org/officeDocument/2006/relationships/ctrlProp" Target="../ctrlProps/ctrlProp535.xml"/><Relationship Id="rId48" Type="http://schemas.openxmlformats.org/officeDocument/2006/relationships/ctrlProp" Target="../ctrlProps/ctrlProp540.xml"/><Relationship Id="rId56" Type="http://schemas.openxmlformats.org/officeDocument/2006/relationships/ctrlProp" Target="../ctrlProps/ctrlProp548.xml"/><Relationship Id="rId8" Type="http://schemas.openxmlformats.org/officeDocument/2006/relationships/ctrlProp" Target="../ctrlProps/ctrlProp500.xml"/><Relationship Id="rId51" Type="http://schemas.openxmlformats.org/officeDocument/2006/relationships/ctrlProp" Target="../ctrlProps/ctrlProp543.xml"/><Relationship Id="rId3" Type="http://schemas.openxmlformats.org/officeDocument/2006/relationships/vmlDrawing" Target="../drawings/vmlDrawing27.vml"/><Relationship Id="rId12" Type="http://schemas.openxmlformats.org/officeDocument/2006/relationships/ctrlProp" Target="../ctrlProps/ctrlProp504.xml"/><Relationship Id="rId17" Type="http://schemas.openxmlformats.org/officeDocument/2006/relationships/ctrlProp" Target="../ctrlProps/ctrlProp509.xml"/><Relationship Id="rId25" Type="http://schemas.openxmlformats.org/officeDocument/2006/relationships/ctrlProp" Target="../ctrlProps/ctrlProp517.xml"/><Relationship Id="rId33" Type="http://schemas.openxmlformats.org/officeDocument/2006/relationships/ctrlProp" Target="../ctrlProps/ctrlProp525.xml"/><Relationship Id="rId38" Type="http://schemas.openxmlformats.org/officeDocument/2006/relationships/ctrlProp" Target="../ctrlProps/ctrlProp530.xml"/><Relationship Id="rId46" Type="http://schemas.openxmlformats.org/officeDocument/2006/relationships/ctrlProp" Target="../ctrlProps/ctrlProp538.xml"/><Relationship Id="rId59" Type="http://schemas.openxmlformats.org/officeDocument/2006/relationships/ctrlProp" Target="../ctrlProps/ctrlProp551.xml"/><Relationship Id="rId20" Type="http://schemas.openxmlformats.org/officeDocument/2006/relationships/ctrlProp" Target="../ctrlProps/ctrlProp512.xml"/><Relationship Id="rId41" Type="http://schemas.openxmlformats.org/officeDocument/2006/relationships/ctrlProp" Target="../ctrlProps/ctrlProp533.xml"/><Relationship Id="rId54" Type="http://schemas.openxmlformats.org/officeDocument/2006/relationships/ctrlProp" Target="../ctrlProps/ctrlProp546.xml"/><Relationship Id="rId1" Type="http://schemas.openxmlformats.org/officeDocument/2006/relationships/printerSettings" Target="../printerSettings/printerSettings23.bin"/><Relationship Id="rId6" Type="http://schemas.openxmlformats.org/officeDocument/2006/relationships/ctrlProp" Target="../ctrlProps/ctrlProp498.xml"/><Relationship Id="rId15" Type="http://schemas.openxmlformats.org/officeDocument/2006/relationships/ctrlProp" Target="../ctrlProps/ctrlProp507.xml"/><Relationship Id="rId23" Type="http://schemas.openxmlformats.org/officeDocument/2006/relationships/ctrlProp" Target="../ctrlProps/ctrlProp515.xml"/><Relationship Id="rId28" Type="http://schemas.openxmlformats.org/officeDocument/2006/relationships/ctrlProp" Target="../ctrlProps/ctrlProp520.xml"/><Relationship Id="rId36" Type="http://schemas.openxmlformats.org/officeDocument/2006/relationships/ctrlProp" Target="../ctrlProps/ctrlProp528.xml"/><Relationship Id="rId49" Type="http://schemas.openxmlformats.org/officeDocument/2006/relationships/ctrlProp" Target="../ctrlProps/ctrlProp541.xml"/><Relationship Id="rId57" Type="http://schemas.openxmlformats.org/officeDocument/2006/relationships/ctrlProp" Target="../ctrlProps/ctrlProp549.xml"/><Relationship Id="rId10" Type="http://schemas.openxmlformats.org/officeDocument/2006/relationships/ctrlProp" Target="../ctrlProps/ctrlProp502.xml"/><Relationship Id="rId31" Type="http://schemas.openxmlformats.org/officeDocument/2006/relationships/ctrlProp" Target="../ctrlProps/ctrlProp523.xml"/><Relationship Id="rId44" Type="http://schemas.openxmlformats.org/officeDocument/2006/relationships/ctrlProp" Target="../ctrlProps/ctrlProp536.xml"/><Relationship Id="rId52" Type="http://schemas.openxmlformats.org/officeDocument/2006/relationships/ctrlProp" Target="../ctrlProps/ctrlProp544.xml"/><Relationship Id="rId60" Type="http://schemas.openxmlformats.org/officeDocument/2006/relationships/ctrlProp" Target="../ctrlProps/ctrlProp552.xml"/><Relationship Id="rId4" Type="http://schemas.openxmlformats.org/officeDocument/2006/relationships/ctrlProp" Target="../ctrlProps/ctrlProp496.xml"/><Relationship Id="rId9" Type="http://schemas.openxmlformats.org/officeDocument/2006/relationships/ctrlProp" Target="../ctrlProps/ctrlProp50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59.xml"/><Relationship Id="rId3" Type="http://schemas.openxmlformats.org/officeDocument/2006/relationships/ctrlProp" Target="../ctrlProps/ctrlProp554.xml"/><Relationship Id="rId7" Type="http://schemas.openxmlformats.org/officeDocument/2006/relationships/ctrlProp" Target="../ctrlProps/ctrlProp558.xml"/><Relationship Id="rId2" Type="http://schemas.openxmlformats.org/officeDocument/2006/relationships/vmlDrawing" Target="../drawings/vmlDrawing28.vml"/><Relationship Id="rId1" Type="http://schemas.openxmlformats.org/officeDocument/2006/relationships/drawing" Target="../drawings/drawing28.xml"/><Relationship Id="rId6" Type="http://schemas.openxmlformats.org/officeDocument/2006/relationships/ctrlProp" Target="../ctrlProps/ctrlProp557.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5.xml"/><Relationship Id="rId3" Type="http://schemas.openxmlformats.org/officeDocument/2006/relationships/ctrlProp" Target="../ctrlProps/ctrlProp560.xml"/><Relationship Id="rId7" Type="http://schemas.openxmlformats.org/officeDocument/2006/relationships/ctrlProp" Target="../ctrlProps/ctrlProp564.xml"/><Relationship Id="rId2" Type="http://schemas.openxmlformats.org/officeDocument/2006/relationships/vmlDrawing" Target="../drawings/vmlDrawing29.vml"/><Relationship Id="rId1" Type="http://schemas.openxmlformats.org/officeDocument/2006/relationships/drawing" Target="../drawings/drawing29.xml"/><Relationship Id="rId6" Type="http://schemas.openxmlformats.org/officeDocument/2006/relationships/ctrlProp" Target="../ctrlProps/ctrlProp563.xml"/><Relationship Id="rId5" Type="http://schemas.openxmlformats.org/officeDocument/2006/relationships/ctrlProp" Target="../ctrlProps/ctrlProp562.xml"/><Relationship Id="rId4" Type="http://schemas.openxmlformats.org/officeDocument/2006/relationships/ctrlProp" Target="../ctrlProps/ctrlProp561.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71.xml"/><Relationship Id="rId3" Type="http://schemas.openxmlformats.org/officeDocument/2006/relationships/ctrlProp" Target="../ctrlProps/ctrlProp566.xml"/><Relationship Id="rId7" Type="http://schemas.openxmlformats.org/officeDocument/2006/relationships/ctrlProp" Target="../ctrlProps/ctrlProp570.xml"/><Relationship Id="rId2" Type="http://schemas.openxmlformats.org/officeDocument/2006/relationships/vmlDrawing" Target="../drawings/vmlDrawing30.vml"/><Relationship Id="rId1" Type="http://schemas.openxmlformats.org/officeDocument/2006/relationships/drawing" Target="../drawings/drawing30.xml"/><Relationship Id="rId6" Type="http://schemas.openxmlformats.org/officeDocument/2006/relationships/ctrlProp" Target="../ctrlProps/ctrlProp569.xml"/><Relationship Id="rId5" Type="http://schemas.openxmlformats.org/officeDocument/2006/relationships/ctrlProp" Target="../ctrlProps/ctrlProp568.xml"/><Relationship Id="rId4" Type="http://schemas.openxmlformats.org/officeDocument/2006/relationships/ctrlProp" Target="../ctrlProps/ctrlProp56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76.xml"/><Relationship Id="rId13" Type="http://schemas.openxmlformats.org/officeDocument/2006/relationships/ctrlProp" Target="../ctrlProps/ctrlProp581.xml"/><Relationship Id="rId18" Type="http://schemas.openxmlformats.org/officeDocument/2006/relationships/ctrlProp" Target="../ctrlProps/ctrlProp586.xml"/><Relationship Id="rId3" Type="http://schemas.openxmlformats.org/officeDocument/2006/relationships/vmlDrawing" Target="../drawings/vmlDrawing31.vml"/><Relationship Id="rId21" Type="http://schemas.openxmlformats.org/officeDocument/2006/relationships/ctrlProp" Target="../ctrlProps/ctrlProp589.xml"/><Relationship Id="rId7" Type="http://schemas.openxmlformats.org/officeDocument/2006/relationships/ctrlProp" Target="../ctrlProps/ctrlProp575.xml"/><Relationship Id="rId12" Type="http://schemas.openxmlformats.org/officeDocument/2006/relationships/ctrlProp" Target="../ctrlProps/ctrlProp580.xml"/><Relationship Id="rId17" Type="http://schemas.openxmlformats.org/officeDocument/2006/relationships/ctrlProp" Target="../ctrlProps/ctrlProp585.xml"/><Relationship Id="rId2" Type="http://schemas.openxmlformats.org/officeDocument/2006/relationships/drawing" Target="../drawings/drawing31.xml"/><Relationship Id="rId16" Type="http://schemas.openxmlformats.org/officeDocument/2006/relationships/ctrlProp" Target="../ctrlProps/ctrlProp584.xml"/><Relationship Id="rId20" Type="http://schemas.openxmlformats.org/officeDocument/2006/relationships/ctrlProp" Target="../ctrlProps/ctrlProp588.xml"/><Relationship Id="rId1" Type="http://schemas.openxmlformats.org/officeDocument/2006/relationships/printerSettings" Target="../printerSettings/printerSettings25.bin"/><Relationship Id="rId6" Type="http://schemas.openxmlformats.org/officeDocument/2006/relationships/ctrlProp" Target="../ctrlProps/ctrlProp574.xml"/><Relationship Id="rId11" Type="http://schemas.openxmlformats.org/officeDocument/2006/relationships/ctrlProp" Target="../ctrlProps/ctrlProp579.xml"/><Relationship Id="rId5" Type="http://schemas.openxmlformats.org/officeDocument/2006/relationships/ctrlProp" Target="../ctrlProps/ctrlProp573.xml"/><Relationship Id="rId15" Type="http://schemas.openxmlformats.org/officeDocument/2006/relationships/ctrlProp" Target="../ctrlProps/ctrlProp583.xml"/><Relationship Id="rId10" Type="http://schemas.openxmlformats.org/officeDocument/2006/relationships/ctrlProp" Target="../ctrlProps/ctrlProp578.xml"/><Relationship Id="rId19" Type="http://schemas.openxmlformats.org/officeDocument/2006/relationships/ctrlProp" Target="../ctrlProps/ctrlProp587.xml"/><Relationship Id="rId4" Type="http://schemas.openxmlformats.org/officeDocument/2006/relationships/ctrlProp" Target="../ctrlProps/ctrlProp572.xml"/><Relationship Id="rId9" Type="http://schemas.openxmlformats.org/officeDocument/2006/relationships/ctrlProp" Target="../ctrlProps/ctrlProp577.xml"/><Relationship Id="rId14" Type="http://schemas.openxmlformats.org/officeDocument/2006/relationships/ctrlProp" Target="../ctrlProps/ctrlProp582.xml"/><Relationship Id="rId22" Type="http://schemas.openxmlformats.org/officeDocument/2006/relationships/ctrlProp" Target="../ctrlProps/ctrlProp5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9"/>
  <sheetViews>
    <sheetView showGridLines="0" tabSelected="1" workbookViewId="0">
      <selection activeCell="B21" sqref="B21"/>
    </sheetView>
  </sheetViews>
  <sheetFormatPr defaultRowHeight="13.2" x14ac:dyDescent="0.25"/>
  <cols>
    <col min="1" max="1" width="32.109375" customWidth="1"/>
    <col min="2" max="2" width="15.44140625" customWidth="1"/>
    <col min="3" max="4" width="11.5546875" customWidth="1"/>
    <col min="5" max="5" width="16.5546875" customWidth="1"/>
    <col min="6" max="6" width="23.44140625" customWidth="1"/>
    <col min="7" max="12" width="5.5546875" customWidth="1"/>
    <col min="13" max="13" width="13.5546875" customWidth="1"/>
    <col min="14" max="14" width="5.5546875" customWidth="1"/>
    <col min="15" max="15" width="5.44140625" customWidth="1"/>
  </cols>
  <sheetData>
    <row r="1" spans="1:15" ht="15.6" x14ac:dyDescent="0.3">
      <c r="A1" s="466" t="s">
        <v>90</v>
      </c>
      <c r="B1" s="467"/>
      <c r="C1" s="467"/>
      <c r="D1" s="467"/>
      <c r="E1" s="467"/>
      <c r="F1" s="467"/>
      <c r="G1" s="4"/>
      <c r="H1" s="4"/>
      <c r="I1" s="4"/>
      <c r="J1" s="4"/>
      <c r="K1" s="4"/>
      <c r="L1" s="4"/>
      <c r="M1" s="4"/>
      <c r="N1" s="4"/>
      <c r="O1" s="4"/>
    </row>
    <row r="2" spans="1:15" x14ac:dyDescent="0.25">
      <c r="A2" s="468" t="s">
        <v>278</v>
      </c>
      <c r="B2" s="469"/>
      <c r="C2" s="469"/>
      <c r="D2" s="469"/>
      <c r="E2" s="469"/>
      <c r="F2" s="469"/>
      <c r="G2" s="4" t="s">
        <v>15</v>
      </c>
      <c r="H2" s="4"/>
      <c r="I2" s="4"/>
      <c r="J2" s="4"/>
      <c r="K2" s="4"/>
      <c r="L2" s="4"/>
      <c r="M2" s="4" t="s">
        <v>15</v>
      </c>
      <c r="N2" s="4" t="s">
        <v>15</v>
      </c>
      <c r="O2" s="4" t="s">
        <v>15</v>
      </c>
    </row>
    <row r="3" spans="1:15" x14ac:dyDescent="0.25">
      <c r="A3" s="464" t="s">
        <v>24</v>
      </c>
      <c r="B3" s="464"/>
      <c r="C3" s="464"/>
      <c r="D3" s="464"/>
      <c r="E3" s="464"/>
      <c r="F3" s="464"/>
    </row>
    <row r="4" spans="1:15" x14ac:dyDescent="0.25">
      <c r="A4" s="12"/>
      <c r="B4" s="12"/>
      <c r="C4" s="12"/>
      <c r="D4" s="12"/>
      <c r="E4" s="12"/>
      <c r="F4" s="12"/>
    </row>
    <row r="5" spans="1:15" ht="65.25" customHeight="1" x14ac:dyDescent="0.25">
      <c r="A5" s="465" t="s">
        <v>194</v>
      </c>
      <c r="B5" s="465"/>
      <c r="C5" s="465"/>
      <c r="D5" s="465"/>
      <c r="E5" s="465"/>
      <c r="F5" s="465"/>
    </row>
    <row r="6" spans="1:15" x14ac:dyDescent="0.25">
      <c r="A6" s="12"/>
      <c r="B6" s="12"/>
      <c r="C6" s="12"/>
      <c r="D6" s="12"/>
      <c r="E6" s="12"/>
      <c r="F6" s="11"/>
      <c r="O6" t="s">
        <v>15</v>
      </c>
    </row>
    <row r="7" spans="1:15" x14ac:dyDescent="0.25">
      <c r="A7" s="12" t="s">
        <v>2</v>
      </c>
      <c r="B7" s="471"/>
      <c r="C7" s="476"/>
      <c r="D7" s="476"/>
      <c r="E7" s="472"/>
      <c r="F7" s="11"/>
      <c r="G7" s="1"/>
      <c r="H7" s="1"/>
      <c r="I7" s="1"/>
      <c r="J7" s="1"/>
      <c r="K7" s="1"/>
      <c r="L7" s="1"/>
    </row>
    <row r="8" spans="1:15" x14ac:dyDescent="0.25">
      <c r="A8" s="231" t="s">
        <v>248</v>
      </c>
      <c r="B8" s="471"/>
      <c r="C8" s="472"/>
      <c r="D8" s="13"/>
      <c r="E8" s="13"/>
      <c r="F8" s="13"/>
      <c r="G8" s="1"/>
      <c r="H8" s="1"/>
      <c r="I8" s="1"/>
      <c r="J8" s="1"/>
      <c r="K8" s="1"/>
      <c r="L8" s="1"/>
    </row>
    <row r="9" spans="1:15" x14ac:dyDescent="0.25">
      <c r="A9" s="231" t="s">
        <v>232</v>
      </c>
      <c r="B9" s="141">
        <v>1</v>
      </c>
      <c r="C9" s="141">
        <v>2025</v>
      </c>
      <c r="D9" s="13"/>
      <c r="E9" s="13"/>
      <c r="F9" s="13"/>
    </row>
    <row r="10" spans="1:15" x14ac:dyDescent="0.25">
      <c r="A10" s="12"/>
      <c r="B10" s="255" t="s">
        <v>101</v>
      </c>
      <c r="C10" s="252" t="s">
        <v>91</v>
      </c>
      <c r="D10" s="224"/>
      <c r="E10" s="140"/>
      <c r="F10" s="13"/>
    </row>
    <row r="11" spans="1:15" x14ac:dyDescent="0.25">
      <c r="A11" s="12" t="s">
        <v>35</v>
      </c>
      <c r="B11" s="473" t="s">
        <v>95</v>
      </c>
      <c r="C11" s="474"/>
      <c r="D11" s="474"/>
      <c r="E11" s="474"/>
      <c r="F11" s="475"/>
    </row>
    <row r="12" spans="1:15" x14ac:dyDescent="0.25">
      <c r="A12" s="12"/>
      <c r="B12" s="12"/>
      <c r="C12" s="12"/>
      <c r="D12" s="12"/>
      <c r="E12" s="12"/>
      <c r="F12" s="12"/>
    </row>
    <row r="13" spans="1:15" x14ac:dyDescent="0.25">
      <c r="A13" s="12"/>
      <c r="B13" s="12"/>
      <c r="C13" s="12"/>
      <c r="D13" s="12"/>
      <c r="E13" s="12"/>
      <c r="F13" s="13"/>
    </row>
    <row r="14" spans="1:15" x14ac:dyDescent="0.25">
      <c r="A14" s="231" t="s">
        <v>272</v>
      </c>
      <c r="B14" s="119">
        <v>0</v>
      </c>
      <c r="C14" s="240" t="s">
        <v>45</v>
      </c>
      <c r="D14" s="11"/>
      <c r="E14" s="14"/>
      <c r="F14" s="11" t="s">
        <v>15</v>
      </c>
    </row>
    <row r="15" spans="1:15" x14ac:dyDescent="0.25">
      <c r="A15" s="231" t="s">
        <v>273</v>
      </c>
      <c r="B15" s="119"/>
      <c r="C15" s="240" t="s">
        <v>45</v>
      </c>
      <c r="D15" s="225"/>
      <c r="E15" s="64">
        <v>3</v>
      </c>
      <c r="F15" s="14" t="s">
        <v>15</v>
      </c>
      <c r="G15" s="2"/>
      <c r="H15" s="2"/>
      <c r="I15" s="2"/>
      <c r="J15" s="2"/>
      <c r="K15" s="2"/>
      <c r="L15" s="2"/>
    </row>
    <row r="16" spans="1:15" x14ac:dyDescent="0.25">
      <c r="A16" s="12" t="s">
        <v>130</v>
      </c>
      <c r="B16" s="304"/>
      <c r="C16" s="240" t="s">
        <v>45</v>
      </c>
      <c r="D16" s="225"/>
      <c r="E16" s="64">
        <v>1</v>
      </c>
      <c r="F16" s="14" t="s">
        <v>15</v>
      </c>
      <c r="G16" s="2"/>
      <c r="H16" s="2"/>
      <c r="I16" s="2"/>
      <c r="J16" s="2"/>
      <c r="K16" s="2"/>
      <c r="L16" s="2"/>
    </row>
    <row r="17" spans="1:13" x14ac:dyDescent="0.25">
      <c r="A17" s="12"/>
      <c r="B17" s="14"/>
      <c r="C17" s="14"/>
      <c r="D17" s="14"/>
      <c r="E17" s="64">
        <v>2</v>
      </c>
      <c r="F17" s="14" t="s">
        <v>15</v>
      </c>
      <c r="G17" s="2"/>
      <c r="H17" s="2"/>
      <c r="I17" s="2"/>
      <c r="J17" s="2"/>
      <c r="K17" s="2"/>
      <c r="L17" s="2"/>
    </row>
    <row r="18" spans="1:13" x14ac:dyDescent="0.25">
      <c r="A18" s="216" t="s">
        <v>77</v>
      </c>
      <c r="B18" s="211"/>
      <c r="C18" s="14"/>
      <c r="D18" s="14"/>
      <c r="E18" s="230">
        <f>IF(E16=1,1,IF(E16=2,0.98,1.01))</f>
        <v>1</v>
      </c>
      <c r="F18" s="65" t="s">
        <v>51</v>
      </c>
      <c r="G18" s="2"/>
      <c r="H18" s="2"/>
      <c r="I18" s="2"/>
      <c r="J18" s="2"/>
      <c r="K18" s="2"/>
      <c r="L18" s="2"/>
    </row>
    <row r="19" spans="1:13" x14ac:dyDescent="0.25">
      <c r="A19" s="12" t="s">
        <v>78</v>
      </c>
      <c r="B19" s="211"/>
      <c r="C19" s="14"/>
      <c r="D19" s="14"/>
      <c r="E19" s="64"/>
      <c r="F19" s="14"/>
      <c r="G19" s="2"/>
      <c r="H19" s="2"/>
      <c r="I19" s="2"/>
      <c r="J19" s="2"/>
      <c r="K19" s="2"/>
      <c r="L19" s="2"/>
    </row>
    <row r="20" spans="1:13" x14ac:dyDescent="0.25">
      <c r="A20" s="12"/>
      <c r="B20" s="14"/>
      <c r="C20" s="14"/>
      <c r="D20" s="14"/>
      <c r="E20" s="64"/>
      <c r="F20" s="14"/>
      <c r="G20" s="2"/>
      <c r="H20" s="2"/>
      <c r="I20" s="2"/>
      <c r="J20" s="2"/>
      <c r="K20" s="2"/>
      <c r="L20" s="2"/>
    </row>
    <row r="21" spans="1:13" x14ac:dyDescent="0.25">
      <c r="A21" s="12" t="s">
        <v>88</v>
      </c>
      <c r="B21" s="289"/>
      <c r="C21" s="229" t="s">
        <v>41</v>
      </c>
      <c r="D21" s="14"/>
      <c r="E21" s="64"/>
      <c r="F21" s="14"/>
      <c r="G21" s="2"/>
      <c r="H21" s="2"/>
      <c r="I21" s="2"/>
      <c r="J21" s="2"/>
      <c r="K21" s="2"/>
      <c r="L21" s="2"/>
    </row>
    <row r="22" spans="1:13" x14ac:dyDescent="0.25">
      <c r="A22" s="12" t="s">
        <v>89</v>
      </c>
      <c r="B22" s="119"/>
      <c r="C22" s="229" t="s">
        <v>41</v>
      </c>
      <c r="D22" s="14"/>
      <c r="E22" s="64"/>
      <c r="F22" s="14"/>
      <c r="G22" s="2"/>
      <c r="H22" s="2"/>
      <c r="I22" s="2"/>
      <c r="J22" s="2"/>
      <c r="K22" s="2"/>
      <c r="L22" s="2"/>
    </row>
    <row r="23" spans="1:13" x14ac:dyDescent="0.25">
      <c r="A23" s="231" t="s">
        <v>271</v>
      </c>
      <c r="B23" s="119"/>
      <c r="C23" s="229" t="s">
        <v>41</v>
      </c>
      <c r="D23" s="229"/>
      <c r="E23" s="64"/>
      <c r="F23" s="14"/>
      <c r="G23" s="2"/>
      <c r="H23" s="2"/>
      <c r="I23" s="2"/>
      <c r="J23" s="2"/>
      <c r="K23" s="2"/>
      <c r="L23" s="2"/>
    </row>
    <row r="24" spans="1:13" x14ac:dyDescent="0.25">
      <c r="A24" s="12"/>
      <c r="B24" s="14"/>
      <c r="C24" s="14"/>
      <c r="D24" s="229"/>
      <c r="E24" s="231" t="s">
        <v>15</v>
      </c>
      <c r="F24" s="216"/>
      <c r="G24" s="2"/>
      <c r="H24" s="2"/>
      <c r="I24" s="2"/>
      <c r="J24" s="2"/>
      <c r="K24" s="2"/>
      <c r="L24" s="2"/>
      <c r="M24" s="217"/>
    </row>
    <row r="25" spans="1:13" x14ac:dyDescent="0.25">
      <c r="A25" s="12"/>
      <c r="B25" s="14"/>
      <c r="C25" s="14"/>
      <c r="D25" s="229"/>
      <c r="E25" s="219"/>
      <c r="F25" s="216"/>
    </row>
    <row r="26" spans="1:13" x14ac:dyDescent="0.25">
      <c r="A26" s="12" t="s">
        <v>127</v>
      </c>
      <c r="B26" s="122"/>
      <c r="C26" s="229" t="s">
        <v>126</v>
      </c>
      <c r="D26" s="229"/>
      <c r="E26" s="236"/>
      <c r="F26" s="218"/>
      <c r="G26" s="2"/>
      <c r="H26" s="2"/>
      <c r="I26" s="2"/>
      <c r="J26" s="2"/>
      <c r="K26" s="2"/>
      <c r="L26" s="2"/>
    </row>
    <row r="27" spans="1:13" x14ac:dyDescent="0.25">
      <c r="A27" s="12" t="s">
        <v>53</v>
      </c>
      <c r="B27" s="119">
        <v>0</v>
      </c>
      <c r="C27" s="229" t="s">
        <v>46</v>
      </c>
      <c r="D27" s="229"/>
      <c r="E27" s="231"/>
      <c r="F27" s="14" t="s">
        <v>15</v>
      </c>
      <c r="G27" s="2"/>
      <c r="H27" s="2"/>
      <c r="I27" s="2"/>
      <c r="J27" s="2"/>
      <c r="K27" s="2"/>
      <c r="L27" s="2"/>
    </row>
    <row r="28" spans="1:13" x14ac:dyDescent="0.25">
      <c r="A28" s="12"/>
      <c r="B28" s="14"/>
      <c r="C28" s="14"/>
      <c r="D28" s="229"/>
      <c r="E28" s="231"/>
      <c r="F28" s="14" t="s">
        <v>15</v>
      </c>
      <c r="G28" s="2"/>
      <c r="H28" s="2"/>
      <c r="I28" s="2"/>
      <c r="J28" s="2"/>
      <c r="K28" s="2"/>
      <c r="L28" s="2"/>
    </row>
    <row r="29" spans="1:13" x14ac:dyDescent="0.25">
      <c r="A29" s="12" t="s">
        <v>0</v>
      </c>
      <c r="B29" s="57"/>
      <c r="C29" s="232" t="s">
        <v>131</v>
      </c>
      <c r="D29" s="233">
        <f>IF(ISNUMBER(B29),B29,IF(ISNUMBER(B27),(IF(ABS(B21+B22)&gt;0,ROUND(COS(ATAN(B27/(B21+B22))),3),1)),1))</f>
        <v>1</v>
      </c>
      <c r="E29" s="231"/>
      <c r="F29" s="14" t="s">
        <v>15</v>
      </c>
      <c r="G29" s="2"/>
      <c r="H29" s="2"/>
      <c r="I29" s="2"/>
      <c r="J29" s="2"/>
      <c r="K29" s="2"/>
      <c r="L29" s="2"/>
    </row>
    <row r="30" spans="1:13" x14ac:dyDescent="0.25">
      <c r="A30" s="12"/>
      <c r="B30" s="14"/>
      <c r="C30" s="14"/>
      <c r="D30" s="234">
        <f>IF(D29&lt;&gt;0,SIGN(D29)*ROUND(1/D29,3),0)</f>
        <v>1</v>
      </c>
      <c r="E30" s="12"/>
      <c r="F30" s="65"/>
      <c r="G30" s="2"/>
      <c r="H30" s="2"/>
      <c r="I30" s="2"/>
      <c r="J30" s="2"/>
      <c r="K30" s="2"/>
      <c r="L30" s="2"/>
    </row>
    <row r="31" spans="1:13" ht="12" customHeight="1" x14ac:dyDescent="0.25">
      <c r="A31" s="62"/>
      <c r="B31" s="213"/>
      <c r="C31" s="248"/>
      <c r="D31" s="235"/>
      <c r="E31" s="12" t="s">
        <v>15</v>
      </c>
      <c r="F31" s="216"/>
      <c r="G31" s="2"/>
      <c r="H31" s="2"/>
      <c r="I31" s="2"/>
      <c r="J31" s="2"/>
      <c r="K31" s="2"/>
      <c r="L31" s="2"/>
    </row>
    <row r="32" spans="1:13" ht="12.75" customHeight="1" x14ac:dyDescent="0.25">
      <c r="A32" s="63" t="s">
        <v>125</v>
      </c>
      <c r="B32" s="213"/>
      <c r="C32" s="248" t="b">
        <v>0</v>
      </c>
      <c r="D32" s="235"/>
      <c r="E32" s="231"/>
      <c r="F32" s="231"/>
    </row>
    <row r="33" spans="1:6" ht="12" customHeight="1" x14ac:dyDescent="0.25">
      <c r="A33" s="63" t="s">
        <v>128</v>
      </c>
      <c r="B33" s="214"/>
      <c r="C33" s="248" t="b">
        <v>0</v>
      </c>
      <c r="D33" s="235"/>
      <c r="E33" s="231"/>
      <c r="F33" s="231"/>
    </row>
    <row r="34" spans="1:6" x14ac:dyDescent="0.25">
      <c r="A34" s="256" t="s">
        <v>216</v>
      </c>
      <c r="B34" s="214"/>
      <c r="C34" s="257" t="b">
        <v>0</v>
      </c>
      <c r="D34" s="215"/>
      <c r="E34" s="12"/>
      <c r="F34" s="216"/>
    </row>
    <row r="35" spans="1:6" ht="12" customHeight="1" x14ac:dyDescent="0.25">
      <c r="A35" s="63"/>
      <c r="B35" s="74"/>
      <c r="C35" s="215"/>
      <c r="D35" s="215"/>
      <c r="E35" s="12"/>
      <c r="F35" s="216"/>
    </row>
    <row r="36" spans="1:6" x14ac:dyDescent="0.25">
      <c r="A36" s="470" t="s">
        <v>25</v>
      </c>
      <c r="B36" s="470"/>
      <c r="C36" s="470"/>
      <c r="D36" s="223"/>
      <c r="E36" s="231"/>
      <c r="F36" s="286" t="s">
        <v>342</v>
      </c>
    </row>
    <row r="37" spans="1:6" x14ac:dyDescent="0.25">
      <c r="A37" s="12"/>
      <c r="B37" s="12"/>
      <c r="C37" s="12"/>
      <c r="D37" s="12"/>
      <c r="E37" s="12"/>
      <c r="F37" s="244"/>
    </row>
    <row r="39" spans="1:6" x14ac:dyDescent="0.25">
      <c r="B39" s="3"/>
    </row>
  </sheetData>
  <sheetProtection algorithmName="SHA-512" hashValue="FeEZrTYFRITpRVx16WBKUj5fIdpHr1nIKfXZ94HMpLLhUJE4cPZwUtVSt7vWWDHjiCbsaGlwkdBsPRwdWA+aEw==" saltValue="QYv2VdpGWd+XoriBhVXHcA==" spinCount="100000" sheet="1" objects="1" scenarios="1"/>
  <mergeCells count="8">
    <mergeCell ref="A3:F3"/>
    <mergeCell ref="A5:F5"/>
    <mergeCell ref="A1:F1"/>
    <mergeCell ref="A2:F2"/>
    <mergeCell ref="A36:C36"/>
    <mergeCell ref="B8:C8"/>
    <mergeCell ref="B11:F11"/>
    <mergeCell ref="B7:E7"/>
  </mergeCells>
  <phoneticPr fontId="0" type="noConversion"/>
  <hyperlinks>
    <hyperlink ref="M13:N13" location="'Bundled GS-2 Subtran-Trans'!A1" display="GS-2 Sub Bundled" xr:uid="{00000000-0004-0000-0000-000000000000}"/>
    <hyperlink ref="M23:N23" location="'Bundled GS-3 Subtran-Trans'!A1" display="GS-3 Subtrans/Trans Bundled" xr:uid="{00000000-0004-0000-0000-000001000000}"/>
    <hyperlink ref="G25:M25" location="'Bundled GS-4 Pri'!A1" display="GS-4 Pri Bundled" xr:uid="{00000000-0004-0000-0000-000002000000}"/>
    <hyperlink ref="M17:N17" location="'Bundled GS-3 Pri'!A1" display="GS-3 Pri Bundled" xr:uid="{00000000-0004-0000-0000-000003000000}"/>
    <hyperlink ref="M16:N16" location="'Bundled GS-3 Sec'!A1" display="GS-3 Sec Bundled" xr:uid="{00000000-0004-0000-0000-000004000000}"/>
    <hyperlink ref="M15:N15" location="'Bundled GS-TOD Sec'!Print_Area" display="GS-TOD Bundled" xr:uid="{00000000-0004-0000-0000-000005000000}"/>
    <hyperlink ref="M11:N11" location="'Bundled GS-2 Pri'!A1" display="GS-2 Pri Bundled" xr:uid="{00000000-0004-0000-0000-000006000000}"/>
    <hyperlink ref="M10:N10" location="'Bundled GS-2 Sec'!A1" display="GS-2 Sec Bundled" xr:uid="{00000000-0004-0000-0000-000007000000}"/>
    <hyperlink ref="M9:N9" location="'Bundled GS-1 Sec'!A1" display="GS-1 Bundled" xr:uid="{00000000-0004-0000-0000-000008000000}"/>
    <hyperlink ref="M8:N8" location="'Bundled RS-TOD Sec'!A1" display="RS-TOD Bundled" xr:uid="{00000000-0004-0000-0000-000009000000}"/>
    <hyperlink ref="M7:N7" location="'Bundled RS Sec'!A1" display="RS Bundled" xr:uid="{00000000-0004-0000-0000-00000A000000}"/>
  </hyperlinks>
  <printOptions horizontalCentered="1"/>
  <pageMargins left="0.5" right="0.5" top="0.5" bottom="0.5" header="0.25" footer="0.25"/>
  <pageSetup orientation="landscape" r:id="rId1"/>
  <headerFooter alignWithMargins="0"/>
  <cellWatches>
    <cellWatch r="G31"/>
    <cellWatch r="G24"/>
  </cellWatches>
  <drawing r:id="rId2"/>
  <legacyDrawing r:id="rId3"/>
  <mc:AlternateContent xmlns:mc="http://schemas.openxmlformats.org/markup-compatibility/2006">
    <mc:Choice Requires="x14">
      <controls>
        <mc:AlternateContent xmlns:mc="http://schemas.openxmlformats.org/markup-compatibility/2006">
          <mc:Choice Requires="x14">
            <control shapeId="2065" r:id="rId4" name="Check Box 17">
              <controlPr defaultSize="0" autoFill="0" autoLine="0" autoPict="0">
                <anchor moveWithCells="1">
                  <from>
                    <xdr:col>1</xdr:col>
                    <xdr:colOff>30480</xdr:colOff>
                    <xdr:row>30</xdr:row>
                    <xdr:rowOff>144780</xdr:rowOff>
                  </from>
                  <to>
                    <xdr:col>1</xdr:col>
                    <xdr:colOff>685800</xdr:colOff>
                    <xdr:row>32</xdr:row>
                    <xdr:rowOff>45720</xdr:rowOff>
                  </to>
                </anchor>
              </controlPr>
            </control>
          </mc:Choice>
        </mc:AlternateContent>
        <mc:AlternateContent xmlns:mc="http://schemas.openxmlformats.org/markup-compatibility/2006">
          <mc:Choice Requires="x14">
            <control shapeId="2066" r:id="rId5" name="Option Button 18">
              <controlPr defaultSize="0" autoFill="0" autoLine="0" autoPict="0" macro="[0]!OptionButton18_Click">
                <anchor moveWithCells="1">
                  <from>
                    <xdr:col>4</xdr:col>
                    <xdr:colOff>457200</xdr:colOff>
                    <xdr:row>12</xdr:row>
                    <xdr:rowOff>144780</xdr:rowOff>
                  </from>
                  <to>
                    <xdr:col>5</xdr:col>
                    <xdr:colOff>1021080</xdr:colOff>
                    <xdr:row>14</xdr:row>
                    <xdr:rowOff>38100</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4</xdr:col>
                    <xdr:colOff>457200</xdr:colOff>
                    <xdr:row>14</xdr:row>
                    <xdr:rowOff>38100</xdr:rowOff>
                  </from>
                  <to>
                    <xdr:col>5</xdr:col>
                    <xdr:colOff>1021080</xdr:colOff>
                    <xdr:row>15</xdr:row>
                    <xdr:rowOff>106680</xdr:rowOff>
                  </to>
                </anchor>
              </controlPr>
            </control>
          </mc:Choice>
        </mc:AlternateContent>
        <mc:AlternateContent xmlns:mc="http://schemas.openxmlformats.org/markup-compatibility/2006">
          <mc:Choice Requires="x14">
            <control shapeId="2068" r:id="rId7" name="Option Button 20">
              <controlPr defaultSize="0" autoFill="0" autoLine="0" autoPict="0">
                <anchor moveWithCells="1">
                  <from>
                    <xdr:col>4</xdr:col>
                    <xdr:colOff>457200</xdr:colOff>
                    <xdr:row>15</xdr:row>
                    <xdr:rowOff>106680</xdr:rowOff>
                  </from>
                  <to>
                    <xdr:col>5</xdr:col>
                    <xdr:colOff>1021080</xdr:colOff>
                    <xdr:row>16</xdr:row>
                    <xdr:rowOff>152400</xdr:rowOff>
                  </to>
                </anchor>
              </controlPr>
            </control>
          </mc:Choice>
        </mc:AlternateContent>
        <mc:AlternateContent xmlns:mc="http://schemas.openxmlformats.org/markup-compatibility/2006">
          <mc:Choice Requires="x14">
            <control shapeId="2069" r:id="rId8" name="Group Box 21">
              <controlPr defaultSize="0" autoFill="0" autoPict="0">
                <anchor moveWithCells="1">
                  <from>
                    <xdr:col>4</xdr:col>
                    <xdr:colOff>457200</xdr:colOff>
                    <xdr:row>12</xdr:row>
                    <xdr:rowOff>76200</xdr:rowOff>
                  </from>
                  <to>
                    <xdr:col>5</xdr:col>
                    <xdr:colOff>1021080</xdr:colOff>
                    <xdr:row>16</xdr:row>
                    <xdr:rowOff>152400</xdr:rowOff>
                  </to>
                </anchor>
              </controlPr>
            </control>
          </mc:Choice>
        </mc:AlternateContent>
        <mc:AlternateContent xmlns:mc="http://schemas.openxmlformats.org/markup-compatibility/2006">
          <mc:Choice Requires="x14">
            <control shapeId="2157" r:id="rId9" name="Check Box 109">
              <controlPr defaultSize="0" autoFill="0" autoLine="0" autoPict="0" macro="[0]!Info">
                <anchor moveWithCells="1">
                  <from>
                    <xdr:col>1</xdr:col>
                    <xdr:colOff>30480</xdr:colOff>
                    <xdr:row>31</xdr:row>
                    <xdr:rowOff>106680</xdr:rowOff>
                  </from>
                  <to>
                    <xdr:col>2</xdr:col>
                    <xdr:colOff>160020</xdr:colOff>
                    <xdr:row>33</xdr:row>
                    <xdr:rowOff>68580</xdr:rowOff>
                  </to>
                </anchor>
              </controlPr>
            </control>
          </mc:Choice>
        </mc:AlternateContent>
        <mc:AlternateContent xmlns:mc="http://schemas.openxmlformats.org/markup-compatibility/2006">
          <mc:Choice Requires="x14">
            <control shapeId="2193" r:id="rId10" name="Check Box 145">
              <controlPr defaultSize="0" autoFill="0" autoLine="0" autoPict="0">
                <anchor moveWithCells="1">
                  <from>
                    <xdr:col>1</xdr:col>
                    <xdr:colOff>30480</xdr:colOff>
                    <xdr:row>32</xdr:row>
                    <xdr:rowOff>121920</xdr:rowOff>
                  </from>
                  <to>
                    <xdr:col>1</xdr:col>
                    <xdr:colOff>906780</xdr:colOff>
                    <xdr:row>34</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C961E-E4D9-4E1A-B1A5-45B26701F483}">
  <sheetPr codeName="Sheet4">
    <pageSetUpPr fitToPage="1"/>
  </sheetPr>
  <dimension ref="A1:A36"/>
  <sheetViews>
    <sheetView showGridLines="0" topLeftCell="A4" workbookViewId="0">
      <selection activeCell="A12" sqref="A12"/>
    </sheetView>
  </sheetViews>
  <sheetFormatPr defaultColWidth="9.109375" defaultRowHeight="9.9" customHeight="1" x14ac:dyDescent="0.2"/>
  <cols>
    <col min="1" max="1" width="130.5546875" style="295" customWidth="1"/>
    <col min="2" max="16384" width="9.109375" style="294"/>
  </cols>
  <sheetData>
    <row r="1" spans="1:1" ht="34.799999999999997" x14ac:dyDescent="0.2">
      <c r="A1" s="298" t="s">
        <v>316</v>
      </c>
    </row>
    <row r="2" spans="1:1" ht="23.4" x14ac:dyDescent="0.2">
      <c r="A2" s="299" t="s">
        <v>315</v>
      </c>
    </row>
    <row r="3" spans="1:1" ht="9.9" customHeight="1" x14ac:dyDescent="0.25">
      <c r="A3" s="300"/>
    </row>
    <row r="4" spans="1:1" ht="24" customHeight="1" x14ac:dyDescent="0.2">
      <c r="A4" s="299" t="s">
        <v>314</v>
      </c>
    </row>
    <row r="5" spans="1:1" ht="9.9" customHeight="1" x14ac:dyDescent="0.25">
      <c r="A5" s="300"/>
    </row>
    <row r="6" spans="1:1" ht="12" x14ac:dyDescent="0.2">
      <c r="A6" s="298" t="s">
        <v>313</v>
      </c>
    </row>
    <row r="7" spans="1:1" ht="9.9" customHeight="1" x14ac:dyDescent="0.2">
      <c r="A7" s="298"/>
    </row>
    <row r="8" spans="1:1" ht="34.799999999999997" x14ac:dyDescent="0.2">
      <c r="A8" s="298" t="s">
        <v>312</v>
      </c>
    </row>
    <row r="9" spans="1:1" ht="9.9" customHeight="1" x14ac:dyDescent="0.2">
      <c r="A9" s="299"/>
    </row>
    <row r="10" spans="1:1" ht="36" customHeight="1" x14ac:dyDescent="0.2">
      <c r="A10" s="298" t="s">
        <v>311</v>
      </c>
    </row>
    <row r="11" spans="1:1" ht="9.6" customHeight="1" x14ac:dyDescent="0.2">
      <c r="A11" s="298"/>
    </row>
    <row r="12" spans="1:1" ht="36" customHeight="1" x14ac:dyDescent="0.2">
      <c r="A12" s="298" t="s">
        <v>341</v>
      </c>
    </row>
    <row r="13" spans="1:1" ht="9.9" customHeight="1" x14ac:dyDescent="0.2">
      <c r="A13" s="298"/>
    </row>
    <row r="14" spans="1:1" ht="38.25" customHeight="1" x14ac:dyDescent="0.2">
      <c r="A14" s="298" t="s">
        <v>310</v>
      </c>
    </row>
    <row r="15" spans="1:1" ht="9.9" customHeight="1" x14ac:dyDescent="0.2">
      <c r="A15" s="298"/>
    </row>
    <row r="16" spans="1:1" ht="23.4" x14ac:dyDescent="0.2">
      <c r="A16" s="298" t="s">
        <v>309</v>
      </c>
    </row>
    <row r="17" spans="1:1" ht="9.9" customHeight="1" x14ac:dyDescent="0.2">
      <c r="A17" s="298"/>
    </row>
    <row r="18" spans="1:1" ht="23.4" x14ac:dyDescent="0.2">
      <c r="A18" s="298" t="s">
        <v>308</v>
      </c>
    </row>
    <row r="19" spans="1:1" ht="9.9" customHeight="1" x14ac:dyDescent="0.2">
      <c r="A19" s="298"/>
    </row>
    <row r="20" spans="1:1" ht="39.75" customHeight="1" x14ac:dyDescent="0.2">
      <c r="A20" s="298" t="s">
        <v>307</v>
      </c>
    </row>
    <row r="21" spans="1:1" ht="9.9" customHeight="1" x14ac:dyDescent="0.2">
      <c r="A21" s="298"/>
    </row>
    <row r="22" spans="1:1" ht="23.4" x14ac:dyDescent="0.2">
      <c r="A22" s="298" t="s">
        <v>306</v>
      </c>
    </row>
    <row r="23" spans="1:1" ht="9.9" customHeight="1" x14ac:dyDescent="0.2">
      <c r="A23" s="298"/>
    </row>
    <row r="24" spans="1:1" ht="23.4" x14ac:dyDescent="0.2">
      <c r="A24" s="298" t="s">
        <v>305</v>
      </c>
    </row>
    <row r="25" spans="1:1" ht="9.9" customHeight="1" x14ac:dyDescent="0.2">
      <c r="A25" s="298"/>
    </row>
    <row r="26" spans="1:1" ht="23.4" x14ac:dyDescent="0.2">
      <c r="A26" s="298" t="s">
        <v>304</v>
      </c>
    </row>
    <row r="27" spans="1:1" ht="9.9" customHeight="1" x14ac:dyDescent="0.2">
      <c r="A27" s="298"/>
    </row>
    <row r="28" spans="1:1" ht="23.4" x14ac:dyDescent="0.2">
      <c r="A28" s="296" t="s">
        <v>303</v>
      </c>
    </row>
    <row r="29" spans="1:1" ht="12" x14ac:dyDescent="0.2">
      <c r="A29" s="298"/>
    </row>
    <row r="30" spans="1:1" ht="45" customHeight="1" x14ac:dyDescent="0.2">
      <c r="A30" s="298" t="s">
        <v>302</v>
      </c>
    </row>
    <row r="32" spans="1:1" ht="36" customHeight="1" x14ac:dyDescent="0.2">
      <c r="A32" s="298" t="s">
        <v>301</v>
      </c>
    </row>
    <row r="33" spans="1:1" ht="9.9" customHeight="1" x14ac:dyDescent="0.2">
      <c r="A33" s="297"/>
    </row>
    <row r="34" spans="1:1" ht="12" x14ac:dyDescent="0.2">
      <c r="A34" s="296" t="s">
        <v>300</v>
      </c>
    </row>
    <row r="36" spans="1:1" ht="12" x14ac:dyDescent="0.2">
      <c r="A36" s="296" t="s">
        <v>299</v>
      </c>
    </row>
  </sheetData>
  <sheetProtection algorithmName="SHA-512" hashValue="UuRfCNN3YdzprNRzRKxCxtNVm5FlKyeqtqzTn+vct5pw7vpwyi+Ahg5gAAxs8P6pwU0pt6Xu87lbHbdcfXfb4g==" saltValue="Q+zyHgzoktHz2coA7XurPQ=="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dimension ref="A1:IB94"/>
  <sheetViews>
    <sheetView showGridLines="0" topLeftCell="A37" zoomScale="80" zoomScaleNormal="80" workbookViewId="0">
      <selection activeCell="A50" sqref="A50:XFD50"/>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479" t="s">
        <v>120</v>
      </c>
      <c r="B1" s="479"/>
      <c r="C1" s="479"/>
      <c r="D1" s="479"/>
      <c r="E1" s="479"/>
      <c r="F1" s="479"/>
      <c r="G1" s="479"/>
      <c r="H1" s="479"/>
      <c r="I1" s="479"/>
      <c r="J1" s="479"/>
      <c r="K1" s="479"/>
      <c r="L1" s="479"/>
      <c r="M1" s="479"/>
      <c r="N1" s="479"/>
      <c r="O1" s="479"/>
      <c r="P1" s="479"/>
      <c r="Q1" s="197"/>
    </row>
    <row r="2" spans="1:59" ht="18" customHeight="1" x14ac:dyDescent="0.25">
      <c r="A2" s="488" t="s">
        <v>116</v>
      </c>
      <c r="B2" s="488"/>
      <c r="C2" s="488"/>
      <c r="D2" s="488"/>
      <c r="E2" s="488"/>
      <c r="F2" s="488"/>
      <c r="G2" s="488"/>
      <c r="H2" s="488"/>
      <c r="I2" s="488"/>
      <c r="J2" s="488"/>
      <c r="K2" s="488"/>
      <c r="L2" s="488"/>
      <c r="M2" s="488"/>
      <c r="N2" s="488"/>
      <c r="O2" s="488"/>
      <c r="P2" s="488"/>
    </row>
    <row r="3" spans="1:59" ht="17.399999999999999" x14ac:dyDescent="0.3">
      <c r="A3" s="488"/>
      <c r="B3" s="488"/>
      <c r="C3" s="488"/>
      <c r="D3" s="488"/>
      <c r="E3" s="488"/>
      <c r="F3" s="488"/>
      <c r="G3" s="488"/>
      <c r="H3" s="488"/>
      <c r="I3" s="488"/>
      <c r="J3" s="488"/>
      <c r="K3" s="488"/>
      <c r="L3" s="488"/>
      <c r="M3" s="488"/>
      <c r="N3" s="488"/>
      <c r="O3" s="488"/>
      <c r="P3" s="488"/>
      <c r="Q3" s="198"/>
    </row>
    <row r="4" spans="1:59" ht="15.6" x14ac:dyDescent="0.3">
      <c r="A4" s="480" t="str">
        <f>'Customer Info'!$B$11</f>
        <v>Breakdown of Charges Based on Entered Information</v>
      </c>
      <c r="B4" s="480"/>
      <c r="C4" s="480"/>
      <c r="D4" s="480"/>
      <c r="E4" s="480"/>
      <c r="F4" s="480"/>
      <c r="G4" s="480"/>
      <c r="H4" s="480"/>
      <c r="I4" s="480"/>
      <c r="J4" s="480"/>
      <c r="K4" s="480"/>
      <c r="L4" s="480"/>
      <c r="M4" s="480"/>
      <c r="N4" s="480"/>
      <c r="O4" s="480"/>
      <c r="P4" s="480"/>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45657</v>
      </c>
      <c r="B6" s="487" t="s">
        <v>235</v>
      </c>
      <c r="C6" s="487"/>
      <c r="D6" s="487"/>
      <c r="E6" s="487"/>
      <c r="F6" s="487"/>
      <c r="G6" s="487"/>
      <c r="H6" s="487"/>
      <c r="I6" s="487"/>
      <c r="J6" s="487"/>
      <c r="K6" s="487"/>
      <c r="L6" s="487"/>
      <c r="M6" s="487"/>
      <c r="N6" s="487"/>
      <c r="O6" s="487"/>
    </row>
    <row r="7" spans="1:59" x14ac:dyDescent="0.25">
      <c r="A7" s="478" t="s">
        <v>15</v>
      </c>
      <c r="B7" s="478"/>
      <c r="C7" s="478"/>
      <c r="D7" s="478"/>
      <c r="E7" s="478"/>
      <c r="F7" s="478"/>
      <c r="G7" s="478"/>
      <c r="H7" s="478"/>
      <c r="I7" s="478"/>
      <c r="J7" s="478"/>
      <c r="K7" s="478"/>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100</v>
      </c>
      <c r="B11" s="200">
        <f>'Customer Info'!B9</f>
        <v>1</v>
      </c>
      <c r="C11" s="194" t="str">
        <f>LOOKUP($B$11,$S$11:$AD$11,S12:AD12)</f>
        <v>January</v>
      </c>
      <c r="D11" s="133">
        <f>'Customer Info'!C9</f>
        <v>2025</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484" t="s">
        <v>68</v>
      </c>
      <c r="H23" s="485"/>
      <c r="I23" s="485"/>
      <c r="J23" s="486"/>
      <c r="K23" s="159"/>
      <c r="L23" s="481" t="s">
        <v>69</v>
      </c>
      <c r="M23" s="482"/>
      <c r="N23" s="482"/>
      <c r="O23" s="483"/>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50" si="0">SUM(G31:I31)</f>
        <v>4.6278999999999999E-3</v>
      </c>
      <c r="K31" s="104" t="s">
        <v>42</v>
      </c>
      <c r="L31" s="105"/>
      <c r="M31" s="105"/>
      <c r="N31" s="105">
        <f t="shared" ref="N31:N37" si="1">ROUND(D31*I31,2)</f>
        <v>0</v>
      </c>
      <c r="O31" s="250">
        <f t="shared" ref="O31:O54"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ref="O37:O43" si="3">SUM(L37:N37)</f>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3"/>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186</v>
      </c>
      <c r="B39" s="78"/>
      <c r="C39" s="78"/>
      <c r="D39" s="100">
        <f>'Customer Info'!$B$21+'Customer Info'!$B$22-'Customer Info'!$B$23</f>
        <v>0</v>
      </c>
      <c r="E39" s="101" t="s">
        <v>41</v>
      </c>
      <c r="F39" s="102" t="s">
        <v>8</v>
      </c>
      <c r="G39" s="103">
        <f>'Rider Rates'!$B$21</f>
        <v>7.0209999999999995E-2</v>
      </c>
      <c r="H39" s="103"/>
      <c r="I39" s="103"/>
      <c r="J39" s="237">
        <f>SUM(G39:H39)</f>
        <v>7.0209999999999995E-2</v>
      </c>
      <c r="K39" s="104" t="s">
        <v>42</v>
      </c>
      <c r="L39" s="105">
        <f>ROUND(D39*G39,2)</f>
        <v>0</v>
      </c>
      <c r="M39" s="105"/>
      <c r="N39" s="105"/>
      <c r="O39" s="105">
        <f t="shared" si="3"/>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161</v>
      </c>
      <c r="B40" s="78"/>
      <c r="C40" s="78"/>
      <c r="D40" s="100">
        <f>'Customer Info'!$B$21+'Customer Info'!$B$22-'Customer Info'!$B$23</f>
        <v>0</v>
      </c>
      <c r="E40" s="101" t="s">
        <v>41</v>
      </c>
      <c r="F40" s="102" t="s">
        <v>8</v>
      </c>
      <c r="G40" s="103">
        <f>'Rider Rates'!$B$28</f>
        <v>3.2000000000000002E-3</v>
      </c>
      <c r="H40" s="103"/>
      <c r="I40" s="103"/>
      <c r="J40" s="237">
        <f>SUM(G40:H40)</f>
        <v>3.2000000000000002E-3</v>
      </c>
      <c r="K40" s="104" t="s">
        <v>42</v>
      </c>
      <c r="L40" s="239">
        <f>ROUND($D$40*$G$40,2)</f>
        <v>0</v>
      </c>
      <c r="M40" s="105"/>
      <c r="N40" s="105"/>
      <c r="O40" s="105">
        <f>SUM(L40:N40)</f>
        <v>0</v>
      </c>
      <c r="P40" s="245">
        <f>'Rider Rates'!$D$28</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193</v>
      </c>
      <c r="B41" s="78"/>
      <c r="C41" s="78"/>
      <c r="D41" s="100">
        <f>'Customer Info'!$B$21+'Customer Info'!$B$22-'Customer Info'!$B$23</f>
        <v>0</v>
      </c>
      <c r="E41" s="101" t="s">
        <v>41</v>
      </c>
      <c r="F41" s="102" t="s">
        <v>8</v>
      </c>
      <c r="G41" s="103">
        <f>'Rider Rates'!$B$45</f>
        <v>4.5009999999999999E-4</v>
      </c>
      <c r="H41" s="103"/>
      <c r="I41" s="103"/>
      <c r="J41" s="237">
        <f>SUM(G41:H41)</f>
        <v>4.5009999999999999E-4</v>
      </c>
      <c r="K41" s="104" t="s">
        <v>42</v>
      </c>
      <c r="L41" s="105">
        <f>ROUND(D41*G41,2)</f>
        <v>0</v>
      </c>
      <c r="M41" s="105"/>
      <c r="N41" s="105"/>
      <c r="O41" s="105">
        <f t="shared" si="3"/>
        <v>0</v>
      </c>
      <c r="P41" s="245">
        <f>'Rider Rates'!$D$45</f>
        <v>45657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41" t="s">
        <v>210</v>
      </c>
      <c r="B42" s="78"/>
      <c r="C42" s="78"/>
      <c r="D42" s="100"/>
      <c r="E42" s="101" t="s">
        <v>115</v>
      </c>
      <c r="F42" s="102"/>
      <c r="G42" s="103"/>
      <c r="H42" s="103"/>
      <c r="I42" s="103">
        <f>'Rider Rates'!D48</f>
        <v>1.17</v>
      </c>
      <c r="J42" s="237">
        <f>SUM(G42:I42)</f>
        <v>1.17</v>
      </c>
      <c r="K42" s="104"/>
      <c r="L42" s="105"/>
      <c r="M42" s="105"/>
      <c r="N42" s="105">
        <f>J42</f>
        <v>1.17</v>
      </c>
      <c r="O42" s="105">
        <f>SUM(L42:N42)</f>
        <v>1.17</v>
      </c>
      <c r="P42" s="245">
        <f>'Rider Rates'!E48</f>
        <v>45658</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189</v>
      </c>
      <c r="B43" s="78"/>
      <c r="C43" s="78"/>
      <c r="D43" s="100">
        <f>IF($D$17&lt;0,0,$D$17)</f>
        <v>0</v>
      </c>
      <c r="E43" s="113" t="s">
        <v>41</v>
      </c>
      <c r="F43" s="102" t="s">
        <v>8</v>
      </c>
      <c r="G43" s="103"/>
      <c r="H43" s="103">
        <f>'Rider Rates'!$B$55</f>
        <v>4.3837099999999997E-2</v>
      </c>
      <c r="I43" s="103"/>
      <c r="J43" s="103">
        <f>SUM(G43:I43)</f>
        <v>4.3837099999999997E-2</v>
      </c>
      <c r="K43" s="104" t="s">
        <v>42</v>
      </c>
      <c r="L43" s="105"/>
      <c r="M43" s="105">
        <f>ROUND(D43*H43,2)</f>
        <v>0</v>
      </c>
      <c r="N43" s="205"/>
      <c r="O43" s="105">
        <f t="shared" si="3"/>
        <v>0</v>
      </c>
      <c r="P43" s="245">
        <f>'Rider Rates'!$D$55</f>
        <v>45383</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339</v>
      </c>
      <c r="B44" s="78"/>
      <c r="C44" s="78"/>
      <c r="D44" s="100">
        <f>IF($D$17&lt;0,0,$D$17)</f>
        <v>0</v>
      </c>
      <c r="E44" s="101" t="s">
        <v>41</v>
      </c>
      <c r="F44" s="102" t="s">
        <v>8</v>
      </c>
      <c r="G44" s="103"/>
      <c r="H44" s="103"/>
      <c r="I44" s="103">
        <f>'Rider Rates'!$B$66</f>
        <v>8.6240000000000004E-4</v>
      </c>
      <c r="J44" s="103">
        <f t="shared" ref="J44" si="4">SUM(G44:I44)</f>
        <v>8.6240000000000004E-4</v>
      </c>
      <c r="K44" s="104" t="s">
        <v>42</v>
      </c>
      <c r="L44" s="105"/>
      <c r="M44" s="105"/>
      <c r="N44" s="105">
        <f>ROUND($D$44*'Rider Rates'!$B$66,2)</f>
        <v>0</v>
      </c>
      <c r="O44" s="250">
        <f>SUM(L44:N44)</f>
        <v>0</v>
      </c>
      <c r="P44" s="245">
        <f>'Rider Rates'!$D$66</f>
        <v>45532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96</v>
      </c>
      <c r="B45" s="78"/>
      <c r="C45" s="78"/>
      <c r="D45" s="100">
        <f>IF('Customer Info'!C34=TRUE,0,IF($D$17&lt;0,0,$D$17))</f>
        <v>0</v>
      </c>
      <c r="E45" s="101" t="s">
        <v>41</v>
      </c>
      <c r="F45" s="102" t="s">
        <v>8</v>
      </c>
      <c r="G45" s="103"/>
      <c r="H45" s="103"/>
      <c r="I45" s="103">
        <f>'Rider Rates'!$B$69+'Rider Rates'!$C$69</f>
        <v>0</v>
      </c>
      <c r="J45" s="103">
        <f t="shared" si="0"/>
        <v>0</v>
      </c>
      <c r="K45" s="104" t="s">
        <v>42</v>
      </c>
      <c r="L45" s="105"/>
      <c r="M45" s="105"/>
      <c r="N45" s="105">
        <f>ROUND($D$45*'Rider Rates'!$B$69,2)+ROUND($D$45*'Rider Rates'!$C$69,2)</f>
        <v>0</v>
      </c>
      <c r="O45" s="250">
        <f t="shared" si="2"/>
        <v>0</v>
      </c>
      <c r="P45" s="245">
        <f>'Rider Rates'!$D$69</f>
        <v>45444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81</v>
      </c>
      <c r="B46" s="78"/>
      <c r="C46" s="78"/>
      <c r="D46" s="195">
        <f>$N$27</f>
        <v>10</v>
      </c>
      <c r="E46" s="101" t="s">
        <v>122</v>
      </c>
      <c r="F46" s="102" t="s">
        <v>8</v>
      </c>
      <c r="G46" s="111"/>
      <c r="H46" s="112"/>
      <c r="I46" s="120">
        <f>'Rider Rates'!$B$85</f>
        <v>4.94232E-2</v>
      </c>
      <c r="J46" s="120">
        <f>SUM(G46:I46)</f>
        <v>4.94232E-2</v>
      </c>
      <c r="K46" s="104"/>
      <c r="L46" s="105"/>
      <c r="M46" s="105"/>
      <c r="N46" s="105">
        <f>ROUND(D46*I46,2)</f>
        <v>0.49</v>
      </c>
      <c r="O46" s="105">
        <f t="shared" si="2"/>
        <v>0.49</v>
      </c>
      <c r="P46" s="245">
        <f>'Rider Rates'!$D$85</f>
        <v>45562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82</v>
      </c>
      <c r="B47" s="78"/>
      <c r="C47" s="78"/>
      <c r="D47" s="195">
        <f>$N$27</f>
        <v>10</v>
      </c>
      <c r="E47" s="101" t="s">
        <v>122</v>
      </c>
      <c r="F47" s="102" t="s">
        <v>8</v>
      </c>
      <c r="G47" s="114"/>
      <c r="H47" s="115"/>
      <c r="I47" s="120">
        <f>'Rider Rates'!$B$87</f>
        <v>6.6985699999999995E-2</v>
      </c>
      <c r="J47" s="120">
        <f t="shared" si="0"/>
        <v>6.6985699999999995E-2</v>
      </c>
      <c r="K47" s="104"/>
      <c r="L47" s="105"/>
      <c r="M47" s="105"/>
      <c r="N47" s="105">
        <f>ROUND(D47*I47,2)</f>
        <v>0.67</v>
      </c>
      <c r="O47" s="105">
        <f t="shared" si="2"/>
        <v>0.67</v>
      </c>
      <c r="P47" s="245">
        <f>'Rider Rates'!$D$87</f>
        <v>45167</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206</v>
      </c>
      <c r="B48" s="78"/>
      <c r="C48" s="78"/>
      <c r="D48" s="195"/>
      <c r="E48" s="113" t="s">
        <v>115</v>
      </c>
      <c r="F48" s="106"/>
      <c r="G48" s="114"/>
      <c r="H48" s="115"/>
      <c r="I48" s="196">
        <f>'Rider Rates'!$B$90</f>
        <v>2.08</v>
      </c>
      <c r="J48" s="196">
        <f>SUM(G48:I48)</f>
        <v>2.08</v>
      </c>
      <c r="K48" s="104"/>
      <c r="L48" s="105"/>
      <c r="M48" s="105"/>
      <c r="N48" s="105">
        <f>I48</f>
        <v>2.08</v>
      </c>
      <c r="O48" s="250">
        <f>SUM(L48:N48)</f>
        <v>2.08</v>
      </c>
      <c r="P48" s="245">
        <f>'Rider Rates'!$D$90</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41" t="s">
        <v>239</v>
      </c>
      <c r="B49" s="78"/>
      <c r="C49" s="78"/>
      <c r="D49" s="100">
        <f>IF($D$17&lt;0,0,$D$17)</f>
        <v>0</v>
      </c>
      <c r="E49" s="101" t="s">
        <v>41</v>
      </c>
      <c r="F49" s="102" t="s">
        <v>8</v>
      </c>
      <c r="G49" s="103"/>
      <c r="H49" s="103"/>
      <c r="I49" s="103"/>
      <c r="J49" s="103">
        <f>'Rider Rates'!$B$94</f>
        <v>0</v>
      </c>
      <c r="K49" s="104" t="s">
        <v>42</v>
      </c>
      <c r="L49" s="105"/>
      <c r="M49" s="105"/>
      <c r="N49" s="105"/>
      <c r="O49" s="105">
        <f>ROUND($D49*('Rider Rates'!B$94),2)</f>
        <v>0</v>
      </c>
      <c r="P49" s="245">
        <f>'Rider Rates'!$D$94</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99" t="s">
        <v>156</v>
      </c>
      <c r="B50" s="78"/>
      <c r="C50" s="78"/>
      <c r="D50" s="195">
        <f>$N$27</f>
        <v>10</v>
      </c>
      <c r="E50" s="101" t="s">
        <v>122</v>
      </c>
      <c r="F50" s="102" t="s">
        <v>8</v>
      </c>
      <c r="G50" s="114"/>
      <c r="H50" s="115"/>
      <c r="I50" s="120">
        <f>'Rider Rates'!$B$105</f>
        <v>0.2363101</v>
      </c>
      <c r="J50" s="238">
        <f t="shared" si="0"/>
        <v>0.2363101</v>
      </c>
      <c r="K50" s="104"/>
      <c r="L50" s="105"/>
      <c r="M50" s="105"/>
      <c r="N50" s="105">
        <f>ROUND(D50*I50,2)</f>
        <v>2.36</v>
      </c>
      <c r="O50" s="105">
        <f t="shared" si="2"/>
        <v>2.36</v>
      </c>
      <c r="P50" s="245">
        <f>'Rider Rates'!$D$105</f>
        <v>45622</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209</v>
      </c>
      <c r="B51" s="78"/>
      <c r="C51" s="78"/>
      <c r="D51" s="195"/>
      <c r="E51" s="113" t="s">
        <v>115</v>
      </c>
      <c r="F51" s="106"/>
      <c r="G51" s="114"/>
      <c r="H51" s="115"/>
      <c r="I51" s="196">
        <f>'Rider Rates'!$B$108</f>
        <v>0</v>
      </c>
      <c r="J51" s="196">
        <f>SUM(G51:I51)</f>
        <v>0</v>
      </c>
      <c r="K51" s="104"/>
      <c r="L51" s="105"/>
      <c r="M51" s="105"/>
      <c r="N51" s="105">
        <f>I51</f>
        <v>0</v>
      </c>
      <c r="O51" s="105">
        <f>SUM(L51:N51)</f>
        <v>0</v>
      </c>
      <c r="P51" s="245">
        <f>'Rider Rates'!$D$108</f>
        <v>44894</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217</v>
      </c>
      <c r="B52" s="78"/>
      <c r="C52" s="78"/>
      <c r="D52" s="195"/>
      <c r="E52" s="113" t="s">
        <v>115</v>
      </c>
      <c r="F52" s="106"/>
      <c r="G52" s="114"/>
      <c r="H52" s="115"/>
      <c r="I52" s="258">
        <f>'Rider Rates'!B121</f>
        <v>0.97</v>
      </c>
      <c r="J52" s="259">
        <f>SUM(G52:I52)</f>
        <v>0.97</v>
      </c>
      <c r="K52" s="104"/>
      <c r="L52" s="105"/>
      <c r="M52" s="105"/>
      <c r="N52" s="260">
        <f>I52</f>
        <v>0.97</v>
      </c>
      <c r="O52" s="105">
        <f>SUM(L52:N52)</f>
        <v>0.97</v>
      </c>
      <c r="P52" s="245">
        <f>'Rider Rates'!D121</f>
        <v>45593</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157</v>
      </c>
      <c r="B53" s="78"/>
      <c r="C53" s="78"/>
      <c r="D53" s="100">
        <f>'Customer Info'!$B$21+'Customer Info'!$B$22-'Customer Info'!$B$23</f>
        <v>0</v>
      </c>
      <c r="E53" s="101" t="s">
        <v>41</v>
      </c>
      <c r="F53" s="102" t="s">
        <v>8</v>
      </c>
      <c r="G53" s="103">
        <f>'Rider Rates'!$B$112</f>
        <v>3.8972999999999998E-3</v>
      </c>
      <c r="H53" s="103"/>
      <c r="I53" s="103"/>
      <c r="J53" s="237">
        <f>SUM(G53:H53)</f>
        <v>3.8972999999999998E-3</v>
      </c>
      <c r="K53" s="104" t="s">
        <v>42</v>
      </c>
      <c r="L53" s="105">
        <f>ROUND(D53*G53,2)</f>
        <v>0</v>
      </c>
      <c r="M53" s="105"/>
      <c r="N53" s="105"/>
      <c r="O53" s="105">
        <f t="shared" si="2"/>
        <v>0</v>
      </c>
      <c r="P53" s="245">
        <f>'Rider Rates'!$D$112</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208</v>
      </c>
      <c r="B54" s="78"/>
      <c r="C54" s="78"/>
      <c r="D54" s="100">
        <f>IF($D$17&lt;1,0,$D$17)</f>
        <v>0</v>
      </c>
      <c r="E54" s="101" t="s">
        <v>41</v>
      </c>
      <c r="F54" s="249" t="s">
        <v>8</v>
      </c>
      <c r="G54" s="103"/>
      <c r="H54" s="103"/>
      <c r="I54" s="103">
        <f>'Rider Rates'!$B$117</f>
        <v>0</v>
      </c>
      <c r="J54" s="237">
        <f>SUM(G54:I54)</f>
        <v>0</v>
      </c>
      <c r="K54" s="104" t="s">
        <v>42</v>
      </c>
      <c r="L54" s="105"/>
      <c r="M54" s="105"/>
      <c r="N54" s="105">
        <f>D54*J54</f>
        <v>0</v>
      </c>
      <c r="O54" s="105">
        <f t="shared" si="2"/>
        <v>0</v>
      </c>
      <c r="P54" s="245">
        <f>'Rider Rates'!D117</f>
        <v>45657</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230</v>
      </c>
      <c r="B55" s="78"/>
      <c r="C55" s="78"/>
      <c r="D55" s="100"/>
      <c r="E55" s="101" t="s">
        <v>115</v>
      </c>
      <c r="F55" s="102" t="s">
        <v>8</v>
      </c>
      <c r="G55" s="263"/>
      <c r="H55" s="263"/>
      <c r="I55" s="263">
        <f>'Rider Rates'!$B$125</f>
        <v>0.1</v>
      </c>
      <c r="J55" s="263">
        <f>SUM(G55:I55)</f>
        <v>0.1</v>
      </c>
      <c r="K55" s="104"/>
      <c r="L55" s="209"/>
      <c r="M55" s="209"/>
      <c r="N55" s="209">
        <f>J55</f>
        <v>0.1</v>
      </c>
      <c r="O55" s="209">
        <f>SUM(L55:N55)</f>
        <v>0.1</v>
      </c>
      <c r="P55" s="264">
        <f>'Rider Rates'!E125</f>
        <v>45658</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242</v>
      </c>
      <c r="B56" s="78"/>
      <c r="C56" s="78"/>
      <c r="D56" s="100">
        <f>D17</f>
        <v>0</v>
      </c>
      <c r="E56" s="101" t="s">
        <v>41</v>
      </c>
      <c r="F56" s="249" t="s">
        <v>8</v>
      </c>
      <c r="G56" s="103"/>
      <c r="H56" s="103"/>
      <c r="I56" s="103">
        <f>'Rider Rates'!B130</f>
        <v>0</v>
      </c>
      <c r="J56" s="237">
        <f>SUM(G56:I56)</f>
        <v>0</v>
      </c>
      <c r="K56" s="104" t="s">
        <v>42</v>
      </c>
      <c r="L56" s="105"/>
      <c r="M56" s="105"/>
      <c r="N56" s="105">
        <f>D56*J56</f>
        <v>0</v>
      </c>
      <c r="O56" s="105">
        <f t="shared" ref="O56" si="5">SUM(L56:N56)</f>
        <v>0</v>
      </c>
      <c r="P56" s="245">
        <f>'Rider Rates'!D130</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241</v>
      </c>
      <c r="B57" s="78"/>
      <c r="C57" s="78"/>
      <c r="D57" s="100"/>
      <c r="E57" s="101" t="s">
        <v>115</v>
      </c>
      <c r="F57" s="102" t="s">
        <v>8</v>
      </c>
      <c r="G57" s="263"/>
      <c r="H57" s="263"/>
      <c r="I57" s="263">
        <f>'Rider Rates'!$B$137</f>
        <v>0</v>
      </c>
      <c r="J57" s="263">
        <f>SUM(G57:I57)</f>
        <v>0</v>
      </c>
      <c r="K57" s="104"/>
      <c r="L57" s="209"/>
      <c r="M57" s="209"/>
      <c r="N57" s="209">
        <f>J57</f>
        <v>0</v>
      </c>
      <c r="O57" s="209">
        <f>SUM(L57:N57)</f>
        <v>0</v>
      </c>
      <c r="P57" s="264">
        <f>'Rider Rates'!D137</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243</v>
      </c>
      <c r="B58" s="78"/>
      <c r="C58" s="78"/>
      <c r="D58" s="100"/>
      <c r="E58" s="101"/>
      <c r="F58" s="102"/>
      <c r="G58" s="263"/>
      <c r="H58" s="263"/>
      <c r="I58" s="263"/>
      <c r="J58" s="263"/>
      <c r="K58" s="104"/>
      <c r="L58" s="209"/>
      <c r="M58" s="209"/>
      <c r="N58" s="209"/>
      <c r="O58" s="209"/>
      <c r="P58" s="264"/>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79" t="s">
        <v>71</v>
      </c>
      <c r="B59" s="148"/>
      <c r="C59" s="148"/>
      <c r="D59" s="180"/>
      <c r="E59" s="181"/>
      <c r="F59" s="182"/>
      <c r="G59" s="182"/>
      <c r="H59" s="182"/>
      <c r="I59" s="182"/>
      <c r="J59" s="182"/>
      <c r="K59" s="183"/>
      <c r="L59" s="169">
        <f>SUM(L31:L58)</f>
        <v>0</v>
      </c>
      <c r="M59" s="169">
        <f t="shared" ref="M59:O59" si="6">SUM(M31:M58)</f>
        <v>0</v>
      </c>
      <c r="N59" s="169">
        <f t="shared" si="6"/>
        <v>7.839999999999999</v>
      </c>
      <c r="O59" s="169">
        <f t="shared" si="6"/>
        <v>7.839999999999999</v>
      </c>
      <c r="P59" s="184"/>
      <c r="Q59" s="10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78"/>
      <c r="B60" s="78"/>
      <c r="C60" s="78"/>
      <c r="D60" s="100"/>
      <c r="E60" s="113"/>
      <c r="F60" s="106"/>
      <c r="G60" s="106"/>
      <c r="H60" s="106"/>
      <c r="I60" s="106"/>
      <c r="J60" s="107"/>
      <c r="K60" s="104"/>
      <c r="L60" s="106"/>
      <c r="M60" s="106"/>
      <c r="N60" s="106"/>
      <c r="O60" s="106"/>
      <c r="P60" s="164"/>
      <c r="Q60" s="106"/>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85" t="s">
        <v>94</v>
      </c>
      <c r="B61" s="170"/>
      <c r="C61" s="170"/>
      <c r="D61" s="170"/>
      <c r="E61" s="170"/>
      <c r="F61" s="170"/>
      <c r="G61" s="170"/>
      <c r="H61" s="170"/>
      <c r="I61" s="170"/>
      <c r="J61" s="170"/>
      <c r="K61" s="170"/>
      <c r="L61" s="186">
        <f>L27+L59</f>
        <v>0</v>
      </c>
      <c r="M61" s="186">
        <f>M27+M59</f>
        <v>0</v>
      </c>
      <c r="N61" s="186">
        <f>N27+N59</f>
        <v>17.84</v>
      </c>
      <c r="O61" s="187">
        <f>O27+O59</f>
        <v>17.84</v>
      </c>
      <c r="P61" s="187"/>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78"/>
      <c r="B62" s="78"/>
      <c r="C62" s="78"/>
      <c r="D62" s="78"/>
      <c r="E62" s="78"/>
      <c r="F62" s="78"/>
      <c r="G62" s="78"/>
      <c r="H62" s="78"/>
      <c r="I62" s="78"/>
      <c r="J62" s="78"/>
      <c r="K62" s="78"/>
      <c r="L62" s="78"/>
      <c r="M62" s="78"/>
      <c r="N62" s="151"/>
      <c r="O62" s="151"/>
      <c r="P62" s="151"/>
      <c r="Q62" s="16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166" t="s">
        <v>93</v>
      </c>
      <c r="B64" s="78"/>
      <c r="C64" s="78"/>
      <c r="D64" s="78"/>
      <c r="E64" s="78"/>
      <c r="F64" s="78"/>
      <c r="G64" s="78"/>
      <c r="H64" s="78"/>
      <c r="I64" s="78"/>
      <c r="J64" s="78"/>
      <c r="K64" s="78"/>
      <c r="L64" s="78"/>
      <c r="M64" s="78"/>
      <c r="N64" s="78"/>
      <c r="O64" s="109">
        <f>IF(D17&lt;0,MIN(O25,O61),O25)</f>
        <v>10</v>
      </c>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15</v>
      </c>
      <c r="B65" s="166"/>
      <c r="C65" s="166"/>
      <c r="D65" s="166"/>
      <c r="E65" s="166"/>
      <c r="F65" s="166"/>
      <c r="G65" s="166"/>
      <c r="H65" s="166"/>
      <c r="I65" s="78"/>
      <c r="J65" s="78"/>
      <c r="K65" s="78"/>
      <c r="L65" s="78"/>
      <c r="M65" s="78"/>
      <c r="N65" s="151"/>
      <c r="O65" s="151"/>
      <c r="P65" s="151"/>
      <c r="Q65" s="78"/>
      <c r="R65" s="107"/>
      <c r="S65" s="108"/>
      <c r="T65" s="109"/>
      <c r="U65" s="78"/>
      <c r="V65" s="110"/>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48" t="s">
        <v>117</v>
      </c>
      <c r="B66" s="151"/>
      <c r="C66" s="151"/>
      <c r="D66" s="151"/>
      <c r="E66" s="151"/>
      <c r="F66" s="151"/>
      <c r="G66" s="151"/>
      <c r="H66" s="151"/>
      <c r="I66" s="151"/>
      <c r="J66" s="151"/>
      <c r="K66" s="151"/>
      <c r="L66" s="151"/>
      <c r="M66" s="151"/>
      <c r="N66" s="151"/>
      <c r="O66" s="190">
        <f>IF($D$17&lt;0,O61,IF(O61&gt;O64,O61,O64))</f>
        <v>17.84</v>
      </c>
      <c r="P66" s="160"/>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c r="B67" s="151"/>
      <c r="C67" s="151"/>
      <c r="D67" s="151"/>
      <c r="E67" s="151"/>
      <c r="F67" s="151"/>
      <c r="G67" s="151"/>
      <c r="H67" s="151"/>
      <c r="I67" s="151"/>
      <c r="J67" s="151"/>
      <c r="K67" s="151"/>
      <c r="L67" s="151"/>
      <c r="M67" s="151"/>
      <c r="N67" s="151"/>
      <c r="O67" s="138"/>
      <c r="P67" s="160"/>
      <c r="Q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66"/>
      <c r="C68" s="166"/>
      <c r="D68" s="166"/>
      <c r="E68" s="166"/>
      <c r="F68" s="166"/>
      <c r="G68" s="166"/>
      <c r="H68" s="166"/>
      <c r="I68" s="166" t="s">
        <v>121</v>
      </c>
      <c r="J68" s="166"/>
      <c r="K68" s="166"/>
      <c r="L68" s="191"/>
      <c r="M68" s="191"/>
      <c r="N68" s="191"/>
      <c r="O68" s="191">
        <f>ROUND(IF($D$17&lt;1,0,O61/($D$17*100)*10000),2)</f>
        <v>0</v>
      </c>
      <c r="P68" s="37" t="s">
        <v>87</v>
      </c>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c r="HN68" s="78"/>
      <c r="HO68" s="78"/>
      <c r="HP68" s="78"/>
      <c r="HQ68" s="78"/>
      <c r="HR68" s="78"/>
      <c r="HS68" s="78"/>
      <c r="HT68" s="78"/>
      <c r="HU68" s="78"/>
      <c r="HV68" s="78"/>
      <c r="HW68" s="78"/>
      <c r="HX68" s="78"/>
      <c r="HY68" s="78"/>
      <c r="HZ68" s="78"/>
      <c r="IA68" s="78"/>
      <c r="IB68" s="78"/>
    </row>
    <row r="69" spans="1:236" x14ac:dyDescent="0.25">
      <c r="A69" s="37"/>
      <c r="B69" s="78"/>
      <c r="C69" s="78"/>
      <c r="D69" s="78"/>
      <c r="E69" s="78"/>
      <c r="F69" s="78"/>
      <c r="G69" s="78"/>
      <c r="H69" s="192"/>
      <c r="I69" s="242" t="s">
        <v>190</v>
      </c>
      <c r="J69" s="78"/>
      <c r="K69" s="78"/>
      <c r="L69" s="78"/>
      <c r="M69" s="78"/>
      <c r="N69" s="78"/>
      <c r="O69" s="243">
        <f>ROUND(IF($D$17&lt;1,0,(L61)/($D$17*100)*10000),2)</f>
        <v>0</v>
      </c>
      <c r="P69" s="25" t="s">
        <v>87</v>
      </c>
      <c r="Q69" s="78"/>
      <c r="AE69" s="78"/>
      <c r="AF69" s="78"/>
      <c r="AG69" s="78"/>
      <c r="AH69" s="78"/>
      <c r="AI69" s="78"/>
      <c r="AJ69" s="78"/>
      <c r="AK69" s="78"/>
      <c r="AL69" s="78"/>
      <c r="AM69" s="78"/>
      <c r="AN69" s="78"/>
      <c r="AO69" s="78"/>
      <c r="AP69" s="78"/>
      <c r="AQ69" s="78"/>
      <c r="AR69" s="78"/>
      <c r="AS69" s="78"/>
      <c r="AT69" s="78"/>
      <c r="HE69" s="78"/>
      <c r="HF69" s="78"/>
      <c r="HG69" s="78"/>
      <c r="HH69" s="78"/>
      <c r="HI69" s="78"/>
      <c r="HJ69" s="78"/>
      <c r="HK69" s="78"/>
      <c r="HL69" s="78"/>
      <c r="HM69" s="78"/>
      <c r="HN69" s="78"/>
    </row>
    <row r="70" spans="1:236" x14ac:dyDescent="0.25">
      <c r="A70" s="99"/>
      <c r="B70" s="78"/>
      <c r="C70" s="78"/>
      <c r="D70" s="100"/>
      <c r="E70" s="101"/>
      <c r="F70" s="106"/>
      <c r="G70" s="133"/>
      <c r="H70" s="56"/>
      <c r="I70" s="133"/>
      <c r="J70" s="25"/>
      <c r="K70" s="25"/>
      <c r="L70" s="134"/>
      <c r="M70" s="134"/>
      <c r="N70" s="134"/>
      <c r="O70" s="135"/>
      <c r="Q70" s="80"/>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row>
    <row r="71" spans="1:236" x14ac:dyDescent="0.25">
      <c r="A71" s="99"/>
      <c r="B71" s="78"/>
      <c r="C71" s="78"/>
      <c r="D71" s="100"/>
      <c r="E71" s="113"/>
      <c r="F71" s="106"/>
      <c r="Q71" s="80"/>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78"/>
      <c r="D72" s="1"/>
      <c r="E72" s="35"/>
      <c r="F72" s="106"/>
      <c r="Q72" s="80"/>
    </row>
    <row r="73" spans="1:236" x14ac:dyDescent="0.25">
      <c r="A73" s="96"/>
      <c r="D73" s="1"/>
      <c r="E73" s="35"/>
      <c r="F73" s="4"/>
      <c r="Q73" s="36"/>
    </row>
    <row r="74" spans="1:236" x14ac:dyDescent="0.25">
      <c r="A74" s="96"/>
      <c r="D74" s="1"/>
      <c r="E74" s="35"/>
      <c r="F74" s="4"/>
      <c r="Q74" s="36"/>
    </row>
    <row r="75" spans="1:236" x14ac:dyDescent="0.25">
      <c r="A75" s="41"/>
      <c r="B75" s="77"/>
      <c r="C75" s="77"/>
      <c r="D75" s="77"/>
      <c r="E75" s="77"/>
      <c r="F75" s="77"/>
    </row>
    <row r="76" spans="1:236" x14ac:dyDescent="0.25">
      <c r="B76" s="37"/>
      <c r="C76" s="37"/>
      <c r="D76" s="37"/>
      <c r="E76" s="37"/>
      <c r="F76" s="37"/>
      <c r="P76" s="37"/>
      <c r="Q76" s="37"/>
    </row>
    <row r="77" spans="1:236" x14ac:dyDescent="0.25">
      <c r="B77" s="37"/>
      <c r="C77" s="37"/>
      <c r="D77" s="37"/>
      <c r="E77" s="37"/>
      <c r="F77" s="37"/>
      <c r="P77" s="25"/>
      <c r="Q77" s="25"/>
    </row>
    <row r="80" spans="1:23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sheetData>
  <sheetProtection algorithmName="SHA-512" hashValue="jW4tLQDUCxl9Yy/Qnly617JTrsqgHkwNxW5PWeuM3FsyTAk4vZ4xfaizZ7FYjeJFko3+XtfRF+KIipytyeiuhA==" saltValue="4UJBD8uing5wuQpDvKra9g==" spinCount="100000" sheet="1" objects="1" scenarios="1"/>
  <mergeCells count="8">
    <mergeCell ref="A80:A94"/>
    <mergeCell ref="A7:K7"/>
    <mergeCell ref="A1:P1"/>
    <mergeCell ref="A4:P4"/>
    <mergeCell ref="L23:O23"/>
    <mergeCell ref="G23:J23"/>
    <mergeCell ref="B6:O6"/>
    <mergeCell ref="A2:P3"/>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1521" r:id="rId5" name="Button 17">
              <controlPr defaultSize="0" print="0" autoFill="0" autoPict="0" macro="[0]!Info">
                <anchor moveWithCells="1">
                  <from>
                    <xdr:col>16</xdr:col>
                    <xdr:colOff>579120</xdr:colOff>
                    <xdr:row>87</xdr:row>
                    <xdr:rowOff>68580</xdr:rowOff>
                  </from>
                  <to>
                    <xdr:col>30</xdr:col>
                    <xdr:colOff>236220</xdr:colOff>
                    <xdr:row>88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IB68"/>
  <sheetViews>
    <sheetView showGridLines="0" topLeftCell="A16" zoomScale="80" zoomScaleNormal="80" workbookViewId="0">
      <selection activeCell="P35" sqref="J35:P35"/>
    </sheetView>
  </sheetViews>
  <sheetFormatPr defaultRowHeight="13.2" x14ac:dyDescent="0.25"/>
  <cols>
    <col min="1" max="1" width="39" customWidth="1"/>
    <col min="2" max="2" width="2.109375" customWidth="1"/>
    <col min="3" max="3" width="13" customWidth="1"/>
    <col min="4" max="4" width="15.44140625" customWidth="1"/>
    <col min="5" max="5" width="10.44140625" customWidth="1"/>
    <col min="6" max="6" width="5.5546875" customWidth="1"/>
    <col min="7" max="8" width="13.44140625" customWidth="1"/>
    <col min="9" max="9" width="14.5546875" customWidth="1"/>
    <col min="10" max="10" width="13.44140625" customWidth="1"/>
    <col min="11" max="11" width="5.5546875" bestFit="1" customWidth="1"/>
    <col min="12" max="12" width="15.109375" customWidth="1"/>
    <col min="13" max="13" width="17.44140625" bestFit="1" customWidth="1"/>
    <col min="14" max="14" width="17.5546875" customWidth="1"/>
    <col min="15" max="15" width="18.5546875" customWidth="1"/>
    <col min="16" max="16" width="15" customWidth="1"/>
    <col min="17" max="17" width="12.88671875" bestFit="1" customWidth="1"/>
    <col min="18" max="18" width="10.55468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c r="Q1" s="203"/>
    </row>
    <row r="2" spans="1:30" ht="21" x14ac:dyDescent="0.4">
      <c r="A2" s="495" t="s">
        <v>245</v>
      </c>
      <c r="B2" s="495"/>
      <c r="C2" s="495"/>
      <c r="D2" s="495"/>
      <c r="E2" s="495"/>
      <c r="F2" s="495"/>
      <c r="G2" s="495"/>
      <c r="H2" s="495"/>
      <c r="I2" s="495"/>
      <c r="J2" s="495"/>
      <c r="K2" s="495"/>
      <c r="L2" s="495"/>
      <c r="M2" s="495"/>
      <c r="N2" s="495"/>
      <c r="O2" s="495"/>
      <c r="P2" s="495"/>
      <c r="Q2" s="197"/>
    </row>
    <row r="3" spans="1:30" ht="17.399999999999999" x14ac:dyDescent="0.3">
      <c r="A3" s="480" t="s">
        <v>95</v>
      </c>
      <c r="B3" s="480"/>
      <c r="C3" s="480"/>
      <c r="D3" s="480"/>
      <c r="E3" s="480"/>
      <c r="F3" s="480"/>
      <c r="G3" s="480"/>
      <c r="H3" s="480"/>
      <c r="I3" s="480"/>
      <c r="J3" s="480"/>
      <c r="K3" s="480"/>
      <c r="L3" s="480"/>
      <c r="M3" s="480"/>
      <c r="N3" s="480"/>
      <c r="O3" s="480"/>
      <c r="P3" s="480"/>
      <c r="Q3" s="198"/>
    </row>
    <row r="4" spans="1:30" ht="15.6" x14ac:dyDescent="0.3">
      <c r="A4" s="480"/>
      <c r="B4" s="480"/>
      <c r="C4" s="480"/>
      <c r="D4" s="480"/>
      <c r="E4" s="480"/>
      <c r="F4" s="480"/>
      <c r="G4" s="480"/>
      <c r="H4" s="480"/>
      <c r="I4" s="480"/>
      <c r="J4" s="480"/>
      <c r="K4" s="480"/>
      <c r="L4" s="480"/>
      <c r="M4" s="480"/>
      <c r="N4" s="480"/>
      <c r="O4" s="480"/>
      <c r="P4" s="480"/>
      <c r="Q4" s="199"/>
    </row>
    <row r="5" spans="1:30" x14ac:dyDescent="0.25">
      <c r="A5" s="76">
        <f ca="1">TODAY()</f>
        <v>45657</v>
      </c>
      <c r="B5" s="487" t="s">
        <v>247</v>
      </c>
      <c r="C5" s="487"/>
      <c r="D5" s="487"/>
      <c r="E5" s="487"/>
      <c r="F5" s="487"/>
      <c r="G5" s="487"/>
      <c r="H5" s="487"/>
      <c r="I5" s="487"/>
      <c r="J5" s="487"/>
      <c r="K5" s="487"/>
      <c r="L5" s="487"/>
      <c r="M5" s="487"/>
      <c r="N5" s="487"/>
      <c r="O5" s="487"/>
    </row>
    <row r="6" spans="1:30" x14ac:dyDescent="0.25">
      <c r="A6" s="478" t="s">
        <v>15</v>
      </c>
      <c r="B6" s="478"/>
      <c r="C6" s="478"/>
      <c r="D6" s="478"/>
      <c r="E6" s="478"/>
      <c r="F6" s="478"/>
      <c r="G6" s="478"/>
      <c r="H6" s="478"/>
      <c r="I6" s="478"/>
      <c r="J6" s="478"/>
      <c r="K6" s="478"/>
    </row>
    <row r="7" spans="1:30" x14ac:dyDescent="0.25">
      <c r="C7" s="18"/>
      <c r="D7" s="18"/>
      <c r="E7" s="18"/>
      <c r="F7" s="18"/>
      <c r="G7" s="18"/>
      <c r="H7" s="18"/>
      <c r="I7" s="18"/>
      <c r="J7" s="18"/>
      <c r="K7" s="18"/>
    </row>
    <row r="8" spans="1:30" ht="15" x14ac:dyDescent="0.25">
      <c r="A8" s="23" t="s">
        <v>2</v>
      </c>
      <c r="B8" s="24"/>
      <c r="C8" s="25">
        <f>'Customer Info'!B7</f>
        <v>0</v>
      </c>
      <c r="I8" s="26"/>
    </row>
    <row r="9" spans="1:30" ht="15" x14ac:dyDescent="0.25">
      <c r="A9" s="27" t="s">
        <v>26</v>
      </c>
      <c r="B9" s="24"/>
      <c r="C9" s="25">
        <f>'Customer Info'!B8</f>
        <v>0</v>
      </c>
    </row>
    <row r="10" spans="1:30" x14ac:dyDescent="0.25">
      <c r="A10" s="23" t="s">
        <v>3</v>
      </c>
      <c r="B10" s="200">
        <f>'Customer Info'!B9</f>
        <v>1</v>
      </c>
      <c r="C10" s="194" t="str">
        <f>LOOKUP(B10,S11:AD11,S12:AD12)</f>
        <v>January</v>
      </c>
      <c r="D10" s="133">
        <f>'Customer Info'!C9</f>
        <v>2025</v>
      </c>
    </row>
    <row r="11" spans="1:30" x14ac:dyDescent="0.25">
      <c r="A11" s="493"/>
      <c r="B11" s="493"/>
      <c r="C11" s="493"/>
      <c r="D11" s="493"/>
      <c r="E11" s="493"/>
      <c r="F11" s="493"/>
      <c r="G11" s="493"/>
      <c r="H11" s="493"/>
      <c r="I11" s="493"/>
      <c r="J11" s="94"/>
      <c r="K11" s="94"/>
      <c r="L11" s="94"/>
      <c r="M11" s="94"/>
      <c r="N11" s="94"/>
      <c r="O11" s="94"/>
      <c r="P11" s="94"/>
      <c r="S11">
        <v>1</v>
      </c>
      <c r="T11">
        <v>2</v>
      </c>
      <c r="U11">
        <v>3</v>
      </c>
      <c r="V11">
        <v>4</v>
      </c>
      <c r="W11">
        <v>5</v>
      </c>
      <c r="X11">
        <v>6</v>
      </c>
      <c r="Y11">
        <v>7</v>
      </c>
      <c r="Z11">
        <v>8</v>
      </c>
      <c r="AA11">
        <v>9</v>
      </c>
      <c r="AB11">
        <v>10</v>
      </c>
      <c r="AC11">
        <v>11</v>
      </c>
      <c r="AD11">
        <v>12</v>
      </c>
    </row>
    <row r="12" spans="1:30" x14ac:dyDescent="0.25">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5">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5">
      <c r="A17" s="28" t="s">
        <v>124</v>
      </c>
      <c r="B17" s="22"/>
      <c r="C17" s="22"/>
      <c r="D17" s="22"/>
      <c r="E17" s="22"/>
      <c r="F17" s="22"/>
      <c r="G17" s="489" t="s">
        <v>68</v>
      </c>
      <c r="H17" s="490"/>
      <c r="I17" s="490"/>
      <c r="J17" s="491"/>
      <c r="K17" s="22"/>
      <c r="L17" s="492" t="s">
        <v>69</v>
      </c>
      <c r="M17" s="492"/>
      <c r="N17" s="492"/>
      <c r="O17" s="492"/>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5">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5">
      <c r="A19" t="s">
        <v>32</v>
      </c>
      <c r="G19" s="83"/>
      <c r="H19" s="83"/>
      <c r="I19" s="125">
        <v>10</v>
      </c>
      <c r="J19" s="125">
        <f>SUM(G19:I19)</f>
        <v>10</v>
      </c>
      <c r="L19" s="125"/>
      <c r="M19" s="125"/>
      <c r="N19" s="125">
        <f>I19</f>
        <v>10</v>
      </c>
      <c r="O19" s="125">
        <f>+SUM(L19:N19)</f>
        <v>10</v>
      </c>
      <c r="P19" s="245">
        <v>44531</v>
      </c>
      <c r="R19" s="3" t="s">
        <v>191</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5">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v>44531</v>
      </c>
      <c r="R20" s="3"/>
    </row>
    <row r="21" spans="1:221" x14ac:dyDescent="0.25">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IF($C$14&lt;0,0,IF($C$14&gt;833000,833000,$C$14))</f>
        <v>0</v>
      </c>
      <c r="E25" s="101" t="s">
        <v>41</v>
      </c>
      <c r="F25" s="102" t="s">
        <v>8</v>
      </c>
      <c r="G25" s="103"/>
      <c r="H25" s="103"/>
      <c r="I25" s="103">
        <f>'Rider Rates'!$B$4</f>
        <v>4.6278999999999999E-3</v>
      </c>
      <c r="J25" s="201">
        <f t="shared" ref="J25:J46" si="0">SUM(G25:I25)</f>
        <v>4.6278999999999999E-3</v>
      </c>
      <c r="K25" s="104" t="s">
        <v>42</v>
      </c>
      <c r="L25" s="105"/>
      <c r="M25" s="105"/>
      <c r="N25" s="105">
        <f t="shared" ref="N25:N30" si="1">ROUND(D25*I25,2)</f>
        <v>0</v>
      </c>
      <c r="O25" s="105">
        <f t="shared" ref="O25:O30"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114</v>
      </c>
      <c r="B30" s="78"/>
      <c r="C30" s="78"/>
      <c r="D30" s="290">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ref="O31:O37"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192</v>
      </c>
      <c r="B33" s="78"/>
      <c r="C33" s="78"/>
      <c r="D33" s="100">
        <f>'Customer Info'!$B$21+'Customer Info'!$B$22-'Customer Info'!$B$23</f>
        <v>0</v>
      </c>
      <c r="E33" s="101" t="s">
        <v>41</v>
      </c>
      <c r="F33" s="102" t="s">
        <v>8</v>
      </c>
      <c r="G33" s="103">
        <f>'Rider Rates'!$B$21</f>
        <v>7.0209999999999995E-2</v>
      </c>
      <c r="H33" s="103"/>
      <c r="I33" s="103"/>
      <c r="J33" s="237">
        <f>SUM(G33:H33)</f>
        <v>7.0209999999999995E-2</v>
      </c>
      <c r="K33" s="104" t="s">
        <v>42</v>
      </c>
      <c r="L33" s="105">
        <f>ROUND(D33*G33,2)</f>
        <v>0</v>
      </c>
      <c r="M33" s="105"/>
      <c r="N33" s="105"/>
      <c r="O33" s="105">
        <f t="shared" si="3"/>
        <v>0</v>
      </c>
      <c r="P33" s="245">
        <f>'Rider Rates'!$D$21</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161</v>
      </c>
      <c r="B34" s="78"/>
      <c r="C34" s="78"/>
      <c r="D34" s="100">
        <f>'Customer Info'!$B$21+'Customer Info'!$B$22-'Customer Info'!$B$23</f>
        <v>0</v>
      </c>
      <c r="E34" s="101" t="s">
        <v>41</v>
      </c>
      <c r="F34" s="102" t="s">
        <v>8</v>
      </c>
      <c r="G34" s="103">
        <f>'Rider Rates'!$B$28</f>
        <v>3.2000000000000002E-3</v>
      </c>
      <c r="H34" s="103"/>
      <c r="I34" s="103"/>
      <c r="J34" s="237">
        <f>SUM(G34:H34)</f>
        <v>3.2000000000000002E-3</v>
      </c>
      <c r="K34" s="104" t="s">
        <v>42</v>
      </c>
      <c r="L34" s="105">
        <f>ROUND(D34*G34,2)</f>
        <v>0</v>
      </c>
      <c r="M34" s="105"/>
      <c r="N34" s="105"/>
      <c r="O34" s="105">
        <f t="shared" si="3"/>
        <v>0</v>
      </c>
      <c r="P34" s="245">
        <f>'Rider Rates'!$D$28</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193</v>
      </c>
      <c r="B35" s="78"/>
      <c r="C35" s="78"/>
      <c r="D35" s="100">
        <f>'Customer Info'!$B$21+'Customer Info'!$B$22-'Customer Info'!$B$23</f>
        <v>0</v>
      </c>
      <c r="E35" s="101" t="s">
        <v>41</v>
      </c>
      <c r="F35" s="102" t="s">
        <v>8</v>
      </c>
      <c r="G35" s="103">
        <f>'Rider Rates'!B45</f>
        <v>4.5009999999999999E-4</v>
      </c>
      <c r="H35" s="103"/>
      <c r="I35" s="103"/>
      <c r="J35" s="237">
        <f>SUM(G35:H35)</f>
        <v>4.5009999999999999E-4</v>
      </c>
      <c r="K35" s="104" t="s">
        <v>42</v>
      </c>
      <c r="L35" s="105">
        <f>ROUND(D35*G35,2)</f>
        <v>0</v>
      </c>
      <c r="M35" s="105"/>
      <c r="N35" s="105"/>
      <c r="O35" s="105">
        <f>SUM(L35:N35)</f>
        <v>0</v>
      </c>
      <c r="P35" s="245">
        <f>'Rider Rates'!$D$45</f>
        <v>45657</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41" t="s">
        <v>210</v>
      </c>
      <c r="B36" s="78"/>
      <c r="C36" s="78"/>
      <c r="D36" s="100"/>
      <c r="E36" s="101" t="s">
        <v>115</v>
      </c>
      <c r="F36" s="102"/>
      <c r="G36" s="103"/>
      <c r="H36" s="103"/>
      <c r="I36" s="103">
        <f>'Rider Rates'!D48</f>
        <v>1.17</v>
      </c>
      <c r="J36" s="103">
        <f>SUM(G36:I36)</f>
        <v>1.17</v>
      </c>
      <c r="K36" s="104" t="s">
        <v>42</v>
      </c>
      <c r="L36" s="105"/>
      <c r="M36" s="105"/>
      <c r="N36" s="105">
        <f>J36</f>
        <v>1.17</v>
      </c>
      <c r="O36" s="105">
        <f>SUM(L36:N36)</f>
        <v>1.17</v>
      </c>
      <c r="P36" s="245">
        <f>'Rider Rates'!E48</f>
        <v>45658</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189</v>
      </c>
      <c r="B37" s="78"/>
      <c r="C37" s="78"/>
      <c r="D37" s="100">
        <f>IF($C$14&lt;0,0,$C$14)</f>
        <v>0</v>
      </c>
      <c r="E37" s="113" t="s">
        <v>41</v>
      </c>
      <c r="F37" s="102" t="s">
        <v>8</v>
      </c>
      <c r="G37" s="103"/>
      <c r="H37" s="103">
        <f>'Rider Rates'!$B$55</f>
        <v>4.3837099999999997E-2</v>
      </c>
      <c r="I37" s="103"/>
      <c r="J37" s="103">
        <f>SUM(G37:I37)</f>
        <v>4.3837099999999997E-2</v>
      </c>
      <c r="K37" s="104" t="s">
        <v>42</v>
      </c>
      <c r="L37" s="105"/>
      <c r="M37" s="105">
        <f>ROUND(D37*H37,2)</f>
        <v>0</v>
      </c>
      <c r="N37" s="205"/>
      <c r="O37" s="105">
        <f t="shared" si="3"/>
        <v>0</v>
      </c>
      <c r="P37" s="245">
        <f>'Rider Rates'!$D$55</f>
        <v>45383</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339</v>
      </c>
      <c r="B38" s="78"/>
      <c r="C38" s="78"/>
      <c r="D38" s="100">
        <f>IF($C$14&lt;0,0,$C$14)</f>
        <v>0</v>
      </c>
      <c r="E38" s="101" t="s">
        <v>41</v>
      </c>
      <c r="F38" s="102" t="s">
        <v>8</v>
      </c>
      <c r="G38" s="103"/>
      <c r="H38" s="103"/>
      <c r="I38" s="103">
        <f>'Rider Rates'!$B$66</f>
        <v>8.6240000000000004E-4</v>
      </c>
      <c r="J38" s="103">
        <f t="shared" ref="J38" si="4">SUM(G38:I38)</f>
        <v>8.6240000000000004E-4</v>
      </c>
      <c r="K38" s="104" t="s">
        <v>42</v>
      </c>
      <c r="L38" s="105"/>
      <c r="M38" s="105"/>
      <c r="N38" s="105">
        <f>ROUND($D$38*'Rider Rates'!$B$66,2)</f>
        <v>0</v>
      </c>
      <c r="O38" s="105">
        <f>SUM(L38:N38)</f>
        <v>0</v>
      </c>
      <c r="P38" s="245">
        <f>'Rider Rates'!$D$66</f>
        <v>45532</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96</v>
      </c>
      <c r="B39" s="78"/>
      <c r="C39" s="78"/>
      <c r="D39" s="100">
        <f>IF('Customer Info'!C34=TRUE,0,IF($C$14&lt;0,0,$C$14))</f>
        <v>0</v>
      </c>
      <c r="E39" s="101" t="s">
        <v>41</v>
      </c>
      <c r="F39" s="102" t="s">
        <v>8</v>
      </c>
      <c r="G39" s="103"/>
      <c r="H39" s="103"/>
      <c r="I39" s="103">
        <f>'Rider Rates'!$B$69+'Rider Rates'!$C$69</f>
        <v>0</v>
      </c>
      <c r="J39" s="103">
        <f t="shared" si="0"/>
        <v>0</v>
      </c>
      <c r="K39" s="104" t="s">
        <v>42</v>
      </c>
      <c r="L39" s="105"/>
      <c r="M39" s="105"/>
      <c r="N39" s="105">
        <f>ROUND($D$39*'Rider Rates'!$B$69,2)+ROUND($D$39*'Rider Rates'!$C$69,2)</f>
        <v>0</v>
      </c>
      <c r="O39" s="105">
        <f>SUM(L39:N39)</f>
        <v>0</v>
      </c>
      <c r="P39" s="245">
        <f>'Rider Rates'!$D$69</f>
        <v>45444</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81</v>
      </c>
      <c r="B40" s="78"/>
      <c r="C40" s="78"/>
      <c r="D40" s="195">
        <f>$N$21</f>
        <v>10</v>
      </c>
      <c r="E40" s="101" t="s">
        <v>122</v>
      </c>
      <c r="F40" s="102" t="s">
        <v>8</v>
      </c>
      <c r="G40" s="111"/>
      <c r="H40" s="112"/>
      <c r="I40" s="120">
        <f>'Rider Rates'!$B$85</f>
        <v>4.94232E-2</v>
      </c>
      <c r="J40" s="120">
        <f t="shared" si="0"/>
        <v>4.94232E-2</v>
      </c>
      <c r="K40" s="104"/>
      <c r="L40" s="105"/>
      <c r="M40" s="105"/>
      <c r="N40" s="105">
        <f>ROUND(D40*I40,2)</f>
        <v>0.49</v>
      </c>
      <c r="O40" s="105">
        <f>SUM(L40:N40)</f>
        <v>0.49</v>
      </c>
      <c r="P40" s="245">
        <f>'Rider Rates'!$D$85</f>
        <v>45562</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82</v>
      </c>
      <c r="B41" s="78"/>
      <c r="C41" s="78"/>
      <c r="D41" s="195">
        <f>$N$21</f>
        <v>10</v>
      </c>
      <c r="E41" s="101" t="s">
        <v>122</v>
      </c>
      <c r="F41" s="102" t="s">
        <v>8</v>
      </c>
      <c r="G41" s="114"/>
      <c r="H41" s="115"/>
      <c r="I41" s="120">
        <f>'Rider Rates'!$B$87</f>
        <v>6.6985699999999995E-2</v>
      </c>
      <c r="J41" s="120">
        <f t="shared" si="0"/>
        <v>6.6985699999999995E-2</v>
      </c>
      <c r="K41" s="104"/>
      <c r="L41" s="105"/>
      <c r="M41" s="105"/>
      <c r="N41" s="105">
        <f>ROUND(D41*I41,2)</f>
        <v>0.67</v>
      </c>
      <c r="O41" s="105">
        <f>SUM(L41:N41)</f>
        <v>0.67</v>
      </c>
      <c r="P41" s="245">
        <f>'Rider Rates'!$D$87</f>
        <v>45167</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206</v>
      </c>
      <c r="B42" s="78"/>
      <c r="C42" s="78"/>
      <c r="D42" s="195"/>
      <c r="E42" s="113" t="s">
        <v>115</v>
      </c>
      <c r="F42" s="106"/>
      <c r="G42" s="114"/>
      <c r="H42" s="115"/>
      <c r="I42" s="196">
        <f>'Rider Rates'!$B$90</f>
        <v>2.08</v>
      </c>
      <c r="J42" s="196">
        <f t="shared" si="0"/>
        <v>2.08</v>
      </c>
      <c r="K42" s="104"/>
      <c r="L42" s="105"/>
      <c r="M42" s="105"/>
      <c r="N42" s="105">
        <f>I42</f>
        <v>2.08</v>
      </c>
      <c r="O42" s="105">
        <f>SUM(L42:N42)</f>
        <v>2.08</v>
      </c>
      <c r="P42" s="245">
        <f>'Rider Rates'!$D$90</f>
        <v>45657</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239</v>
      </c>
      <c r="B43" s="78"/>
      <c r="C43" s="78"/>
      <c r="D43" s="100">
        <f>IF($C$14&lt;0,0,$C$14)</f>
        <v>0</v>
      </c>
      <c r="E43" s="101" t="s">
        <v>41</v>
      </c>
      <c r="F43" s="102" t="s">
        <v>8</v>
      </c>
      <c r="G43" s="103"/>
      <c r="H43" s="103"/>
      <c r="I43" s="103"/>
      <c r="J43" s="103">
        <f>'Rider Rates'!$B$94</f>
        <v>0</v>
      </c>
      <c r="K43" s="104" t="s">
        <v>42</v>
      </c>
      <c r="L43" s="105"/>
      <c r="M43" s="105"/>
      <c r="N43" s="105"/>
      <c r="O43" s="105">
        <f>ROUND($D43*('Rider Rates'!B$94),2)</f>
        <v>0</v>
      </c>
      <c r="P43" s="245">
        <f>'Rider Rates'!$D$94</f>
        <v>44531</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156</v>
      </c>
      <c r="B44" s="78"/>
      <c r="C44" s="78"/>
      <c r="D44" s="195">
        <f>$N$21</f>
        <v>10</v>
      </c>
      <c r="E44" s="101" t="s">
        <v>122</v>
      </c>
      <c r="F44" s="102" t="s">
        <v>8</v>
      </c>
      <c r="G44" s="114"/>
      <c r="H44" s="115"/>
      <c r="I44" s="120">
        <f>'Rider Rates'!$B$105</f>
        <v>0.2363101</v>
      </c>
      <c r="J44" s="120">
        <f t="shared" si="0"/>
        <v>0.2363101</v>
      </c>
      <c r="K44" s="104"/>
      <c r="L44" s="105"/>
      <c r="M44" s="105"/>
      <c r="N44" s="105">
        <f>ROUND(D44*I44,2)</f>
        <v>2.36</v>
      </c>
      <c r="O44" s="105">
        <f t="shared" ref="O44:O49" si="5">SUM(L44:N44)</f>
        <v>2.36</v>
      </c>
      <c r="P44" s="245">
        <f>'Rider Rates'!$D$105</f>
        <v>45622</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209</v>
      </c>
      <c r="B45" s="78"/>
      <c r="C45" s="78"/>
      <c r="D45" s="195"/>
      <c r="E45" s="113" t="s">
        <v>115</v>
      </c>
      <c r="F45" s="106"/>
      <c r="G45" s="114"/>
      <c r="H45" s="115"/>
      <c r="I45" s="196">
        <f>'Rider Rates'!$B$108</f>
        <v>0</v>
      </c>
      <c r="J45" s="196">
        <f t="shared" si="0"/>
        <v>0</v>
      </c>
      <c r="K45" s="104"/>
      <c r="L45" s="105"/>
      <c r="M45" s="105"/>
      <c r="N45" s="105">
        <f>I45</f>
        <v>0</v>
      </c>
      <c r="O45" s="105">
        <f t="shared" si="5"/>
        <v>0</v>
      </c>
      <c r="P45" s="245">
        <f>'Rider Rates'!$D$108</f>
        <v>44894</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217</v>
      </c>
      <c r="B46" s="78"/>
      <c r="C46" s="78"/>
      <c r="D46" s="195"/>
      <c r="E46" s="113" t="s">
        <v>115</v>
      </c>
      <c r="F46" s="106"/>
      <c r="G46" s="114"/>
      <c r="H46" s="115"/>
      <c r="I46" s="258">
        <f>'Rider Rates'!B121</f>
        <v>0.97</v>
      </c>
      <c r="J46" s="196">
        <f t="shared" si="0"/>
        <v>0.97</v>
      </c>
      <c r="K46" s="104"/>
      <c r="L46" s="105"/>
      <c r="M46" s="105"/>
      <c r="N46" s="260">
        <f>I46</f>
        <v>0.97</v>
      </c>
      <c r="O46" s="105">
        <f t="shared" si="5"/>
        <v>0.97</v>
      </c>
      <c r="P46" s="245">
        <f>'Rider Rates'!D121</f>
        <v>45593</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Info'!$B$21+'Customer Info'!$B$22-'Customer Info'!$B$23</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5"/>
        <v>0</v>
      </c>
      <c r="P47" s="245">
        <f>'Rider Rates'!$D$112</f>
        <v>44531</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208</v>
      </c>
      <c r="B48" s="78"/>
      <c r="C48" s="78"/>
      <c r="D48" s="100">
        <f>IF($C$14&lt;1,0,$C$14)</f>
        <v>0</v>
      </c>
      <c r="E48" s="101" t="s">
        <v>41</v>
      </c>
      <c r="F48" s="249" t="s">
        <v>8</v>
      </c>
      <c r="G48" s="103"/>
      <c r="H48" s="103"/>
      <c r="I48" s="237">
        <f>'Rider Rates'!$B$117</f>
        <v>0</v>
      </c>
      <c r="J48" s="237">
        <f>SUM(G48:I48)</f>
        <v>0</v>
      </c>
      <c r="K48" s="104" t="s">
        <v>42</v>
      </c>
      <c r="L48" s="105"/>
      <c r="M48" s="105"/>
      <c r="N48" s="105">
        <f>D48*J48</f>
        <v>0</v>
      </c>
      <c r="O48" s="105">
        <f t="shared" si="5"/>
        <v>0</v>
      </c>
      <c r="P48" s="245">
        <f>'Rider Rates'!D117</f>
        <v>45657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230</v>
      </c>
      <c r="B49" s="78"/>
      <c r="C49" s="78"/>
      <c r="D49" s="100"/>
      <c r="E49" s="101" t="s">
        <v>115</v>
      </c>
      <c r="F49" s="102" t="s">
        <v>8</v>
      </c>
      <c r="G49" s="263"/>
      <c r="H49" s="263"/>
      <c r="I49" s="263">
        <f>'Rider Rates'!$B$125</f>
        <v>0.1</v>
      </c>
      <c r="J49" s="263">
        <f>SUM(G49:I49)</f>
        <v>0.1</v>
      </c>
      <c r="K49" s="104"/>
      <c r="L49" s="209"/>
      <c r="M49" s="209"/>
      <c r="N49" s="209">
        <f>J49</f>
        <v>0.1</v>
      </c>
      <c r="O49" s="209">
        <f t="shared" si="5"/>
        <v>0.1</v>
      </c>
      <c r="P49" s="264">
        <f>'Rider Rates'!$E$125</f>
        <v>45658</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242</v>
      </c>
      <c r="B50" s="78"/>
      <c r="C50" s="78"/>
      <c r="D50" s="100">
        <f>C14</f>
        <v>0</v>
      </c>
      <c r="E50" s="101" t="s">
        <v>41</v>
      </c>
      <c r="F50" s="249" t="s">
        <v>8</v>
      </c>
      <c r="G50" s="103"/>
      <c r="H50" s="103"/>
      <c r="I50" s="103">
        <f>'Rider Rates'!$B$130</f>
        <v>0</v>
      </c>
      <c r="J50" s="237">
        <f>SUM(G50:I50)</f>
        <v>0</v>
      </c>
      <c r="K50" s="104" t="s">
        <v>42</v>
      </c>
      <c r="L50" s="105"/>
      <c r="M50" s="105"/>
      <c r="N50" s="105">
        <f>D50*J50</f>
        <v>0</v>
      </c>
      <c r="O50" s="105">
        <f>SUM(L50:N50)</f>
        <v>0</v>
      </c>
      <c r="P50" s="245">
        <f>'Rider Rates'!D130</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241</v>
      </c>
      <c r="B51" s="78"/>
      <c r="C51" s="78"/>
      <c r="D51" s="100"/>
      <c r="E51" s="101" t="s">
        <v>115</v>
      </c>
      <c r="F51" s="102" t="s">
        <v>8</v>
      </c>
      <c r="G51" s="263"/>
      <c r="H51" s="263"/>
      <c r="I51" s="263">
        <f>'Rider Rates'!$B$137</f>
        <v>0</v>
      </c>
      <c r="J51" s="263">
        <f>SUM(G51:I51)</f>
        <v>0</v>
      </c>
      <c r="K51" s="104"/>
      <c r="L51" s="209"/>
      <c r="M51" s="209"/>
      <c r="N51" s="209">
        <f>J51</f>
        <v>0</v>
      </c>
      <c r="O51" s="209">
        <f>SUM(L51:N51)</f>
        <v>0</v>
      </c>
      <c r="P51" s="264">
        <f>'Rider Rates'!$D$133</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243</v>
      </c>
      <c r="B52" s="78"/>
      <c r="C52" s="78"/>
      <c r="D52" s="100"/>
      <c r="E52" s="101"/>
      <c r="F52" s="102"/>
      <c r="G52" s="263"/>
      <c r="H52" s="263"/>
      <c r="I52" s="263"/>
      <c r="J52" s="263"/>
      <c r="K52" s="104"/>
      <c r="L52" s="209"/>
      <c r="M52" s="209"/>
      <c r="N52" s="209"/>
      <c r="O52" s="209"/>
      <c r="P52" s="2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179" t="s">
        <v>71</v>
      </c>
      <c r="B53" s="148"/>
      <c r="C53" s="148"/>
      <c r="D53" s="180"/>
      <c r="E53" s="181"/>
      <c r="F53" s="182"/>
      <c r="G53" s="182"/>
      <c r="H53" s="182"/>
      <c r="I53" s="182"/>
      <c r="J53" s="182"/>
      <c r="K53" s="183"/>
      <c r="L53" s="169">
        <f>SUM(L25:L52)</f>
        <v>0</v>
      </c>
      <c r="M53" s="169">
        <f t="shared" ref="M53:O53" si="6">SUM(M25:M52)</f>
        <v>0</v>
      </c>
      <c r="N53" s="169">
        <f t="shared" si="6"/>
        <v>7.839999999999999</v>
      </c>
      <c r="O53" s="169">
        <f t="shared" si="6"/>
        <v>7.839999999999999</v>
      </c>
      <c r="P53" s="184"/>
      <c r="Q53" s="106"/>
      <c r="R53" s="166"/>
      <c r="S53" s="166"/>
      <c r="T53" s="189"/>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78"/>
      <c r="B54" s="78"/>
      <c r="C54" s="78"/>
      <c r="D54" s="100"/>
      <c r="E54" s="113"/>
      <c r="F54" s="106"/>
      <c r="G54" s="106"/>
      <c r="H54" s="106"/>
      <c r="I54" s="106"/>
      <c r="J54" s="107"/>
      <c r="K54" s="104"/>
      <c r="L54" s="106"/>
      <c r="M54" s="106"/>
      <c r="N54" s="106"/>
      <c r="O54" s="106"/>
      <c r="P54" s="164"/>
      <c r="Q54" s="106"/>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170"/>
      <c r="B55" s="170"/>
      <c r="C55" s="170"/>
      <c r="D55" s="170"/>
      <c r="E55" s="170"/>
      <c r="F55" s="170"/>
      <c r="G55" s="170"/>
      <c r="H55" s="170"/>
      <c r="I55" s="170"/>
      <c r="J55" s="170"/>
      <c r="K55" s="170"/>
      <c r="L55" s="186">
        <f>L21+L53</f>
        <v>0</v>
      </c>
      <c r="M55" s="186">
        <f>M21+M53</f>
        <v>0</v>
      </c>
      <c r="N55" s="186">
        <f>N21+N53</f>
        <v>17.84</v>
      </c>
      <c r="O55" s="187">
        <f>O21+O53</f>
        <v>17.84</v>
      </c>
      <c r="P55" s="187"/>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78"/>
      <c r="E56" s="78"/>
      <c r="F56" s="78"/>
      <c r="G56" s="78"/>
      <c r="H56" s="78"/>
      <c r="I56" s="78"/>
      <c r="J56" s="78"/>
      <c r="K56" s="78"/>
      <c r="L56" s="78"/>
      <c r="M56" s="78"/>
      <c r="N56" s="151"/>
      <c r="O56" s="151"/>
      <c r="P56" s="151"/>
      <c r="Q56" s="16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66" t="s">
        <v>93</v>
      </c>
      <c r="B57" s="78"/>
      <c r="C57" s="78"/>
      <c r="D57" s="78"/>
      <c r="E57" s="78"/>
      <c r="F57" s="78"/>
      <c r="G57" s="78"/>
      <c r="H57" s="78"/>
      <c r="I57" s="78"/>
      <c r="J57" s="78"/>
      <c r="K57" s="78"/>
      <c r="L57" s="78"/>
      <c r="M57" s="78"/>
      <c r="N57" s="78"/>
      <c r="O57" s="109">
        <f>IF($C$14&lt;=0,MIN(O19,O55), O19)</f>
        <v>10</v>
      </c>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166"/>
      <c r="C58" s="166"/>
      <c r="D58" s="166"/>
      <c r="E58" s="166"/>
      <c r="F58" s="166"/>
      <c r="G58" s="166"/>
      <c r="H58" s="166"/>
      <c r="I58" s="78"/>
      <c r="J58" s="78"/>
      <c r="K58" s="78"/>
      <c r="L58" s="78"/>
      <c r="M58" s="78"/>
      <c r="N58" s="151"/>
      <c r="O58" s="151"/>
      <c r="P58" s="151"/>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148" t="s">
        <v>117</v>
      </c>
      <c r="B59" s="151"/>
      <c r="C59" s="151"/>
      <c r="D59" s="151"/>
      <c r="E59" s="151"/>
      <c r="F59" s="151"/>
      <c r="G59" s="151"/>
      <c r="H59" s="151"/>
      <c r="I59" s="151"/>
      <c r="J59" s="151"/>
      <c r="K59" s="151"/>
      <c r="L59" s="151"/>
      <c r="M59" s="151"/>
      <c r="N59" s="151"/>
      <c r="O59" s="190">
        <f>IF($C$14&lt;0,O55,IF(O55&gt;O57,O55,I54))</f>
        <v>17.84</v>
      </c>
      <c r="P59" s="160"/>
      <c r="Q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151"/>
      <c r="C60" s="151"/>
      <c r="D60" s="151"/>
      <c r="E60" s="151"/>
      <c r="F60" s="151"/>
      <c r="G60" s="151"/>
      <c r="H60" s="151"/>
      <c r="I60" s="151"/>
      <c r="J60" s="151"/>
      <c r="K60" s="151"/>
      <c r="L60" s="151"/>
      <c r="M60" s="151"/>
      <c r="N60" s="151"/>
      <c r="O60" s="138"/>
      <c r="P60" s="160"/>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78"/>
      <c r="B61" s="166"/>
      <c r="C61" s="166"/>
      <c r="D61" s="166"/>
      <c r="E61" s="166"/>
      <c r="F61" s="166"/>
      <c r="G61" s="166"/>
      <c r="H61" s="166"/>
      <c r="I61" s="166" t="s">
        <v>121</v>
      </c>
      <c r="J61" s="166"/>
      <c r="K61" s="166"/>
      <c r="L61" s="191"/>
      <c r="M61" s="191"/>
      <c r="N61" s="191"/>
      <c r="O61" s="191">
        <f>ROUND(IF($C$14&lt;1,0,O55/($C$14*100)*10000),2)</f>
        <v>0</v>
      </c>
      <c r="P61" s="37" t="s">
        <v>87</v>
      </c>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row>
    <row r="62" spans="1:236" x14ac:dyDescent="0.25">
      <c r="A62" s="78"/>
      <c r="B62" s="78"/>
      <c r="C62" s="78"/>
      <c r="D62" s="78"/>
      <c r="E62" s="78"/>
      <c r="F62" s="78"/>
      <c r="G62" s="78"/>
      <c r="H62" s="192"/>
      <c r="I62" s="242" t="s">
        <v>190</v>
      </c>
      <c r="J62" s="78"/>
      <c r="K62" s="78"/>
      <c r="L62" s="78"/>
      <c r="M62" s="78"/>
      <c r="N62" s="78"/>
      <c r="O62" s="243">
        <f>ROUND(IF($C$14&lt;1,0,(L55)/($C$14*100)*10000),2)</f>
        <v>0</v>
      </c>
      <c r="P62" s="25" t="s">
        <v>87</v>
      </c>
      <c r="Q62" s="78"/>
      <c r="AE62" s="78"/>
      <c r="AF62" s="78"/>
      <c r="AG62" s="78"/>
      <c r="AH62" s="78"/>
      <c r="AI62" s="78"/>
      <c r="AJ62" s="78"/>
      <c r="AK62" s="78"/>
      <c r="AL62" s="78"/>
      <c r="AM62" s="78"/>
      <c r="AN62" s="78"/>
      <c r="AO62" s="78"/>
      <c r="AP62" s="78"/>
      <c r="AQ62" s="78"/>
      <c r="AR62" s="78"/>
      <c r="AS62" s="78"/>
      <c r="AT62" s="78"/>
      <c r="HE62" s="78"/>
      <c r="HF62" s="78"/>
      <c r="HG62" s="78"/>
      <c r="HH62" s="78"/>
      <c r="HI62" s="78"/>
      <c r="HJ62" s="78"/>
      <c r="HK62" s="78"/>
      <c r="HL62" s="78"/>
      <c r="HM62" s="78"/>
      <c r="HN62" s="78"/>
    </row>
    <row r="63" spans="1:236" x14ac:dyDescent="0.25">
      <c r="A63" s="78"/>
    </row>
    <row r="64" spans="1:236" x14ac:dyDescent="0.25">
      <c r="A64" s="78"/>
    </row>
    <row r="65" spans="1:1" x14ac:dyDescent="0.25">
      <c r="A65" s="78"/>
    </row>
    <row r="66" spans="1:1" x14ac:dyDescent="0.25">
      <c r="A66" s="78"/>
    </row>
    <row r="67" spans="1:1" x14ac:dyDescent="0.25">
      <c r="A67" s="78"/>
    </row>
    <row r="68" spans="1:1" x14ac:dyDescent="0.25">
      <c r="A68" s="78"/>
    </row>
  </sheetData>
  <sheetProtection algorithmName="SHA-512" hashValue="7yapDJpVjA6xRk6JEhiJ3N+VCHZZbcUu7rG6DezbGkhwTEFR8QsZbTpHRrunmawnkll/CMDQm5eacKkPmKXpTw==" saltValue="C+liDEHKQh/QJwdV9BOJlg==" spinCount="100000" sheet="1" objects="1" scenarios="1"/>
  <mergeCells count="9">
    <mergeCell ref="G17:J17"/>
    <mergeCell ref="L17:O17"/>
    <mergeCell ref="A11:I11"/>
    <mergeCell ref="A1:P1"/>
    <mergeCell ref="A2:P2"/>
    <mergeCell ref="A3:P3"/>
    <mergeCell ref="A4:P4"/>
    <mergeCell ref="B5:O5"/>
    <mergeCell ref="A6:K6"/>
  </mergeCells>
  <phoneticPr fontId="0" type="noConversion"/>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47107" r:id="rId5"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47108" r:id="rId6"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dimension ref="A1:IB95"/>
  <sheetViews>
    <sheetView showGridLines="0" topLeftCell="A27" zoomScale="80" zoomScaleNormal="80" workbookViewId="0">
      <selection activeCell="J63" sqref="J63"/>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479" t="s">
        <v>120</v>
      </c>
      <c r="B1" s="479"/>
      <c r="C1" s="479"/>
      <c r="D1" s="479"/>
      <c r="E1" s="479"/>
      <c r="F1" s="479"/>
      <c r="G1" s="479"/>
      <c r="H1" s="479"/>
      <c r="I1" s="479"/>
      <c r="J1" s="479"/>
      <c r="K1" s="479"/>
      <c r="L1" s="479"/>
      <c r="M1" s="479"/>
      <c r="N1" s="479"/>
      <c r="O1" s="479"/>
      <c r="P1" s="479"/>
      <c r="Q1" s="197"/>
    </row>
    <row r="2" spans="1:59" ht="21" x14ac:dyDescent="0.4">
      <c r="A2" s="479" t="s">
        <v>278</v>
      </c>
      <c r="B2" s="479"/>
      <c r="C2" s="479"/>
      <c r="D2" s="479"/>
      <c r="E2" s="479"/>
      <c r="F2" s="479"/>
      <c r="G2" s="479"/>
      <c r="H2" s="479"/>
      <c r="I2" s="479"/>
      <c r="J2" s="479"/>
      <c r="K2" s="479"/>
      <c r="L2" s="479"/>
      <c r="M2" s="479"/>
      <c r="N2" s="479"/>
      <c r="O2" s="479"/>
      <c r="P2" s="479"/>
    </row>
    <row r="3" spans="1:59" ht="17.399999999999999" x14ac:dyDescent="0.3">
      <c r="A3" s="495" t="s">
        <v>116</v>
      </c>
      <c r="B3" s="495"/>
      <c r="C3" s="495"/>
      <c r="D3" s="495"/>
      <c r="E3" s="495"/>
      <c r="F3" s="495"/>
      <c r="G3" s="495"/>
      <c r="H3" s="495"/>
      <c r="I3" s="495"/>
      <c r="J3" s="495"/>
      <c r="K3" s="495"/>
      <c r="L3" s="495"/>
      <c r="M3" s="495"/>
      <c r="N3" s="495"/>
      <c r="O3" s="495"/>
      <c r="P3" s="495"/>
      <c r="Q3" s="198"/>
    </row>
    <row r="4" spans="1:59" ht="15.6" x14ac:dyDescent="0.3">
      <c r="A4" s="480" t="str">
        <f>'Customer Info'!$B$11</f>
        <v>Breakdown of Charges Based on Entered Information</v>
      </c>
      <c r="B4" s="480"/>
      <c r="C4" s="480"/>
      <c r="D4" s="480"/>
      <c r="E4" s="480"/>
      <c r="F4" s="480"/>
      <c r="G4" s="480"/>
      <c r="H4" s="480"/>
      <c r="I4" s="480"/>
      <c r="J4" s="480"/>
      <c r="K4" s="480"/>
      <c r="L4" s="480"/>
      <c r="M4" s="480"/>
      <c r="N4" s="480"/>
      <c r="O4" s="480"/>
      <c r="P4" s="480"/>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45657</v>
      </c>
      <c r="B6" s="487" t="s">
        <v>220</v>
      </c>
      <c r="C6" s="487"/>
      <c r="D6" s="487"/>
      <c r="E6" s="487"/>
      <c r="F6" s="487"/>
      <c r="G6" s="487"/>
      <c r="H6" s="487"/>
      <c r="I6" s="487"/>
      <c r="J6" s="487"/>
      <c r="K6" s="487"/>
      <c r="L6" s="487"/>
      <c r="M6" s="487"/>
      <c r="N6" s="487"/>
      <c r="O6" s="487"/>
    </row>
    <row r="7" spans="1:59" x14ac:dyDescent="0.25">
      <c r="A7" s="478" t="s">
        <v>15</v>
      </c>
      <c r="B7" s="478"/>
      <c r="C7" s="478"/>
      <c r="D7" s="478"/>
      <c r="E7" s="478"/>
      <c r="F7" s="478"/>
      <c r="G7" s="478"/>
      <c r="H7" s="478"/>
      <c r="I7" s="478"/>
      <c r="J7" s="478"/>
      <c r="K7" s="478"/>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100</v>
      </c>
      <c r="B11" s="200">
        <f>'Customer Info'!B9</f>
        <v>1</v>
      </c>
      <c r="C11" s="194" t="str">
        <f>LOOKUP($B$11,$S$11:$AD$11,S12:AD12)</f>
        <v>January</v>
      </c>
      <c r="D11" s="133">
        <f>'Customer Info'!C9</f>
        <v>2025</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5">
      <c r="A13" s="148" t="s">
        <v>27</v>
      </c>
      <c r="B13" s="149"/>
      <c r="C13" s="150"/>
      <c r="D13" s="78"/>
      <c r="E13" s="78"/>
      <c r="F13" s="78"/>
      <c r="G13" s="78"/>
      <c r="H13" s="78"/>
      <c r="I13" s="78"/>
      <c r="J13" s="151"/>
      <c r="K13" s="151"/>
      <c r="L13" s="151"/>
      <c r="M13" s="151"/>
      <c r="N13" s="151"/>
      <c r="O13" s="151"/>
      <c r="P13" s="151"/>
      <c r="R13" s="78" t="s">
        <v>175</v>
      </c>
      <c r="S13" s="246" t="e">
        <f>'Rider Rates'!#REF!</f>
        <v>#REF!</v>
      </c>
      <c r="T13" s="246" t="e">
        <f>'Rider Rates'!#REF!</f>
        <v>#REF!</v>
      </c>
      <c r="U13" s="246" t="e">
        <f>'Rider Rates'!#REF!</f>
        <v>#REF!</v>
      </c>
      <c r="V13" s="246" t="e">
        <f>'Rider Rates'!#REF!</f>
        <v>#REF!</v>
      </c>
      <c r="W13" s="246" t="e">
        <f>'Rider Rates'!#REF!</f>
        <v>#REF!</v>
      </c>
      <c r="X13" s="246" t="e">
        <f>'Rider Rates'!#REF!</f>
        <v>#REF!</v>
      </c>
      <c r="Y13" s="246" t="e">
        <f>'Rider Rates'!#REF!</f>
        <v>#REF!</v>
      </c>
      <c r="Z13" s="246" t="e">
        <f>'Rider Rates'!#REF!</f>
        <v>#REF!</v>
      </c>
      <c r="AA13" s="246" t="e">
        <f>'Rider Rates'!#REF!</f>
        <v>#REF!</v>
      </c>
      <c r="AB13" s="246" t="e">
        <f>'Rider Rates'!#REF!</f>
        <v>#REF!</v>
      </c>
      <c r="AC13" s="246" t="e">
        <f>'Rider Rates'!#REF!</f>
        <v>#REF!</v>
      </c>
      <c r="AD13" s="246" t="e">
        <f>'Rider Rates'!#REF!</f>
        <v>#REF!</v>
      </c>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t="s">
        <v>176</v>
      </c>
      <c r="S14" s="246" t="e">
        <f>'Rider Rates'!#REF!</f>
        <v>#REF!</v>
      </c>
      <c r="T14" s="246" t="e">
        <f>'Rider Rates'!#REF!</f>
        <v>#REF!</v>
      </c>
      <c r="U14" s="246" t="e">
        <f>'Rider Rates'!#REF!</f>
        <v>#REF!</v>
      </c>
      <c r="V14" s="246" t="e">
        <f>'Rider Rates'!#REF!</f>
        <v>#REF!</v>
      </c>
      <c r="W14" s="246" t="e">
        <f>'Rider Rates'!#REF!</f>
        <v>#REF!</v>
      </c>
      <c r="X14" s="246" t="e">
        <f>'Rider Rates'!#REF!</f>
        <v>#REF!</v>
      </c>
      <c r="Y14" s="246" t="e">
        <f>'Rider Rates'!#REF!</f>
        <v>#REF!</v>
      </c>
      <c r="Z14" s="246" t="e">
        <f>'Rider Rates'!#REF!</f>
        <v>#REF!</v>
      </c>
      <c r="AA14" s="246" t="e">
        <f>'Rider Rates'!#REF!</f>
        <v>#REF!</v>
      </c>
      <c r="AB14" s="246" t="e">
        <f>'Rider Rates'!#REF!</f>
        <v>#REF!</v>
      </c>
      <c r="AC14" s="246" t="e">
        <f>'Rider Rates'!#REF!</f>
        <v>#REF!</v>
      </c>
      <c r="AD14" s="246" t="e">
        <f>'Rider Rates'!#REF!</f>
        <v>#REF!</v>
      </c>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t="s">
        <v>187</v>
      </c>
      <c r="S15" s="78">
        <f>'Rider Rates'!$C$21</f>
        <v>7.0209999999999995E-2</v>
      </c>
      <c r="T15" s="78">
        <f>'Rider Rates'!$C$21</f>
        <v>7.0209999999999995E-2</v>
      </c>
      <c r="U15" s="78">
        <f>'Rider Rates'!$C$21</f>
        <v>7.0209999999999995E-2</v>
      </c>
      <c r="V15" s="78">
        <f>'Rider Rates'!$C$21</f>
        <v>7.0209999999999995E-2</v>
      </c>
      <c r="W15" s="78">
        <f>'Rider Rates'!$C$21</f>
        <v>7.0209999999999995E-2</v>
      </c>
      <c r="X15" s="78">
        <f>'Rider Rates'!$B$21</f>
        <v>7.0209999999999995E-2</v>
      </c>
      <c r="Y15" s="78">
        <f>'Rider Rates'!$B$21</f>
        <v>7.0209999999999995E-2</v>
      </c>
      <c r="Z15" s="78">
        <f>'Rider Rates'!$B$21</f>
        <v>7.0209999999999995E-2</v>
      </c>
      <c r="AA15" s="78">
        <f>'Rider Rates'!$B$21</f>
        <v>7.0209999999999995E-2</v>
      </c>
      <c r="AB15" s="78">
        <f>'Rider Rates'!$C$21</f>
        <v>7.0209999999999995E-2</v>
      </c>
      <c r="AC15" s="78">
        <f>'Rider Rates'!$C$21</f>
        <v>7.0209999999999995E-2</v>
      </c>
      <c r="AD15" s="78">
        <f>'Rider Rates'!$C$21</f>
        <v>7.0209999999999995E-2</v>
      </c>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221</v>
      </c>
      <c r="B18" s="78"/>
      <c r="C18" s="154"/>
      <c r="D18" s="261">
        <f>'Customer Info'!B21</f>
        <v>0</v>
      </c>
      <c r="E18" s="78" t="s">
        <v>41</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t="s">
        <v>222</v>
      </c>
      <c r="B19" s="78"/>
      <c r="C19" s="154"/>
      <c r="D19" s="261">
        <f>'Customer Info'!B22</f>
        <v>0</v>
      </c>
      <c r="E19" s="78" t="s">
        <v>41</v>
      </c>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484" t="s">
        <v>68</v>
      </c>
      <c r="H23" s="485"/>
      <c r="I23" s="485"/>
      <c r="J23" s="486"/>
      <c r="K23" s="159"/>
      <c r="L23" s="481" t="s">
        <v>69</v>
      </c>
      <c r="M23" s="482"/>
      <c r="N23" s="482"/>
      <c r="O23" s="483"/>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38" si="0">SUM(G31:I31)</f>
        <v>4.6278999999999999E-3</v>
      </c>
      <c r="K31" s="104" t="s">
        <v>42</v>
      </c>
      <c r="L31" s="105"/>
      <c r="M31" s="105"/>
      <c r="N31" s="105">
        <f t="shared" ref="N31:N37" si="1">ROUND(D31*I31,2)</f>
        <v>0</v>
      </c>
      <c r="O31" s="250">
        <f t="shared" ref="O31:O55"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114</v>
      </c>
      <c r="B36" s="78"/>
      <c r="C36" s="78"/>
      <c r="D36" s="290">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 t="shared" si="0"/>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237</v>
      </c>
      <c r="B38" s="78"/>
      <c r="C38" s="78"/>
      <c r="D38" s="195">
        <f>$N$27</f>
        <v>10</v>
      </c>
      <c r="E38" s="101" t="s">
        <v>122</v>
      </c>
      <c r="F38" s="102" t="s">
        <v>8</v>
      </c>
      <c r="G38" s="103"/>
      <c r="H38" s="103"/>
      <c r="I38" s="178">
        <f>'Rider Rates'!$B$18+'Rider Rates'!$E$18</f>
        <v>0</v>
      </c>
      <c r="J38" s="178">
        <f t="shared" si="0"/>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186</v>
      </c>
      <c r="B39" s="78"/>
      <c r="C39" s="78"/>
      <c r="D39" s="100">
        <f>'Customer Info'!$B$21+'Customer Info'!$B$22</f>
        <v>0</v>
      </c>
      <c r="E39" s="101" t="s">
        <v>41</v>
      </c>
      <c r="F39" s="102" t="s">
        <v>8</v>
      </c>
      <c r="G39" s="103">
        <f>'Rider Rates'!B21</f>
        <v>7.0209999999999995E-2</v>
      </c>
      <c r="H39" s="103"/>
      <c r="I39" s="103"/>
      <c r="J39" s="237">
        <f>SUM(G39:H39)</f>
        <v>7.0209999999999995E-2</v>
      </c>
      <c r="K39" s="104" t="s">
        <v>42</v>
      </c>
      <c r="L39" s="105">
        <f>ROUND(D39*G39,2)</f>
        <v>0</v>
      </c>
      <c r="M39" s="105"/>
      <c r="N39" s="105"/>
      <c r="O39" s="105">
        <f t="shared" si="2"/>
        <v>0</v>
      </c>
      <c r="P39" s="245">
        <f>'Rider Rates'!$D$21</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162</v>
      </c>
      <c r="B40" s="78"/>
      <c r="C40" s="78"/>
      <c r="D40" s="100">
        <f>D18</f>
        <v>0</v>
      </c>
      <c r="E40" s="101" t="s">
        <v>41</v>
      </c>
      <c r="F40" s="102" t="s">
        <v>8</v>
      </c>
      <c r="G40" s="103">
        <f>'Rider Rates'!B31</f>
        <v>2.67383E-2</v>
      </c>
      <c r="H40" s="103"/>
      <c r="I40" s="103"/>
      <c r="J40" s="237">
        <f>SUM(G40:H40)</f>
        <v>2.67383E-2</v>
      </c>
      <c r="K40" s="104" t="s">
        <v>42</v>
      </c>
      <c r="L40" s="239">
        <f>ROUND($D$40*$G$40,2)</f>
        <v>0</v>
      </c>
      <c r="M40" s="105"/>
      <c r="N40" s="105"/>
      <c r="O40" s="105">
        <f>SUM(L40:N40)</f>
        <v>0</v>
      </c>
      <c r="P40" s="245">
        <f>'Rider Rates'!D31</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219</v>
      </c>
      <c r="B41" s="78"/>
      <c r="C41" s="78"/>
      <c r="D41" s="100">
        <f>D19</f>
        <v>0</v>
      </c>
      <c r="E41" s="101" t="s">
        <v>41</v>
      </c>
      <c r="F41" s="102" t="s">
        <v>8</v>
      </c>
      <c r="G41" s="103">
        <f>'Rider Rates'!B32</f>
        <v>0</v>
      </c>
      <c r="H41" s="103"/>
      <c r="I41" s="103"/>
      <c r="J41" s="237">
        <f>SUM(G41:H41)</f>
        <v>0</v>
      </c>
      <c r="K41" s="104"/>
      <c r="L41" s="239">
        <f>D41*G41</f>
        <v>0</v>
      </c>
      <c r="M41" s="105"/>
      <c r="N41" s="105"/>
      <c r="O41" s="105">
        <f>SUM(L41:N41)</f>
        <v>0</v>
      </c>
      <c r="P41" s="245">
        <f>'Rider Rates'!D32</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193</v>
      </c>
      <c r="B42" s="78"/>
      <c r="C42" s="78"/>
      <c r="D42" s="100">
        <f>'Customer Info'!$B$21+'Customer Info'!$B$22</f>
        <v>0</v>
      </c>
      <c r="E42" s="101" t="s">
        <v>41</v>
      </c>
      <c r="F42" s="102" t="s">
        <v>8</v>
      </c>
      <c r="G42" s="103">
        <f>'Rider Rates'!$B$45</f>
        <v>4.5009999999999999E-4</v>
      </c>
      <c r="H42" s="103"/>
      <c r="I42" s="103"/>
      <c r="J42" s="237">
        <f>SUM(G42:H42)</f>
        <v>4.5009999999999999E-4</v>
      </c>
      <c r="K42" s="104" t="s">
        <v>42</v>
      </c>
      <c r="L42" s="105">
        <f>ROUND(D42*G42,2)</f>
        <v>0</v>
      </c>
      <c r="M42" s="105"/>
      <c r="N42" s="105"/>
      <c r="O42" s="105">
        <f t="shared" si="2"/>
        <v>0</v>
      </c>
      <c r="P42" s="245">
        <f>'Rider Rates'!$D$45</f>
        <v>45657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41" t="s">
        <v>210</v>
      </c>
      <c r="B43" s="78"/>
      <c r="C43" s="78"/>
      <c r="D43" s="100"/>
      <c r="E43" s="101" t="s">
        <v>115</v>
      </c>
      <c r="F43" s="102"/>
      <c r="G43" s="103"/>
      <c r="H43" s="103"/>
      <c r="I43" s="103">
        <f>'Rider Rates'!D48</f>
        <v>1.17</v>
      </c>
      <c r="J43" s="237">
        <f t="shared" ref="J43:J49" si="3">SUM(G43:I43)</f>
        <v>1.17</v>
      </c>
      <c r="K43" s="104"/>
      <c r="L43" s="105"/>
      <c r="M43" s="105"/>
      <c r="N43" s="105">
        <f>J43</f>
        <v>1.17</v>
      </c>
      <c r="O43" s="105">
        <f>SUM(L43:N43)</f>
        <v>1.17</v>
      </c>
      <c r="P43" s="245">
        <f>'Rider Rates'!E48</f>
        <v>45658</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189</v>
      </c>
      <c r="B44" s="78"/>
      <c r="C44" s="78"/>
      <c r="D44" s="100">
        <f>IF($D$17&lt;0,0,$D$17)</f>
        <v>0</v>
      </c>
      <c r="E44" s="113" t="s">
        <v>41</v>
      </c>
      <c r="F44" s="102" t="s">
        <v>8</v>
      </c>
      <c r="G44" s="103"/>
      <c r="H44" s="103">
        <f>'Rider Rates'!$B$55</f>
        <v>4.3837099999999997E-2</v>
      </c>
      <c r="I44" s="103"/>
      <c r="J44" s="103">
        <f t="shared" si="3"/>
        <v>4.3837099999999997E-2</v>
      </c>
      <c r="K44" s="104" t="s">
        <v>42</v>
      </c>
      <c r="L44" s="105"/>
      <c r="M44" s="105">
        <f>ROUND(D44*H44,2)</f>
        <v>0</v>
      </c>
      <c r="N44" s="205"/>
      <c r="O44" s="105">
        <f t="shared" si="2"/>
        <v>0</v>
      </c>
      <c r="P44" s="245">
        <f>'Rider Rates'!$D$55</f>
        <v>45383</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339</v>
      </c>
      <c r="B45" s="78"/>
      <c r="C45" s="78"/>
      <c r="D45" s="100">
        <f>IF($D$17&lt;0,0,$D$17)</f>
        <v>0</v>
      </c>
      <c r="E45" s="101" t="s">
        <v>41</v>
      </c>
      <c r="F45" s="102" t="s">
        <v>8</v>
      </c>
      <c r="G45" s="103"/>
      <c r="H45" s="103"/>
      <c r="I45" s="103">
        <f>'Rider Rates'!$B$66</f>
        <v>8.6240000000000004E-4</v>
      </c>
      <c r="J45" s="103">
        <f t="shared" ref="J45" si="4">SUM(G45:I45)</f>
        <v>8.6240000000000004E-4</v>
      </c>
      <c r="K45" s="104" t="s">
        <v>42</v>
      </c>
      <c r="L45" s="105"/>
      <c r="M45" s="105"/>
      <c r="N45" s="105">
        <f>ROUND($D$45*'Rider Rates'!$B$66,2)</f>
        <v>0</v>
      </c>
      <c r="O45" s="250">
        <f t="shared" ref="O45" si="5">SUM(L45:N45)</f>
        <v>0</v>
      </c>
      <c r="P45" s="245">
        <f>'Rider Rates'!$D$66</f>
        <v>45532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96</v>
      </c>
      <c r="B46" s="78"/>
      <c r="C46" s="78"/>
      <c r="D46" s="100">
        <f>IF('Customer Info'!C34=TRUE,0,IF($D$17&lt;0,0,$D$17))</f>
        <v>0</v>
      </c>
      <c r="E46" s="101" t="s">
        <v>41</v>
      </c>
      <c r="F46" s="102" t="s">
        <v>8</v>
      </c>
      <c r="G46" s="103"/>
      <c r="H46" s="103"/>
      <c r="I46" s="103">
        <f>'Rider Rates'!$B$69+'Rider Rates'!$C$69</f>
        <v>0</v>
      </c>
      <c r="J46" s="103">
        <f t="shared" si="3"/>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$N$27</f>
        <v>10</v>
      </c>
      <c r="E47" s="101" t="s">
        <v>122</v>
      </c>
      <c r="F47" s="102" t="s">
        <v>8</v>
      </c>
      <c r="G47" s="111"/>
      <c r="H47" s="112"/>
      <c r="I47" s="120">
        <f>'Rider Rates'!$B$85</f>
        <v>4.94232E-2</v>
      </c>
      <c r="J47" s="120">
        <f t="shared" si="3"/>
        <v>4.94232E-2</v>
      </c>
      <c r="K47" s="104"/>
      <c r="L47" s="105"/>
      <c r="M47" s="105"/>
      <c r="N47" s="105">
        <f>ROUND(D47*I47,2)</f>
        <v>0.49</v>
      </c>
      <c r="O47" s="105">
        <f t="shared" si="2"/>
        <v>0.49</v>
      </c>
      <c r="P47" s="245">
        <f>'Rider Rates'!$D$85</f>
        <v>45562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82</v>
      </c>
      <c r="B48" s="78"/>
      <c r="C48" s="78"/>
      <c r="D48" s="195">
        <f>$N$27</f>
        <v>10</v>
      </c>
      <c r="E48" s="101" t="s">
        <v>122</v>
      </c>
      <c r="F48" s="102" t="s">
        <v>8</v>
      </c>
      <c r="G48" s="114"/>
      <c r="H48" s="115"/>
      <c r="I48" s="120">
        <f>'Rider Rates'!$B$87</f>
        <v>6.6985699999999995E-2</v>
      </c>
      <c r="J48" s="120">
        <f t="shared" si="3"/>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206</v>
      </c>
      <c r="B49" s="78"/>
      <c r="C49" s="78"/>
      <c r="D49" s="195"/>
      <c r="E49" s="113" t="s">
        <v>115</v>
      </c>
      <c r="F49" s="106"/>
      <c r="G49" s="114"/>
      <c r="H49" s="115"/>
      <c r="I49" s="196">
        <f>'Rider Rates'!$B$90</f>
        <v>2.08</v>
      </c>
      <c r="J49" s="196">
        <f t="shared" si="3"/>
        <v>2.08</v>
      </c>
      <c r="K49" s="104"/>
      <c r="L49" s="105"/>
      <c r="M49" s="105"/>
      <c r="N49" s="105">
        <f>I49</f>
        <v>2.08</v>
      </c>
      <c r="O49" s="250">
        <f>SUM(L49:N49)</f>
        <v>2.08</v>
      </c>
      <c r="P49" s="245">
        <f>'Rider Rates'!$D$90</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99" t="s">
        <v>156</v>
      </c>
      <c r="B51" s="78"/>
      <c r="C51" s="78"/>
      <c r="D51" s="195">
        <f>$N$27</f>
        <v>10</v>
      </c>
      <c r="E51" s="101" t="s">
        <v>122</v>
      </c>
      <c r="F51" s="102" t="s">
        <v>8</v>
      </c>
      <c r="G51" s="114"/>
      <c r="H51" s="115"/>
      <c r="I51" s="120">
        <f>'Rider Rates'!$B$105</f>
        <v>0.2363101</v>
      </c>
      <c r="J51" s="238">
        <f>SUM(G51:I51)</f>
        <v>0.2363101</v>
      </c>
      <c r="K51" s="104"/>
      <c r="L51" s="105"/>
      <c r="M51" s="105"/>
      <c r="N51" s="105">
        <f>ROUND(D51*I51,2)</f>
        <v>2.36</v>
      </c>
      <c r="O51" s="105">
        <f t="shared" si="2"/>
        <v>2.36</v>
      </c>
      <c r="P51" s="245">
        <f>'Rider Rates'!$D$105</f>
        <v>45622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209</v>
      </c>
      <c r="B52" s="78"/>
      <c r="C52" s="78"/>
      <c r="D52" s="195"/>
      <c r="E52" s="113" t="s">
        <v>115</v>
      </c>
      <c r="F52" s="106"/>
      <c r="G52" s="114"/>
      <c r="H52" s="115"/>
      <c r="I52" s="196">
        <f>'Rider Rates'!$B$108</f>
        <v>0</v>
      </c>
      <c r="J52" s="196">
        <f>SUM(G52:I52)</f>
        <v>0</v>
      </c>
      <c r="K52" s="104"/>
      <c r="L52" s="105"/>
      <c r="M52" s="105"/>
      <c r="N52" s="105">
        <f>I52</f>
        <v>0</v>
      </c>
      <c r="O52" s="105">
        <f>SUM(L52:N52)</f>
        <v>0</v>
      </c>
      <c r="P52" s="245">
        <f>'Rider Rates'!$D$108</f>
        <v>44894</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217</v>
      </c>
      <c r="B53" s="78"/>
      <c r="C53" s="78"/>
      <c r="D53" s="195"/>
      <c r="E53" s="113" t="s">
        <v>115</v>
      </c>
      <c r="F53" s="106"/>
      <c r="G53" s="114"/>
      <c r="H53" s="115"/>
      <c r="I53" s="258">
        <f>'Rider Rates'!B121</f>
        <v>0.97</v>
      </c>
      <c r="J53" s="259">
        <f>SUM(G53:I53)</f>
        <v>0.97</v>
      </c>
      <c r="K53" s="104"/>
      <c r="L53" s="105"/>
      <c r="M53" s="105"/>
      <c r="N53" s="260">
        <f>I53</f>
        <v>0.97</v>
      </c>
      <c r="O53" s="105">
        <f>SUM(L53:N53)</f>
        <v>0.97</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99" t="s">
        <v>157</v>
      </c>
      <c r="B54" s="78"/>
      <c r="C54" s="78"/>
      <c r="D54" s="100">
        <f>'Customer Info'!$B$21+'Customer Info'!$B$22</f>
        <v>0</v>
      </c>
      <c r="E54" s="101" t="s">
        <v>41</v>
      </c>
      <c r="F54" s="102" t="s">
        <v>8</v>
      </c>
      <c r="G54" s="103">
        <f>'Rider Rates'!$B$112</f>
        <v>3.8972999999999998E-3</v>
      </c>
      <c r="H54" s="103"/>
      <c r="I54" s="103"/>
      <c r="J54" s="237">
        <f>SUM(G54:H54)</f>
        <v>3.8972999999999998E-3</v>
      </c>
      <c r="K54" s="104" t="s">
        <v>42</v>
      </c>
      <c r="L54" s="105">
        <f>ROUND(D54*G54,2)</f>
        <v>0</v>
      </c>
      <c r="M54" s="105"/>
      <c r="N54" s="105"/>
      <c r="O54" s="105">
        <f t="shared" si="2"/>
        <v>0</v>
      </c>
      <c r="P54" s="245">
        <f>'Rider Rates'!$D$112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208</v>
      </c>
      <c r="B55" s="78"/>
      <c r="C55" s="78"/>
      <c r="D55" s="100">
        <f>IF($D$17&lt;1,0,$D$17)</f>
        <v>0</v>
      </c>
      <c r="E55" s="101" t="s">
        <v>41</v>
      </c>
      <c r="F55" s="249" t="s">
        <v>8</v>
      </c>
      <c r="G55" s="103"/>
      <c r="H55" s="103"/>
      <c r="I55" s="103">
        <f>'Rider Rates'!$B$117</f>
        <v>0</v>
      </c>
      <c r="J55" s="237">
        <f>SUM(G55:I55)</f>
        <v>0</v>
      </c>
      <c r="K55" s="104" t="s">
        <v>42</v>
      </c>
      <c r="L55" s="105"/>
      <c r="M55" s="105"/>
      <c r="N55" s="105">
        <f>D55*J55</f>
        <v>0</v>
      </c>
      <c r="O55" s="105">
        <f t="shared" si="2"/>
        <v>0</v>
      </c>
      <c r="P55" s="245">
        <f>'Rider Rates'!D117</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230</v>
      </c>
      <c r="B56" s="78"/>
      <c r="C56" s="78"/>
      <c r="D56" s="100"/>
      <c r="E56" s="101" t="s">
        <v>115</v>
      </c>
      <c r="F56" s="102" t="s">
        <v>8</v>
      </c>
      <c r="G56" s="263"/>
      <c r="H56" s="263"/>
      <c r="I56" s="263">
        <f>'Rider Rates'!$B$125</f>
        <v>0.1</v>
      </c>
      <c r="J56" s="263">
        <f>SUM(G56:I56)</f>
        <v>0.1</v>
      </c>
      <c r="K56" s="104"/>
      <c r="L56" s="209"/>
      <c r="M56" s="209"/>
      <c r="N56" s="209">
        <f>J56</f>
        <v>0.1</v>
      </c>
      <c r="O56" s="209">
        <f>SUM(L56:N56)</f>
        <v>0.1</v>
      </c>
      <c r="P56" s="264">
        <f>'Rider Rates'!$E$125</f>
        <v>45658</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242</v>
      </c>
      <c r="B57" s="78"/>
      <c r="C57" s="78"/>
      <c r="D57" s="100">
        <f>C19</f>
        <v>0</v>
      </c>
      <c r="E57" s="101" t="s">
        <v>41</v>
      </c>
      <c r="F57" s="249" t="s">
        <v>8</v>
      </c>
      <c r="G57" s="103"/>
      <c r="H57" s="103"/>
      <c r="I57" s="103">
        <f>'Rider Rates'!$B$130</f>
        <v>0</v>
      </c>
      <c r="J57" s="237">
        <f>SUM(G57:I57)</f>
        <v>0</v>
      </c>
      <c r="K57" s="104" t="s">
        <v>42</v>
      </c>
      <c r="L57" s="105"/>
      <c r="M57" s="105"/>
      <c r="N57" s="105">
        <f>D57*J57</f>
        <v>0</v>
      </c>
      <c r="O57" s="105">
        <f>SUM(L57:N57)</f>
        <v>0</v>
      </c>
      <c r="P57" s="245">
        <f>'Rider Rates'!D135</f>
        <v>0</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241</v>
      </c>
      <c r="B58" s="78"/>
      <c r="C58" s="78"/>
      <c r="D58" s="100"/>
      <c r="E58" s="101" t="s">
        <v>115</v>
      </c>
      <c r="F58" s="102" t="s">
        <v>8</v>
      </c>
      <c r="G58" s="263"/>
      <c r="H58" s="263"/>
      <c r="I58" s="263">
        <f>'Rider Rates'!$B$137</f>
        <v>0</v>
      </c>
      <c r="J58" s="263">
        <f>SUM(G58:I58)</f>
        <v>0</v>
      </c>
      <c r="K58" s="104"/>
      <c r="L58" s="209"/>
      <c r="M58" s="209"/>
      <c r="N58" s="209">
        <f>J58</f>
        <v>0</v>
      </c>
      <c r="O58" s="209">
        <f>SUM(L58:N58)</f>
        <v>0</v>
      </c>
      <c r="P58" s="264">
        <f>'Rider Rates'!$D$133</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243</v>
      </c>
      <c r="B59" s="78"/>
      <c r="C59" s="78"/>
      <c r="D59" s="100"/>
      <c r="E59" s="101"/>
      <c r="F59" s="102"/>
      <c r="G59" s="263"/>
      <c r="H59" s="263"/>
      <c r="I59" s="263"/>
      <c r="J59" s="263"/>
      <c r="K59" s="104"/>
      <c r="L59" s="209"/>
      <c r="M59" s="209"/>
      <c r="N59" s="209"/>
      <c r="O59" s="209"/>
      <c r="P59" s="264"/>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79" t="s">
        <v>71</v>
      </c>
      <c r="B60" s="148"/>
      <c r="C60" s="148"/>
      <c r="D60" s="180"/>
      <c r="E60" s="181"/>
      <c r="F60" s="182"/>
      <c r="G60" s="182"/>
      <c r="H60" s="182"/>
      <c r="I60" s="182"/>
      <c r="J60" s="182"/>
      <c r="K60" s="183"/>
      <c r="L60" s="169">
        <f>SUM(L31:L59)</f>
        <v>0</v>
      </c>
      <c r="M60" s="169">
        <f t="shared" ref="M60:O60" si="6">SUM(M31:M59)</f>
        <v>0</v>
      </c>
      <c r="N60" s="169">
        <f t="shared" si="6"/>
        <v>7.839999999999999</v>
      </c>
      <c r="O60" s="169">
        <f t="shared" si="6"/>
        <v>7.839999999999999</v>
      </c>
      <c r="P60" s="184"/>
      <c r="Q60" s="10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78"/>
      <c r="B61" s="78"/>
      <c r="C61" s="78"/>
      <c r="D61" s="100"/>
      <c r="E61" s="113"/>
      <c r="F61" s="106"/>
      <c r="G61" s="106"/>
      <c r="H61" s="106"/>
      <c r="I61" s="106"/>
      <c r="J61" s="107"/>
      <c r="K61" s="104"/>
      <c r="L61" s="106"/>
      <c r="M61" s="106"/>
      <c r="N61" s="106"/>
      <c r="O61" s="106"/>
      <c r="P61" s="164"/>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85" t="s">
        <v>94</v>
      </c>
      <c r="B62" s="170"/>
      <c r="C62" s="170"/>
      <c r="D62" s="170"/>
      <c r="E62" s="170"/>
      <c r="F62" s="170"/>
      <c r="G62" s="170"/>
      <c r="H62" s="170"/>
      <c r="I62" s="170"/>
      <c r="J62" s="170"/>
      <c r="K62" s="170"/>
      <c r="L62" s="186">
        <f>L27+L60</f>
        <v>0</v>
      </c>
      <c r="M62" s="186">
        <f>M27+M60</f>
        <v>0</v>
      </c>
      <c r="N62" s="186">
        <f>N27+N60</f>
        <v>17.84</v>
      </c>
      <c r="O62" s="187">
        <f>O27+O60</f>
        <v>17.84</v>
      </c>
      <c r="P62" s="187"/>
      <c r="Q62" s="10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78"/>
      <c r="B64" s="78"/>
      <c r="C64" s="78"/>
      <c r="D64" s="78"/>
      <c r="E64" s="78"/>
      <c r="F64" s="78"/>
      <c r="G64" s="78"/>
      <c r="H64" s="78"/>
      <c r="I64" s="78"/>
      <c r="J64" s="78"/>
      <c r="K64" s="78"/>
      <c r="L64" s="78"/>
      <c r="M64" s="78"/>
      <c r="N64" s="151"/>
      <c r="O64" s="151"/>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93</v>
      </c>
      <c r="B65" s="78"/>
      <c r="C65" s="78"/>
      <c r="D65" s="78"/>
      <c r="E65" s="78"/>
      <c r="F65" s="78"/>
      <c r="G65" s="78"/>
      <c r="H65" s="78"/>
      <c r="I65" s="78"/>
      <c r="J65" s="78"/>
      <c r="K65" s="78"/>
      <c r="L65" s="78"/>
      <c r="M65" s="78"/>
      <c r="N65" s="78"/>
      <c r="O65" s="109">
        <f>IF(D17&lt;0,MIN(O25,O62),O25)</f>
        <v>10</v>
      </c>
      <c r="P65" s="151"/>
      <c r="Q65" s="166"/>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66" t="s">
        <v>15</v>
      </c>
      <c r="B66" s="166"/>
      <c r="C66" s="166"/>
      <c r="D66" s="166"/>
      <c r="E66" s="166"/>
      <c r="F66" s="166"/>
      <c r="G66" s="166"/>
      <c r="H66" s="166"/>
      <c r="I66" s="78"/>
      <c r="J66" s="78"/>
      <c r="K66" s="78"/>
      <c r="L66" s="78"/>
      <c r="M66" s="78"/>
      <c r="N66" s="151"/>
      <c r="O66" s="151"/>
      <c r="P66" s="151"/>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t="s">
        <v>117</v>
      </c>
      <c r="B67" s="151"/>
      <c r="C67" s="151"/>
      <c r="D67" s="151"/>
      <c r="E67" s="151"/>
      <c r="F67" s="151"/>
      <c r="G67" s="151"/>
      <c r="H67" s="151"/>
      <c r="I67" s="151"/>
      <c r="J67" s="151"/>
      <c r="K67" s="151"/>
      <c r="L67" s="151"/>
      <c r="M67" s="151"/>
      <c r="N67" s="151"/>
      <c r="O67" s="190">
        <f>IF($D$17&lt;0,O62,IF(O62&gt;O65,O62,O65))</f>
        <v>17.84</v>
      </c>
      <c r="P67" s="160"/>
      <c r="Q67" s="78"/>
      <c r="R67" s="107"/>
      <c r="S67" s="108"/>
      <c r="T67" s="109"/>
      <c r="U67" s="78"/>
      <c r="V67" s="110"/>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51"/>
      <c r="C68" s="151"/>
      <c r="D68" s="151"/>
      <c r="E68" s="151"/>
      <c r="F68" s="151"/>
      <c r="G68" s="151"/>
      <c r="H68" s="151"/>
      <c r="I68" s="151"/>
      <c r="J68" s="151"/>
      <c r="K68" s="151"/>
      <c r="L68" s="151"/>
      <c r="M68" s="151"/>
      <c r="N68" s="151"/>
      <c r="O68" s="138"/>
      <c r="P68" s="160"/>
      <c r="Q68" s="78"/>
      <c r="AE68" s="291"/>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row>
    <row r="69" spans="1:236" x14ac:dyDescent="0.25">
      <c r="A69" s="148"/>
      <c r="B69" s="166"/>
      <c r="C69" s="166"/>
      <c r="D69" s="166"/>
      <c r="E69" s="166"/>
      <c r="F69" s="166"/>
      <c r="G69" s="166"/>
      <c r="H69" s="166"/>
      <c r="I69" s="166" t="s">
        <v>121</v>
      </c>
      <c r="J69" s="166"/>
      <c r="K69" s="166"/>
      <c r="L69" s="191"/>
      <c r="M69" s="191"/>
      <c r="N69" s="191"/>
      <c r="O69" s="191">
        <f>ROUND(IF($D$17&lt;1,0,O62/($D$17*100)*10000),2)</f>
        <v>0</v>
      </c>
      <c r="P69" s="37" t="s">
        <v>87</v>
      </c>
      <c r="Q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row>
    <row r="70" spans="1:236" x14ac:dyDescent="0.25">
      <c r="A70" s="37"/>
      <c r="B70" s="78"/>
      <c r="C70" s="78"/>
      <c r="D70" s="78"/>
      <c r="E70" s="78"/>
      <c r="F70" s="78"/>
      <c r="G70" s="78"/>
      <c r="H70" s="192"/>
      <c r="I70" s="242" t="s">
        <v>190</v>
      </c>
      <c r="J70" s="78"/>
      <c r="K70" s="78"/>
      <c r="L70" s="78"/>
      <c r="M70" s="78"/>
      <c r="N70" s="78"/>
      <c r="O70" s="243">
        <f>ROUND(IF($D$17&lt;1,0,(L62)/($D$17*100)*10000),2)</f>
        <v>0</v>
      </c>
      <c r="P70" s="25" t="s">
        <v>87</v>
      </c>
      <c r="Q70" s="78"/>
      <c r="AE70" s="78"/>
      <c r="AF70" s="78"/>
      <c r="AG70" s="78"/>
      <c r="AH70" s="78"/>
      <c r="AI70" s="78"/>
      <c r="AJ70" s="78"/>
      <c r="AK70" s="78"/>
      <c r="AL70" s="78"/>
      <c r="AM70" s="78"/>
      <c r="AN70" s="78"/>
      <c r="AO70" s="78"/>
      <c r="AP70" s="78"/>
      <c r="AQ70" s="78"/>
      <c r="AR70" s="78"/>
      <c r="AS70" s="78"/>
      <c r="AT70" s="78"/>
      <c r="HE70" s="78"/>
      <c r="HF70" s="78"/>
      <c r="HG70" s="78"/>
      <c r="HH70" s="78"/>
      <c r="HI70" s="78"/>
      <c r="HJ70" s="78"/>
      <c r="HK70" s="78"/>
      <c r="HL70" s="78"/>
      <c r="HM70" s="78"/>
      <c r="HN70" s="78"/>
    </row>
    <row r="71" spans="1:236" x14ac:dyDescent="0.25">
      <c r="A71" s="99"/>
      <c r="B71" s="78"/>
      <c r="C71" s="78"/>
      <c r="D71" s="100"/>
      <c r="E71" s="101"/>
      <c r="F71" s="106"/>
      <c r="G71" s="133"/>
      <c r="H71" s="56"/>
      <c r="I71" s="133"/>
      <c r="J71" s="25"/>
      <c r="K71" s="25"/>
      <c r="L71" s="134"/>
      <c r="M71" s="134"/>
      <c r="N71" s="134"/>
      <c r="O71" s="135"/>
      <c r="Q71" s="80"/>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99"/>
      <c r="B72" s="78"/>
      <c r="C72" s="78"/>
      <c r="D72" s="100"/>
      <c r="E72" s="113"/>
      <c r="F72" s="106"/>
      <c r="Q72" s="80"/>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row>
    <row r="73" spans="1:236" x14ac:dyDescent="0.25">
      <c r="A73" s="78"/>
      <c r="D73" s="1"/>
      <c r="E73" s="35"/>
      <c r="F73" s="106"/>
      <c r="Q73" s="80"/>
    </row>
    <row r="74" spans="1:236" x14ac:dyDescent="0.25">
      <c r="A74" s="96"/>
      <c r="D74" s="1"/>
      <c r="E74" s="35"/>
      <c r="F74" s="4"/>
      <c r="Q74" s="36"/>
    </row>
    <row r="75" spans="1:236" x14ac:dyDescent="0.25">
      <c r="A75" s="96"/>
      <c r="D75" s="1"/>
      <c r="E75" s="35"/>
      <c r="F75" s="4"/>
      <c r="Q75" s="36"/>
    </row>
    <row r="76" spans="1:236" x14ac:dyDescent="0.25">
      <c r="A76" s="41"/>
      <c r="B76" s="77"/>
      <c r="C76" s="77"/>
      <c r="D76" s="77"/>
      <c r="E76" s="77"/>
      <c r="F76" s="77"/>
    </row>
    <row r="77" spans="1:236" x14ac:dyDescent="0.25">
      <c r="B77" s="37"/>
      <c r="C77" s="37"/>
      <c r="D77" s="37"/>
      <c r="E77" s="37"/>
      <c r="F77" s="37"/>
      <c r="P77" s="37"/>
      <c r="Q77" s="37"/>
    </row>
    <row r="78" spans="1:236" x14ac:dyDescent="0.25">
      <c r="B78" s="37"/>
      <c r="C78" s="37"/>
      <c r="D78" s="37"/>
      <c r="E78" s="37"/>
      <c r="F78" s="37"/>
      <c r="P78" s="25"/>
      <c r="Q78" s="25"/>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row r="95" spans="1:1" x14ac:dyDescent="0.25">
      <c r="A95" s="477"/>
    </row>
  </sheetData>
  <sheetProtection algorithmName="SHA-512" hashValue="LpQF8AI5j+uH+ZIQvHQ6cUbmdnhRtwdI49CSMTkFL36YnMMDXHm0NSp75cO3Asj8B1jyldwJWotpA9vfyDbA3g==" saltValue="eNKl0TSW/ZQKaNbbvg520A==" spinCount="100000" sheet="1" objects="1" scenarios="1"/>
  <mergeCells count="9">
    <mergeCell ref="G23:J23"/>
    <mergeCell ref="L23:O23"/>
    <mergeCell ref="A81:A95"/>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4754" r:id="rId5" name="Button 2">
              <controlPr defaultSize="0" print="0" autoFill="0" autoPict="0" macro="[0]!Info">
                <anchor moveWithCells="1">
                  <from>
                    <xdr:col>16</xdr:col>
                    <xdr:colOff>579120</xdr:colOff>
                    <xdr:row>88</xdr:row>
                    <xdr:rowOff>68580</xdr:rowOff>
                  </from>
                  <to>
                    <xdr:col>30</xdr:col>
                    <xdr:colOff>236220</xdr:colOff>
                    <xdr:row>89</xdr:row>
                    <xdr:rowOff>144780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dimension ref="A1:HM71"/>
  <sheetViews>
    <sheetView showGridLines="0" topLeftCell="A27" zoomScale="80" zoomScaleNormal="80" workbookViewId="0">
      <selection activeCell="G35" sqref="G35"/>
    </sheetView>
  </sheetViews>
  <sheetFormatPr defaultRowHeight="13.2" x14ac:dyDescent="0.25"/>
  <cols>
    <col min="1" max="1" width="37.5546875" customWidth="1"/>
    <col min="2" max="2" width="2.109375" customWidth="1"/>
    <col min="3" max="3" width="14.5546875" customWidth="1"/>
    <col min="4" max="4" width="15.44140625" customWidth="1"/>
    <col min="5" max="5" width="9.88671875" customWidth="1"/>
    <col min="6" max="6" width="5.5546875" customWidth="1"/>
    <col min="7" max="8" width="13.44140625" customWidth="1"/>
    <col min="9" max="9" width="14.5546875" customWidth="1"/>
    <col min="10" max="10" width="14.88671875" bestFit="1" customWidth="1"/>
    <col min="11" max="11" width="7" customWidth="1"/>
    <col min="12" max="12" width="15.109375" customWidth="1"/>
    <col min="13" max="13" width="17.44140625" bestFit="1" customWidth="1"/>
    <col min="14" max="14" width="16.5546875" customWidth="1"/>
    <col min="15" max="15" width="17.44140625" bestFit="1" customWidth="1"/>
    <col min="16" max="16" width="12.88671875" bestFit="1" customWidth="1"/>
    <col min="18" max="18" width="13.886718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174</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c r="L5" s="75"/>
      <c r="M5" s="75"/>
      <c r="N5" s="75"/>
      <c r="O5" s="75"/>
      <c r="P5" s="75"/>
    </row>
    <row r="6" spans="1:30" x14ac:dyDescent="0.25">
      <c r="A6" s="76">
        <f ca="1">TODAY()</f>
        <v>45657</v>
      </c>
      <c r="B6" s="206" t="s">
        <v>236</v>
      </c>
      <c r="C6" s="206"/>
      <c r="D6" s="206"/>
      <c r="E6" s="206"/>
      <c r="F6" s="206"/>
      <c r="G6" s="206"/>
      <c r="H6" s="206"/>
      <c r="I6" s="206"/>
      <c r="J6" s="206"/>
      <c r="K6" s="206"/>
      <c r="L6" s="206"/>
      <c r="M6" s="206"/>
      <c r="N6" s="206"/>
      <c r="O6" s="206"/>
    </row>
    <row r="7" spans="1:30" x14ac:dyDescent="0.25">
      <c r="A7" s="478" t="s">
        <v>15</v>
      </c>
      <c r="B7" s="478"/>
      <c r="C7" s="478"/>
      <c r="D7" s="478"/>
      <c r="E7" s="478"/>
      <c r="F7" s="478"/>
      <c r="G7" s="478"/>
      <c r="H7" s="478"/>
      <c r="I7" s="478"/>
      <c r="J7" s="478"/>
      <c r="K7" s="478"/>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97" t="s">
        <v>27</v>
      </c>
      <c r="B13" s="18"/>
      <c r="C13" s="18"/>
      <c r="D13" s="18"/>
      <c r="E13" s="18"/>
      <c r="F13" s="18"/>
      <c r="G13" s="18"/>
      <c r="H13" s="18"/>
      <c r="I13" s="18"/>
      <c r="R13" s="78" t="s">
        <v>168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18"/>
      <c r="B14" s="18"/>
      <c r="C14" s="18"/>
      <c r="D14" s="18"/>
      <c r="E14" s="18"/>
      <c r="F14" s="18"/>
      <c r="G14" s="18"/>
      <c r="H14" s="18"/>
      <c r="I14" s="18"/>
      <c r="R14" s="78" t="s">
        <v>169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43</v>
      </c>
      <c r="B15" s="31"/>
      <c r="C15" s="32">
        <f>IF('Customer Info'!B21+'Customer Info'!B22-'Customer Info'!B23&lt;0,0,'Customer Info'!B21+'Customer Info'!B22-'Customer Info'!B23)</f>
        <v>0</v>
      </c>
      <c r="D15" s="31" t="s">
        <v>41</v>
      </c>
      <c r="E15" s="31"/>
      <c r="F15" s="33"/>
      <c r="G15" s="31"/>
      <c r="H15" s="31"/>
      <c r="I15" s="31"/>
      <c r="R15" s="3" t="s">
        <v>187</v>
      </c>
      <c r="S15">
        <f>'Rider Rates'!$C$21</f>
        <v>7.0209999999999995E-2</v>
      </c>
      <c r="T15">
        <f>'Rider Rates'!$C$21</f>
        <v>7.0209999999999995E-2</v>
      </c>
      <c r="U15">
        <f>'Rider Rates'!$C$21</f>
        <v>7.0209999999999995E-2</v>
      </c>
      <c r="V15">
        <f>'Rider Rates'!$C$21</f>
        <v>7.0209999999999995E-2</v>
      </c>
      <c r="W15">
        <f>'Rider Rates'!$C$21</f>
        <v>7.0209999999999995E-2</v>
      </c>
      <c r="X15">
        <f>'Rider Rates'!$B$21</f>
        <v>7.0209999999999995E-2</v>
      </c>
      <c r="Y15">
        <f>'Rider Rates'!$B$21</f>
        <v>7.0209999999999995E-2</v>
      </c>
      <c r="Z15">
        <f>'Rider Rates'!$B$21</f>
        <v>7.0209999999999995E-2</v>
      </c>
      <c r="AA15">
        <f>'Rider Rates'!$B$21</f>
        <v>7.0209999999999995E-2</v>
      </c>
      <c r="AB15">
        <f>'Rider Rates'!$C$21</f>
        <v>7.0209999999999995E-2</v>
      </c>
      <c r="AC15">
        <f>'Rider Rates'!$C$21</f>
        <v>7.0209999999999995E-2</v>
      </c>
      <c r="AD15">
        <f>'Rider Rates'!$C$21</f>
        <v>7.0209999999999995E-2</v>
      </c>
    </row>
    <row r="16" spans="1:30" x14ac:dyDescent="0.25">
      <c r="A16" s="31"/>
      <c r="B16" s="31"/>
      <c r="C16" s="33"/>
      <c r="D16" s="33"/>
      <c r="E16" s="33"/>
      <c r="F16" s="33"/>
      <c r="G16" s="23"/>
      <c r="H16" s="31"/>
      <c r="I16" s="31"/>
    </row>
    <row r="17" spans="1:221" x14ac:dyDescent="0.25">
      <c r="A17" s="28" t="s">
        <v>124</v>
      </c>
      <c r="B17" s="22"/>
      <c r="C17" s="22"/>
      <c r="D17" s="22"/>
      <c r="E17" s="22"/>
      <c r="F17" s="22"/>
      <c r="G17" s="489" t="s">
        <v>68</v>
      </c>
      <c r="H17" s="490"/>
      <c r="I17" s="490"/>
      <c r="J17" s="491"/>
      <c r="K17" s="22"/>
      <c r="L17" s="492" t="s">
        <v>69</v>
      </c>
      <c r="M17" s="492"/>
      <c r="N17" s="492"/>
      <c r="O17" s="492"/>
    </row>
    <row r="18" spans="1:221" x14ac:dyDescent="0.25">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5">
      <c r="A19" t="s">
        <v>32</v>
      </c>
      <c r="G19" s="83"/>
      <c r="H19" s="83"/>
      <c r="I19" s="125">
        <v>10</v>
      </c>
      <c r="J19" s="125">
        <f>SUM(G19:I19)</f>
        <v>10</v>
      </c>
      <c r="L19" s="125"/>
      <c r="M19" s="125"/>
      <c r="N19" s="125">
        <f>I19</f>
        <v>10</v>
      </c>
      <c r="O19" s="125">
        <f>+SUM(L19:N19)</f>
        <v>10</v>
      </c>
      <c r="P19" s="245">
        <v>44531</v>
      </c>
    </row>
    <row r="20" spans="1:221" x14ac:dyDescent="0.25">
      <c r="A20" t="s">
        <v>297</v>
      </c>
      <c r="D20" s="1">
        <f>C15</f>
        <v>0</v>
      </c>
      <c r="E20" s="35" t="s">
        <v>41</v>
      </c>
      <c r="F20" s="4" t="s">
        <v>8</v>
      </c>
      <c r="G20" s="165"/>
      <c r="H20" s="127"/>
      <c r="I20" s="165">
        <v>2.6312499999999999E-2</v>
      </c>
      <c r="J20" s="127">
        <f>SUM(G20:I20)</f>
        <v>2.6312499999999999E-2</v>
      </c>
      <c r="K20" s="36" t="s">
        <v>42</v>
      </c>
      <c r="L20" s="129"/>
      <c r="M20" s="129"/>
      <c r="N20" s="129">
        <f>ROUND($D20*I20,2)</f>
        <v>0</v>
      </c>
      <c r="O20" s="125">
        <f>+SUM(L20:N20)</f>
        <v>0</v>
      </c>
      <c r="P20" s="245">
        <v>44531</v>
      </c>
    </row>
    <row r="21" spans="1:221" x14ac:dyDescent="0.25">
      <c r="A21" s="96" t="s">
        <v>75</v>
      </c>
      <c r="B21" s="37"/>
      <c r="C21" s="37"/>
      <c r="D21" s="38"/>
      <c r="E21" s="38"/>
      <c r="F21" s="37"/>
      <c r="G21" s="37"/>
      <c r="I21" s="40"/>
      <c r="K21" s="39"/>
      <c r="L21" s="95"/>
      <c r="M21" s="54"/>
      <c r="N21" s="95">
        <f>SUM(N17:N20)</f>
        <v>10</v>
      </c>
      <c r="O21" s="95">
        <f>SUM(O19:O20)</f>
        <v>10</v>
      </c>
      <c r="R21" s="175"/>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70</v>
      </c>
      <c r="B23" s="166"/>
      <c r="C23" s="166"/>
      <c r="D23" s="167"/>
      <c r="E23" s="167"/>
      <c r="F23" s="166"/>
      <c r="G23" s="167"/>
      <c r="H23" s="167"/>
      <c r="I23" s="167"/>
      <c r="J23" s="167"/>
      <c r="K23" s="167"/>
      <c r="L23" s="167"/>
      <c r="M23" s="167"/>
      <c r="N23" s="167"/>
      <c r="O23" s="167"/>
      <c r="P23" s="78"/>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IF($C$15&lt;0,0,IF($C$15&gt;833000,833000,$C$15))</f>
        <v>0</v>
      </c>
      <c r="E25" s="101" t="s">
        <v>41</v>
      </c>
      <c r="F25" s="102" t="s">
        <v>8</v>
      </c>
      <c r="G25" s="103"/>
      <c r="H25" s="103"/>
      <c r="I25" s="103">
        <f>'Rider Rates'!$B$4</f>
        <v>4.6278999999999999E-3</v>
      </c>
      <c r="J25" s="201">
        <f t="shared" ref="J25:J47" si="0">SUM(G25:I25)</f>
        <v>4.6278999999999999E-3</v>
      </c>
      <c r="K25" s="104" t="s">
        <v>42</v>
      </c>
      <c r="L25" s="105"/>
      <c r="M25" s="105"/>
      <c r="N25" s="105">
        <f t="shared" ref="N25:N30" si="1">ROUND(D25*I25,2)</f>
        <v>0</v>
      </c>
      <c r="O25" s="105">
        <f t="shared" ref="O25:O48"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IF($C$15&lt;0,0,IF($C$15&gt;2000,2000,$C$15))</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IF($C$15&lt;=2000,0,IF($C$15=0,0,IF($C$15-2000&gt;13000,13000,$C$15-2000)))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IF($C$15=0,0,IF($C$15-15000&gt;=0,$C$15-15000,0))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IF($C$15&lt;0,0,$C$15)</f>
        <v>0</v>
      </c>
      <c r="E31" s="101" t="s">
        <v>41</v>
      </c>
      <c r="F31" s="102" t="s">
        <v>8</v>
      </c>
      <c r="G31" s="103"/>
      <c r="H31" s="103"/>
      <c r="I31" s="103">
        <f>'Rider Rates'!$B$15</f>
        <v>0</v>
      </c>
      <c r="J31" s="103">
        <f>SUM(G31:I31)</f>
        <v>0</v>
      </c>
      <c r="K31" s="104" t="s">
        <v>42</v>
      </c>
      <c r="L31" s="105"/>
      <c r="M31" s="105"/>
      <c r="N31" s="105">
        <f>ROUND(D31*I31,2)</f>
        <v>0</v>
      </c>
      <c r="O31" s="105">
        <f t="shared" ref="O31:O39" si="3">SUM(L31:N31)</f>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237</v>
      </c>
      <c r="B32" s="78"/>
      <c r="C32" s="78"/>
      <c r="D32" s="195">
        <f>$N$21</f>
        <v>10</v>
      </c>
      <c r="E32" s="101" t="s">
        <v>122</v>
      </c>
      <c r="F32" s="102" t="s">
        <v>8</v>
      </c>
      <c r="G32" s="103"/>
      <c r="H32" s="103"/>
      <c r="I32" s="178">
        <f>'Rider Rates'!$B$18+'Rider Rates'!$E$18</f>
        <v>0</v>
      </c>
      <c r="J32" s="178">
        <f>SUM(G32:I32)</f>
        <v>0</v>
      </c>
      <c r="K32" s="104"/>
      <c r="L32" s="105"/>
      <c r="M32" s="105"/>
      <c r="N32" s="105">
        <f>ROUND($D$32*'Rider Rates'!$B$18,2)+ROUND($D$32*'Rider Rates'!$E$18,2)</f>
        <v>0</v>
      </c>
      <c r="O32" s="105">
        <f t="shared" si="3"/>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186</v>
      </c>
      <c r="B33" s="78"/>
      <c r="C33" s="78"/>
      <c r="D33" s="100">
        <f>'Customer Info'!$B$21+'Customer Info'!$B$22</f>
        <v>0</v>
      </c>
      <c r="E33" s="101" t="s">
        <v>41</v>
      </c>
      <c r="F33" s="102" t="s">
        <v>8</v>
      </c>
      <c r="G33" s="103">
        <f>'Rider Rates'!B21</f>
        <v>7.0209999999999995E-2</v>
      </c>
      <c r="H33" s="103"/>
      <c r="I33" s="103"/>
      <c r="J33" s="237">
        <f>SUM(G33:H33)</f>
        <v>7.0209999999999995E-2</v>
      </c>
      <c r="K33" s="104" t="s">
        <v>42</v>
      </c>
      <c r="L33" s="105">
        <f>ROUND(D33*G33,2)</f>
        <v>0</v>
      </c>
      <c r="M33" s="105"/>
      <c r="N33" s="105"/>
      <c r="O33" s="105">
        <f t="shared" si="3"/>
        <v>0</v>
      </c>
      <c r="P33" s="245">
        <f>'Rider Rates'!$D$21</f>
        <v>45444</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41" t="s">
        <v>172</v>
      </c>
      <c r="B34" s="78"/>
      <c r="C34" s="78"/>
      <c r="D34" s="100">
        <f>'Customer Info'!B22</f>
        <v>0</v>
      </c>
      <c r="E34" s="101" t="s">
        <v>41</v>
      </c>
      <c r="F34" s="102" t="s">
        <v>8</v>
      </c>
      <c r="G34" s="103">
        <f>'Rider Rates'!B30</f>
        <v>1.8998000000000001E-3</v>
      </c>
      <c r="H34" s="103"/>
      <c r="I34" s="103"/>
      <c r="J34" s="237">
        <f>SUM(G34:H34)</f>
        <v>1.8998000000000001E-3</v>
      </c>
      <c r="K34" s="104" t="s">
        <v>42</v>
      </c>
      <c r="L34" s="105">
        <f>ROUND(D34*G34,2)</f>
        <v>0</v>
      </c>
      <c r="M34" s="105"/>
      <c r="N34" s="105"/>
      <c r="O34" s="105">
        <f t="shared" si="3"/>
        <v>0</v>
      </c>
      <c r="P34" s="245">
        <f>'Rider Rates'!$D$29</f>
        <v>45444</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173</v>
      </c>
      <c r="B35" s="78"/>
      <c r="C35" s="78"/>
      <c r="D35" s="1">
        <f>'Customer Info'!B21</f>
        <v>0</v>
      </c>
      <c r="E35" s="101" t="s">
        <v>41</v>
      </c>
      <c r="F35" s="102" t="s">
        <v>8</v>
      </c>
      <c r="G35" s="103">
        <f>'Rider Rates'!B29</f>
        <v>5.5376999999999996E-3</v>
      </c>
      <c r="H35" s="103"/>
      <c r="I35" s="103"/>
      <c r="J35" s="237">
        <f>SUM(G35:H35)</f>
        <v>5.5376999999999996E-3</v>
      </c>
      <c r="K35" s="104" t="s">
        <v>42</v>
      </c>
      <c r="L35" s="105">
        <f>ROUND(D35*G35,2)</f>
        <v>0</v>
      </c>
      <c r="M35" s="105"/>
      <c r="N35" s="105"/>
      <c r="O35" s="105">
        <f t="shared" si="3"/>
        <v>0</v>
      </c>
      <c r="P35" s="245">
        <f>'Rider Rates'!$D$30</f>
        <v>45444</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193</v>
      </c>
      <c r="B36" s="78"/>
      <c r="C36" s="78"/>
      <c r="D36" s="100">
        <f>'Customer Info'!$B$21+'Customer Info'!$B$22</f>
        <v>0</v>
      </c>
      <c r="E36" s="101" t="s">
        <v>41</v>
      </c>
      <c r="F36" s="102" t="s">
        <v>8</v>
      </c>
      <c r="G36" s="103">
        <f>'Rider Rates'!B45</f>
        <v>4.5009999999999999E-4</v>
      </c>
      <c r="H36" s="103"/>
      <c r="I36" s="103"/>
      <c r="J36" s="237">
        <f>SUM(G36:H36)</f>
        <v>4.5009999999999999E-4</v>
      </c>
      <c r="K36" s="104" t="s">
        <v>42</v>
      </c>
      <c r="L36" s="105">
        <f>ROUND(D36*G36,2)</f>
        <v>0</v>
      </c>
      <c r="M36" s="105"/>
      <c r="N36" s="105"/>
      <c r="O36" s="105">
        <f>SUM(L36:N36)</f>
        <v>0</v>
      </c>
      <c r="P36" s="245">
        <f>'Rider Rates'!$D$45</f>
        <v>45657</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210</v>
      </c>
      <c r="B37" s="78"/>
      <c r="C37" s="78"/>
      <c r="D37" s="100"/>
      <c r="E37" s="101" t="s">
        <v>115</v>
      </c>
      <c r="F37" s="102" t="s">
        <v>15</v>
      </c>
      <c r="G37" s="103"/>
      <c r="H37" s="103"/>
      <c r="I37" s="103">
        <f>'Rider Rates'!D48</f>
        <v>1.17</v>
      </c>
      <c r="J37" s="103">
        <f>SUM(G37:I37)</f>
        <v>1.17</v>
      </c>
      <c r="K37" s="104" t="s">
        <v>42</v>
      </c>
      <c r="L37" s="105"/>
      <c r="M37" s="105"/>
      <c r="N37" s="105">
        <f>J37</f>
        <v>1.17</v>
      </c>
      <c r="O37" s="105">
        <f>SUM(L37:N37)</f>
        <v>1.17</v>
      </c>
      <c r="P37" s="245">
        <f>'Rider Rates'!E48</f>
        <v>45658</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189</v>
      </c>
      <c r="B38" s="78"/>
      <c r="C38" s="78"/>
      <c r="D38" s="100">
        <f>IF($C$15&lt;0,0,$C$15)</f>
        <v>0</v>
      </c>
      <c r="E38" s="113" t="s">
        <v>41</v>
      </c>
      <c r="F38" s="102" t="s">
        <v>8</v>
      </c>
      <c r="G38" s="103"/>
      <c r="H38" s="103">
        <f>'Rider Rates'!$B$55</f>
        <v>4.3837099999999997E-2</v>
      </c>
      <c r="I38" s="103"/>
      <c r="J38" s="103">
        <f>SUM(G38:I38)</f>
        <v>4.3837099999999997E-2</v>
      </c>
      <c r="K38" s="104" t="s">
        <v>42</v>
      </c>
      <c r="L38" s="105"/>
      <c r="M38" s="105">
        <f>ROUND(D38*H38,2)</f>
        <v>0</v>
      </c>
      <c r="N38" s="205"/>
      <c r="O38" s="105">
        <f t="shared" si="3"/>
        <v>0</v>
      </c>
      <c r="P38" s="245">
        <f>'Rider Rates'!$D$55</f>
        <v>45383</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339</v>
      </c>
      <c r="B39" s="78"/>
      <c r="C39" s="78"/>
      <c r="D39" s="100">
        <f>IF($C$15&lt;0,0,$C$15)</f>
        <v>0</v>
      </c>
      <c r="E39" s="101" t="s">
        <v>41</v>
      </c>
      <c r="F39" s="102" t="s">
        <v>8</v>
      </c>
      <c r="G39" s="103"/>
      <c r="H39" s="103"/>
      <c r="I39" s="103">
        <f>'Rider Rates'!$B$66</f>
        <v>8.6240000000000004E-4</v>
      </c>
      <c r="J39" s="103">
        <f t="shared" ref="J39" si="4">SUM(G39:I39)</f>
        <v>8.6240000000000004E-4</v>
      </c>
      <c r="K39" s="104" t="s">
        <v>42</v>
      </c>
      <c r="L39" s="105"/>
      <c r="M39" s="105"/>
      <c r="N39" s="105">
        <f>ROUND($D$39*'Rider Rates'!$B$66,2)</f>
        <v>0</v>
      </c>
      <c r="O39" s="105">
        <f t="shared" si="3"/>
        <v>0</v>
      </c>
      <c r="P39" s="245">
        <f>'Rider Rates'!$D$66</f>
        <v>45532</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Rates'!$B$69+'Rider Rates'!$C$69</f>
        <v>0</v>
      </c>
      <c r="J40" s="103">
        <f t="shared" si="0"/>
        <v>0</v>
      </c>
      <c r="K40" s="104" t="s">
        <v>42</v>
      </c>
      <c r="L40" s="105"/>
      <c r="M40" s="105"/>
      <c r="N40" s="105">
        <f>ROUND($D$40*'Rider Rates'!$B$69,2)+ROUND($D$40*'Rider Rates'!$C$69,2)</f>
        <v>0</v>
      </c>
      <c r="O40" s="105">
        <f t="shared" si="2"/>
        <v>0</v>
      </c>
      <c r="P40" s="245">
        <f>'Rider Rates'!$D$69</f>
        <v>45444</v>
      </c>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81</v>
      </c>
      <c r="B41" s="78"/>
      <c r="C41" s="78"/>
      <c r="D41" s="195">
        <f>$N$21</f>
        <v>10</v>
      </c>
      <c r="E41" s="101" t="s">
        <v>122</v>
      </c>
      <c r="F41" s="102" t="s">
        <v>8</v>
      </c>
      <c r="G41" s="111"/>
      <c r="H41" s="112"/>
      <c r="I41" s="120">
        <f>'Rider Rates'!$B$85</f>
        <v>4.94232E-2</v>
      </c>
      <c r="J41" s="120">
        <f t="shared" si="0"/>
        <v>4.94232E-2</v>
      </c>
      <c r="K41" s="104"/>
      <c r="L41" s="105"/>
      <c r="M41" s="105"/>
      <c r="N41" s="105">
        <f>ROUND(D41*I41,2)</f>
        <v>0.49</v>
      </c>
      <c r="O41" s="105">
        <f t="shared" si="2"/>
        <v>0.49</v>
      </c>
      <c r="P41" s="245">
        <f>'Rider Rates'!$D$85</f>
        <v>45562</v>
      </c>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82</v>
      </c>
      <c r="B42" s="78"/>
      <c r="C42" s="78"/>
      <c r="D42" s="195">
        <f>$N$21</f>
        <v>10</v>
      </c>
      <c r="E42" s="101" t="s">
        <v>122</v>
      </c>
      <c r="F42" s="102" t="s">
        <v>8</v>
      </c>
      <c r="G42" s="114"/>
      <c r="H42" s="115"/>
      <c r="I42" s="120">
        <f>'Rider Rates'!$B$87</f>
        <v>6.6985699999999995E-2</v>
      </c>
      <c r="J42" s="120">
        <f t="shared" si="0"/>
        <v>6.6985699999999995E-2</v>
      </c>
      <c r="K42" s="104"/>
      <c r="L42" s="105"/>
      <c r="M42" s="105"/>
      <c r="N42" s="105">
        <f>ROUND(D42*I42,2)</f>
        <v>0.67</v>
      </c>
      <c r="O42" s="105">
        <f t="shared" si="2"/>
        <v>0.67</v>
      </c>
      <c r="P42" s="245">
        <f>'Rider Rates'!$D$87</f>
        <v>45167</v>
      </c>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206</v>
      </c>
      <c r="B43" s="78"/>
      <c r="C43" s="78"/>
      <c r="D43" s="195"/>
      <c r="E43" s="113" t="s">
        <v>115</v>
      </c>
      <c r="F43" s="106"/>
      <c r="G43" s="114"/>
      <c r="H43" s="115"/>
      <c r="I43" s="196">
        <f>'Rider Rates'!$B$90</f>
        <v>2.08</v>
      </c>
      <c r="J43" s="196">
        <f t="shared" si="0"/>
        <v>2.08</v>
      </c>
      <c r="K43" s="104"/>
      <c r="L43" s="105"/>
      <c r="M43" s="105"/>
      <c r="N43" s="105">
        <f>I43</f>
        <v>2.08</v>
      </c>
      <c r="O43" s="105">
        <f t="shared" si="2"/>
        <v>2.08</v>
      </c>
      <c r="P43" s="245">
        <f>'Rider Rates'!$D$90</f>
        <v>45657</v>
      </c>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239</v>
      </c>
      <c r="B44" s="78"/>
      <c r="C44" s="78"/>
      <c r="D44" s="100">
        <f>IF($C$15&lt;0,0,$C$15)</f>
        <v>0</v>
      </c>
      <c r="E44" s="101" t="s">
        <v>41</v>
      </c>
      <c r="F44" s="102" t="s">
        <v>8</v>
      </c>
      <c r="G44" s="103"/>
      <c r="H44" s="103"/>
      <c r="I44" s="103"/>
      <c r="J44" s="103">
        <f>'Rider Rates'!$B$94</f>
        <v>0</v>
      </c>
      <c r="K44" s="104" t="s">
        <v>42</v>
      </c>
      <c r="L44" s="105"/>
      <c r="M44" s="105"/>
      <c r="N44" s="105"/>
      <c r="O44" s="105">
        <f>ROUND($D44*('Rider Rates'!B$94),2)</f>
        <v>0</v>
      </c>
      <c r="P44" s="245">
        <f>'Rider Rates'!$D$94</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156</v>
      </c>
      <c r="B45" s="78"/>
      <c r="C45" s="78"/>
      <c r="D45" s="195">
        <f>$N$21</f>
        <v>10</v>
      </c>
      <c r="E45" s="101" t="s">
        <v>122</v>
      </c>
      <c r="F45" s="102" t="s">
        <v>8</v>
      </c>
      <c r="G45" s="114"/>
      <c r="H45" s="115"/>
      <c r="I45" s="120">
        <f>'Rider Rates'!$B$105</f>
        <v>0.2363101</v>
      </c>
      <c r="J45" s="120">
        <f t="shared" si="0"/>
        <v>0.2363101</v>
      </c>
      <c r="K45" s="104"/>
      <c r="L45" s="105"/>
      <c r="M45" s="105"/>
      <c r="N45" s="105">
        <f>ROUND(D45*I45,2)</f>
        <v>2.36</v>
      </c>
      <c r="O45" s="105">
        <f t="shared" si="2"/>
        <v>2.36</v>
      </c>
      <c r="P45" s="245">
        <f>'Rider Rates'!$D$105</f>
        <v>45622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209</v>
      </c>
      <c r="B46" s="78"/>
      <c r="C46" s="78"/>
      <c r="D46" s="195"/>
      <c r="E46" s="113" t="s">
        <v>115</v>
      </c>
      <c r="F46" s="106"/>
      <c r="G46" s="114"/>
      <c r="H46" s="115"/>
      <c r="I46" s="196">
        <f>'Rider Rates'!$B$108</f>
        <v>0</v>
      </c>
      <c r="J46" s="196">
        <f t="shared" si="0"/>
        <v>0</v>
      </c>
      <c r="K46" s="104"/>
      <c r="L46" s="105"/>
      <c r="M46" s="105"/>
      <c r="N46" s="105">
        <f>I46</f>
        <v>0</v>
      </c>
      <c r="O46" s="105">
        <f t="shared" si="2"/>
        <v>0</v>
      </c>
      <c r="P46" s="245">
        <f>'Rider Rates'!$D$108</f>
        <v>44894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115</v>
      </c>
      <c r="F47" s="106"/>
      <c r="G47" s="114"/>
      <c r="H47" s="115"/>
      <c r="I47" s="258">
        <f>'Rider Rates'!B121</f>
        <v>0.97</v>
      </c>
      <c r="J47" s="196">
        <f t="shared" si="0"/>
        <v>0.97</v>
      </c>
      <c r="K47" s="104"/>
      <c r="L47" s="105"/>
      <c r="M47" s="105"/>
      <c r="N47" s="260">
        <f>I47</f>
        <v>0.97</v>
      </c>
      <c r="O47" s="105">
        <f t="shared" si="2"/>
        <v>0.97</v>
      </c>
      <c r="P47" s="245">
        <f>'Rider Rates'!D121</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'Customer Info'!$B$21+'Customer Info'!$B$22</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208</v>
      </c>
      <c r="B49" s="78"/>
      <c r="C49" s="78"/>
      <c r="D49" s="100">
        <f>IF($C$15&lt;1,0,$C$15)</f>
        <v>0</v>
      </c>
      <c r="E49" s="101" t="s">
        <v>41</v>
      </c>
      <c r="F49" s="249" t="s">
        <v>8</v>
      </c>
      <c r="G49" s="165"/>
      <c r="H49" s="165"/>
      <c r="I49" s="251">
        <f>'Rider Rates'!B117</f>
        <v>0</v>
      </c>
      <c r="J49" s="251">
        <f>SUM(G49:I49)</f>
        <v>0</v>
      </c>
      <c r="K49" s="104" t="s">
        <v>42</v>
      </c>
      <c r="L49" s="105"/>
      <c r="M49" s="105"/>
      <c r="N49" s="105">
        <f>D49*J49</f>
        <v>0</v>
      </c>
      <c r="O49" s="105">
        <f>SUM(L49:N49)</f>
        <v>0</v>
      </c>
      <c r="P49" s="245">
        <f>'Rider Rates'!D117</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230</v>
      </c>
      <c r="B50" s="78"/>
      <c r="C50" s="78"/>
      <c r="D50" s="100"/>
      <c r="E50" s="101" t="s">
        <v>115</v>
      </c>
      <c r="F50" s="102" t="s">
        <v>8</v>
      </c>
      <c r="G50" s="263"/>
      <c r="H50" s="263"/>
      <c r="I50" s="263">
        <f>'Rider Rates'!$B$125</f>
        <v>0.1</v>
      </c>
      <c r="J50" s="263">
        <f>SUM(G50:I50)</f>
        <v>0.1</v>
      </c>
      <c r="K50" s="104"/>
      <c r="L50" s="209"/>
      <c r="M50" s="209"/>
      <c r="N50" s="209">
        <f>J50</f>
        <v>0.1</v>
      </c>
      <c r="O50" s="209">
        <f>SUM(L50:N50)</f>
        <v>0.1</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242</v>
      </c>
      <c r="B51" s="78"/>
      <c r="C51" s="78"/>
      <c r="D51" s="100">
        <f>C15</f>
        <v>0</v>
      </c>
      <c r="E51" s="101" t="s">
        <v>41</v>
      </c>
      <c r="F51" s="249" t="s">
        <v>8</v>
      </c>
      <c r="G51" s="103"/>
      <c r="H51" s="103"/>
      <c r="I51" s="103">
        <f>'Rider Rates'!$B$130</f>
        <v>0</v>
      </c>
      <c r="J51" s="237">
        <f>SUM(G51:I51)</f>
        <v>0</v>
      </c>
      <c r="K51" s="104" t="s">
        <v>42</v>
      </c>
      <c r="L51" s="105"/>
      <c r="M51" s="105"/>
      <c r="N51" s="105">
        <f>D51*J51</f>
        <v>0</v>
      </c>
      <c r="O51" s="105">
        <f>SUM(L51:N51)</f>
        <v>0</v>
      </c>
      <c r="P51" s="245">
        <f>'Rider Rates'!D130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241</v>
      </c>
      <c r="B52" s="78"/>
      <c r="C52" s="78"/>
      <c r="D52" s="100"/>
      <c r="E52" s="101" t="s">
        <v>115</v>
      </c>
      <c r="F52" s="102" t="s">
        <v>8</v>
      </c>
      <c r="G52" s="263"/>
      <c r="H52" s="263"/>
      <c r="I52" s="263">
        <f>'Rider Rates'!$B$137</f>
        <v>0</v>
      </c>
      <c r="J52" s="263">
        <f>SUM(G52:I52)</f>
        <v>0</v>
      </c>
      <c r="K52" s="104"/>
      <c r="L52" s="209"/>
      <c r="M52" s="209"/>
      <c r="N52" s="209">
        <f>J52</f>
        <v>0</v>
      </c>
      <c r="O52" s="209">
        <f>SUM(L52:N52)</f>
        <v>0</v>
      </c>
      <c r="P52" s="264">
        <f>'Rider Rates'!$D$133</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243</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179" t="s">
        <v>71</v>
      </c>
      <c r="B54" s="148"/>
      <c r="C54" s="148"/>
      <c r="D54" s="180"/>
      <c r="E54" s="181"/>
      <c r="F54" s="182"/>
      <c r="G54" s="182"/>
      <c r="H54" s="182"/>
      <c r="I54" s="182"/>
      <c r="J54" s="182"/>
      <c r="K54" s="183"/>
      <c r="L54" s="169">
        <f>SUM(L25:L53)</f>
        <v>0</v>
      </c>
      <c r="M54" s="169">
        <f t="shared" ref="M54:O54" si="5">SUM(M25:M53)</f>
        <v>0</v>
      </c>
      <c r="N54" s="169">
        <f t="shared" si="5"/>
        <v>7.839999999999999</v>
      </c>
      <c r="O54" s="169">
        <f t="shared" si="5"/>
        <v>7.839999999999999</v>
      </c>
      <c r="P54" s="18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78"/>
      <c r="B55" s="78"/>
      <c r="C55" s="78"/>
      <c r="D55" s="100"/>
      <c r="E55" s="113"/>
      <c r="F55" s="106"/>
      <c r="G55" s="106"/>
      <c r="H55" s="106"/>
      <c r="I55" s="106"/>
      <c r="J55" s="107"/>
      <c r="K55" s="104"/>
      <c r="L55" s="106"/>
      <c r="M55" s="106"/>
      <c r="N55" s="106"/>
      <c r="O55" s="106"/>
      <c r="P55" s="164"/>
      <c r="Q55" s="10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0"/>
      <c r="B56" s="170"/>
      <c r="C56" s="170"/>
      <c r="D56" s="170"/>
      <c r="E56" s="170"/>
      <c r="F56" s="170"/>
      <c r="G56" s="170"/>
      <c r="H56" s="170"/>
      <c r="I56" s="170"/>
      <c r="J56" s="170"/>
      <c r="K56" s="170"/>
      <c r="L56" s="186">
        <f>L21+L54</f>
        <v>0</v>
      </c>
      <c r="M56" s="186">
        <f>M21+M54</f>
        <v>0</v>
      </c>
      <c r="N56" s="186">
        <f>N21+N54</f>
        <v>17.84</v>
      </c>
      <c r="O56" s="187">
        <f>O21+O54</f>
        <v>17.84</v>
      </c>
      <c r="P56" s="187"/>
      <c r="Q56" s="10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04"/>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147"/>
      <c r="B58" s="78"/>
      <c r="C58" s="78"/>
      <c r="D58" s="78"/>
      <c r="E58" s="78"/>
      <c r="F58" s="78"/>
      <c r="G58" s="78"/>
      <c r="H58" s="78"/>
      <c r="I58" s="78"/>
      <c r="J58" s="78"/>
      <c r="K58" s="78"/>
      <c r="L58" s="78"/>
      <c r="M58" s="78"/>
      <c r="N58" s="151"/>
      <c r="O58" s="151"/>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66" t="s">
        <v>93</v>
      </c>
      <c r="B59" s="78"/>
      <c r="C59" s="78"/>
      <c r="D59" s="166"/>
      <c r="E59" s="78"/>
      <c r="F59" s="78"/>
      <c r="G59" s="78"/>
      <c r="H59" s="78"/>
      <c r="I59" s="78"/>
      <c r="J59" s="78"/>
      <c r="K59" s="78"/>
      <c r="L59" s="78"/>
      <c r="M59" s="78"/>
      <c r="N59" s="78"/>
      <c r="O59" s="109">
        <f>IF($C$15&lt;=0,MIN(O19,O56), O19)</f>
        <v>10</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47"/>
      <c r="B60" s="166"/>
      <c r="C60" s="166"/>
      <c r="D60" s="166"/>
      <c r="E60" s="166"/>
      <c r="F60" s="166"/>
      <c r="G60" s="166"/>
      <c r="H60" s="166"/>
      <c r="I60" s="78"/>
      <c r="J60" s="78"/>
      <c r="K60" s="78"/>
      <c r="L60" s="78"/>
      <c r="M60" s="78"/>
      <c r="N60" s="151"/>
      <c r="O60" s="151"/>
      <c r="P60" s="151"/>
      <c r="Q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8" t="s">
        <v>117</v>
      </c>
      <c r="B61" s="151"/>
      <c r="C61" s="151"/>
      <c r="D61" s="151"/>
      <c r="E61" s="151"/>
      <c r="F61" s="151"/>
      <c r="G61" s="151"/>
      <c r="H61" s="151"/>
      <c r="I61" s="151"/>
      <c r="J61" s="151"/>
      <c r="K61" s="151"/>
      <c r="L61" s="151"/>
      <c r="M61" s="151"/>
      <c r="N61" s="151"/>
      <c r="O61" s="190">
        <f>IF($C$15&lt;0,O56,IF(O56&gt;O59,O56,O59))</f>
        <v>17.84</v>
      </c>
      <c r="P61" s="160"/>
      <c r="Q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47"/>
    </row>
    <row r="63" spans="1:221" x14ac:dyDescent="0.25">
      <c r="A63" s="147"/>
      <c r="I63" s="166" t="s">
        <v>121</v>
      </c>
      <c r="J63" s="166"/>
      <c r="K63" s="166"/>
      <c r="L63" s="191"/>
      <c r="M63" s="191"/>
      <c r="N63" s="191"/>
      <c r="O63" s="191">
        <f>ROUND(IF($C$15&lt;1,0,O56/($C$15*100)*10000),2)</f>
        <v>0</v>
      </c>
      <c r="P63" s="37" t="s">
        <v>87</v>
      </c>
    </row>
    <row r="64" spans="1:221" x14ac:dyDescent="0.25">
      <c r="A64" s="147"/>
      <c r="I64" s="242" t="s">
        <v>190</v>
      </c>
      <c r="J64" s="78"/>
      <c r="K64" s="78"/>
      <c r="L64" s="78"/>
      <c r="M64" s="78"/>
      <c r="N64" s="78"/>
      <c r="O64" s="243">
        <f>ROUND(IF($C$15&lt;1,0,(L56)/($C$15*100)*10000),2)</f>
        <v>0</v>
      </c>
      <c r="P64" s="25" t="s">
        <v>87</v>
      </c>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row r="71" spans="1:1" x14ac:dyDescent="0.25">
      <c r="A71" s="147"/>
    </row>
  </sheetData>
  <sheetProtection algorithmName="SHA-512" hashValue="vhtBKMx+0zfNb/ditt7OZm+rJTTtsthDpUiQYdKM3uAbgeEuSvmbjKOwxcB9u5la1lESguDyX8u2Tfe9Nktxww==" saltValue="hjgqXzBbSrJw2GYhSklYfw=="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Button 1">
              <controlPr defaultSize="0" print="0" autoFill="0" autoPict="0" macro="[0]!Info">
                <anchor moveWithCells="1">
                  <from>
                    <xdr:col>0</xdr:col>
                    <xdr:colOff>68580</xdr:colOff>
                    <xdr:row>0</xdr:row>
                    <xdr:rowOff>76200</xdr:rowOff>
                  </from>
                  <to>
                    <xdr:col>0</xdr:col>
                    <xdr:colOff>579120</xdr:colOff>
                    <xdr:row>1</xdr:row>
                    <xdr:rowOff>76200</xdr:rowOff>
                  </to>
                </anchor>
              </controlPr>
            </control>
          </mc:Choice>
        </mc:AlternateContent>
        <mc:AlternateContent xmlns:mc="http://schemas.openxmlformats.org/markup-compatibility/2006">
          <mc:Choice Requires="x14">
            <control shapeId="72706" r:id="rId5" name="Button 2">
              <controlPr defaultSize="0" print="0" autoFill="0" autoPict="0" macro="[0]!Info">
                <anchor moveWithCells="1">
                  <from>
                    <xdr:col>0</xdr:col>
                    <xdr:colOff>68580</xdr:colOff>
                    <xdr:row>0</xdr:row>
                    <xdr:rowOff>76200</xdr:rowOff>
                  </from>
                  <to>
                    <xdr:col>0</xdr:col>
                    <xdr:colOff>579120</xdr:colOff>
                    <xdr:row>1</xdr:row>
                    <xdr:rowOff>76200</xdr:rowOff>
                  </to>
                </anchor>
              </controlPr>
            </control>
          </mc:Choice>
        </mc:AlternateContent>
        <mc:AlternateContent xmlns:mc="http://schemas.openxmlformats.org/markup-compatibility/2006">
          <mc:Choice Requires="x14">
            <control shapeId="72707" r:id="rId6" name="Button 3">
              <controlPr defaultSize="0" print="0" autoFill="0" autoPict="0" macro="[0]!Info">
                <anchor moveWithCells="1">
                  <from>
                    <xdr:col>0</xdr:col>
                    <xdr:colOff>68580</xdr:colOff>
                    <xdr:row>0</xdr:row>
                    <xdr:rowOff>76200</xdr:rowOff>
                  </from>
                  <to>
                    <xdr:col>0</xdr:col>
                    <xdr:colOff>579120</xdr:colOff>
                    <xdr:row>1</xdr:row>
                    <xdr:rowOff>76200</xdr:rowOff>
                  </to>
                </anchor>
              </controlPr>
            </control>
          </mc:Choice>
        </mc:AlternateContent>
        <mc:AlternateContent xmlns:mc="http://schemas.openxmlformats.org/markup-compatibility/2006">
          <mc:Choice Requires="x14">
            <control shapeId="72708" r:id="rId7" name="Button 4">
              <controlPr defaultSize="0" print="0" autoFill="0" autoPict="0" macro="[0]!Info">
                <anchor moveWithCells="1">
                  <from>
                    <xdr:col>0</xdr:col>
                    <xdr:colOff>68580</xdr:colOff>
                    <xdr:row>0</xdr:row>
                    <xdr:rowOff>76200</xdr:rowOff>
                  </from>
                  <to>
                    <xdr:col>0</xdr:col>
                    <xdr:colOff>579120</xdr:colOff>
                    <xdr:row>1</xdr:row>
                    <xdr:rowOff>76200</xdr:rowOff>
                  </to>
                </anchor>
              </controlPr>
            </control>
          </mc:Choice>
        </mc:AlternateContent>
        <mc:AlternateContent xmlns:mc="http://schemas.openxmlformats.org/markup-compatibility/2006">
          <mc:Choice Requires="x14">
            <control shapeId="72709" r:id="rId8" name="Button 5">
              <controlPr defaultSize="0" print="0" autoFill="0" autoPict="0" macro="[0]!Info">
                <anchor moveWithCells="1">
                  <from>
                    <xdr:col>14</xdr:col>
                    <xdr:colOff>601980</xdr:colOff>
                    <xdr:row>79</xdr:row>
                    <xdr:rowOff>38100</xdr:rowOff>
                  </from>
                  <to>
                    <xdr:col>14</xdr:col>
                    <xdr:colOff>1135380</xdr:colOff>
                    <xdr:row>80</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B95"/>
  <sheetViews>
    <sheetView showGridLines="0" topLeftCell="A24" zoomScale="80" zoomScaleNormal="80" workbookViewId="0">
      <selection activeCell="G73" sqref="G73"/>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479" t="s">
        <v>120</v>
      </c>
      <c r="B1" s="479"/>
      <c r="C1" s="479"/>
      <c r="D1" s="479"/>
      <c r="E1" s="479"/>
      <c r="F1" s="479"/>
      <c r="G1" s="479"/>
      <c r="H1" s="479"/>
      <c r="I1" s="479"/>
      <c r="J1" s="479"/>
      <c r="K1" s="479"/>
      <c r="L1" s="479"/>
      <c r="M1" s="479"/>
      <c r="N1" s="479"/>
      <c r="O1" s="479"/>
      <c r="P1" s="479"/>
      <c r="Q1" s="197"/>
    </row>
    <row r="2" spans="1:59" ht="18" customHeight="1" x14ac:dyDescent="0.25">
      <c r="A2" s="488" t="s">
        <v>281</v>
      </c>
      <c r="B2" s="488"/>
      <c r="C2" s="488"/>
      <c r="D2" s="488"/>
      <c r="E2" s="488"/>
      <c r="F2" s="488"/>
      <c r="G2" s="488"/>
      <c r="H2" s="488"/>
      <c r="I2" s="488"/>
      <c r="J2" s="488"/>
      <c r="K2" s="488"/>
      <c r="L2" s="488"/>
      <c r="M2" s="488"/>
      <c r="N2" s="488"/>
      <c r="O2" s="488"/>
      <c r="P2" s="488"/>
    </row>
    <row r="3" spans="1:59" ht="17.399999999999999" x14ac:dyDescent="0.3">
      <c r="A3" s="488"/>
      <c r="B3" s="488"/>
      <c r="C3" s="488"/>
      <c r="D3" s="488"/>
      <c r="E3" s="488"/>
      <c r="F3" s="488"/>
      <c r="G3" s="488"/>
      <c r="H3" s="488"/>
      <c r="I3" s="488"/>
      <c r="J3" s="488"/>
      <c r="K3" s="488"/>
      <c r="L3" s="488"/>
      <c r="M3" s="488"/>
      <c r="N3" s="488"/>
      <c r="O3" s="488"/>
      <c r="P3" s="488"/>
      <c r="Q3" s="198"/>
    </row>
    <row r="4" spans="1:59" ht="15.6" x14ac:dyDescent="0.3">
      <c r="A4" s="480" t="str">
        <f>'Customer Info'!$B$11</f>
        <v>Breakdown of Charges Based on Entered Information</v>
      </c>
      <c r="B4" s="480"/>
      <c r="C4" s="480"/>
      <c r="D4" s="480"/>
      <c r="E4" s="480"/>
      <c r="F4" s="480"/>
      <c r="G4" s="480"/>
      <c r="H4" s="480"/>
      <c r="I4" s="480"/>
      <c r="J4" s="480"/>
      <c r="K4" s="480"/>
      <c r="L4" s="480"/>
      <c r="M4" s="480"/>
      <c r="N4" s="480"/>
      <c r="O4" s="480"/>
      <c r="P4" s="480"/>
      <c r="Q4" s="199"/>
    </row>
    <row r="5" spans="1:59" ht="15" x14ac:dyDescent="0.25">
      <c r="A5" s="75"/>
      <c r="B5" s="75"/>
      <c r="C5" s="75"/>
      <c r="D5" s="75"/>
      <c r="E5" s="75"/>
      <c r="F5" s="75"/>
      <c r="G5" s="75"/>
      <c r="H5" s="75"/>
      <c r="I5" s="75"/>
      <c r="J5" s="75"/>
      <c r="K5" s="75"/>
      <c r="L5" s="75"/>
      <c r="M5" s="75"/>
      <c r="N5" s="75"/>
      <c r="O5" s="75"/>
      <c r="P5" s="75"/>
      <c r="Q5" s="75"/>
    </row>
    <row r="6" spans="1:59" x14ac:dyDescent="0.25">
      <c r="A6" s="277">
        <f ca="1">TODAY()</f>
        <v>45657</v>
      </c>
      <c r="B6" s="487" t="s">
        <v>235</v>
      </c>
      <c r="C6" s="487"/>
      <c r="D6" s="487"/>
      <c r="E6" s="487"/>
      <c r="F6" s="487"/>
      <c r="G6" s="487"/>
      <c r="H6" s="487"/>
      <c r="I6" s="487"/>
      <c r="J6" s="487"/>
      <c r="K6" s="487"/>
      <c r="L6" s="487"/>
      <c r="M6" s="487"/>
      <c r="N6" s="487"/>
      <c r="O6" s="487"/>
    </row>
    <row r="7" spans="1:59" x14ac:dyDescent="0.25">
      <c r="A7" s="478" t="s">
        <v>15</v>
      </c>
      <c r="B7" s="478"/>
      <c r="C7" s="478"/>
      <c r="D7" s="478"/>
      <c r="E7" s="478"/>
      <c r="F7" s="478"/>
      <c r="G7" s="478"/>
      <c r="H7" s="478"/>
      <c r="I7" s="478"/>
      <c r="J7" s="478"/>
      <c r="K7" s="478"/>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100</v>
      </c>
      <c r="B11" s="200">
        <f>'Customer Info'!B9</f>
        <v>1</v>
      </c>
      <c r="C11" s="194" t="str">
        <f>LOOKUP($B$11,$S$11:$AD$11,S12:AD12)</f>
        <v>January</v>
      </c>
      <c r="D11" s="133">
        <f>'Customer Info'!C9</f>
        <v>2025</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278" t="s">
        <v>15</v>
      </c>
      <c r="H14" s="278"/>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t="s">
        <v>282</v>
      </c>
      <c r="B18" s="78"/>
      <c r="C18" s="154"/>
      <c r="D18" s="154">
        <f>'Customer Info'!B18</f>
        <v>0</v>
      </c>
      <c r="E18" s="210" t="s">
        <v>45</v>
      </c>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484" t="s">
        <v>68</v>
      </c>
      <c r="H23" s="485"/>
      <c r="I23" s="485"/>
      <c r="J23" s="486"/>
      <c r="K23" s="159"/>
      <c r="L23" s="481" t="s">
        <v>69</v>
      </c>
      <c r="M23" s="482"/>
      <c r="N23" s="482"/>
      <c r="O23" s="483"/>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1.3156299999999999E-2</v>
      </c>
      <c r="J26" s="103">
        <f>SUM(G26:I26)</f>
        <v>1.3156299999999999E-2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210" t="s">
        <v>283</v>
      </c>
      <c r="B27" s="78"/>
      <c r="C27" s="78"/>
      <c r="D27" s="1">
        <f>D18</f>
        <v>0</v>
      </c>
      <c r="E27" s="101" t="s">
        <v>64</v>
      </c>
      <c r="F27" s="281" t="s">
        <v>8</v>
      </c>
      <c r="G27" s="247"/>
      <c r="H27" s="163"/>
      <c r="I27" s="165">
        <v>2.14</v>
      </c>
      <c r="J27" s="103">
        <f>SUM(G27:I27)</f>
        <v>2.14</v>
      </c>
      <c r="K27" s="108" t="s">
        <v>44</v>
      </c>
      <c r="L27" s="105"/>
      <c r="M27" s="105"/>
      <c r="N27" s="105">
        <f>ROUND($D27*I27,2)</f>
        <v>0</v>
      </c>
      <c r="O27" s="250">
        <f>SUM(L27:N27)</f>
        <v>0</v>
      </c>
      <c r="P27" s="245">
        <v>44531</v>
      </c>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66" t="s">
        <v>50</v>
      </c>
      <c r="B28" s="166"/>
      <c r="C28" s="166"/>
      <c r="D28" s="167"/>
      <c r="E28" s="167"/>
      <c r="F28" s="166"/>
      <c r="G28" s="167"/>
      <c r="H28" s="167"/>
      <c r="I28" s="167"/>
      <c r="J28" s="167"/>
      <c r="K28" s="168"/>
      <c r="L28" s="169"/>
      <c r="M28" s="169"/>
      <c r="N28" s="169">
        <f>SUM(N25:N27)</f>
        <v>10</v>
      </c>
      <c r="O28" s="169">
        <f>SUM(O25:O27)</f>
        <v>10</v>
      </c>
      <c r="P28" s="160"/>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70"/>
      <c r="B29" s="170"/>
      <c r="C29" s="170"/>
      <c r="D29" s="171"/>
      <c r="E29" s="171"/>
      <c r="F29" s="170"/>
      <c r="G29" s="171"/>
      <c r="H29" s="171"/>
      <c r="I29" s="171"/>
      <c r="J29" s="171"/>
      <c r="K29" s="172"/>
      <c r="L29" s="171"/>
      <c r="M29" s="171"/>
      <c r="N29" s="171"/>
      <c r="O29" s="171"/>
      <c r="P29" s="173"/>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row>
    <row r="30" spans="1:221" x14ac:dyDescent="0.25">
      <c r="A30" s="148" t="s">
        <v>70</v>
      </c>
      <c r="B30" s="166"/>
      <c r="C30" s="166"/>
      <c r="D30" s="167"/>
      <c r="E30" s="167"/>
      <c r="F30" s="166"/>
      <c r="G30" s="167"/>
      <c r="H30" s="167"/>
      <c r="I30" s="167"/>
      <c r="J30" s="167"/>
      <c r="K30" s="167"/>
      <c r="L30" s="167"/>
      <c r="M30" s="167"/>
      <c r="N30" s="167"/>
      <c r="O30" s="167"/>
      <c r="P30" s="160"/>
      <c r="Q30" s="78"/>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151"/>
      <c r="B31" s="151"/>
      <c r="C31" s="151"/>
      <c r="D31" s="151"/>
      <c r="E31" s="151"/>
      <c r="F31" s="151"/>
      <c r="G31" s="151"/>
      <c r="H31" s="151"/>
      <c r="I31" s="151"/>
      <c r="J31" s="151"/>
      <c r="K31" s="151"/>
      <c r="L31" s="151"/>
      <c r="M31" s="151"/>
      <c r="N31" s="151"/>
      <c r="O31" s="151"/>
      <c r="P31" s="174"/>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79</v>
      </c>
      <c r="B32" s="176"/>
      <c r="C32" s="176"/>
      <c r="D32" s="100">
        <f>IF($D$17&lt;0,0,IF($D$17&gt;833000,833000,$D$17))</f>
        <v>0</v>
      </c>
      <c r="E32" s="101" t="s">
        <v>41</v>
      </c>
      <c r="F32" s="102" t="s">
        <v>8</v>
      </c>
      <c r="G32" s="103"/>
      <c r="H32" s="103"/>
      <c r="I32" s="103">
        <f>'Rider Rates'!$B$4</f>
        <v>4.6278999999999999E-3</v>
      </c>
      <c r="J32" s="103">
        <f t="shared" ref="J32:J51" si="0">SUM(G32:I32)</f>
        <v>4.6278999999999999E-3</v>
      </c>
      <c r="K32" s="104" t="s">
        <v>42</v>
      </c>
      <c r="L32" s="105"/>
      <c r="M32" s="105"/>
      <c r="N32" s="105">
        <f t="shared" ref="N32:N38" si="1">ROUND(D32*I32,2)</f>
        <v>0</v>
      </c>
      <c r="O32" s="250">
        <f t="shared" ref="O32:O55" si="2">SUM(L32:N32)</f>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80</v>
      </c>
      <c r="B33" s="78"/>
      <c r="C33" s="78"/>
      <c r="D33" s="123">
        <f>IF($D$17&gt;833000,$D$17-833000,0)</f>
        <v>0</v>
      </c>
      <c r="E33" s="101" t="s">
        <v>41</v>
      </c>
      <c r="F33" s="102" t="s">
        <v>8</v>
      </c>
      <c r="G33" s="103"/>
      <c r="H33" s="103"/>
      <c r="I33" s="103">
        <f>'Rider Rates'!$B$5</f>
        <v>1.7560000000000001E-4</v>
      </c>
      <c r="J33" s="103">
        <f t="shared" si="0"/>
        <v>1.7560000000000001E-4</v>
      </c>
      <c r="K33" s="104" t="s">
        <v>42</v>
      </c>
      <c r="L33" s="105"/>
      <c r="M33" s="105"/>
      <c r="N33" s="105">
        <f t="shared" si="1"/>
        <v>0</v>
      </c>
      <c r="O33" s="105">
        <f t="shared" si="2"/>
        <v>0</v>
      </c>
      <c r="P33" s="245">
        <f>'Rider Rates'!$D$4</f>
        <v>45657</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97</v>
      </c>
      <c r="B34" s="78"/>
      <c r="C34" s="78"/>
      <c r="D34" s="100">
        <f>IF($D$17&lt;0,0,IF($D$17&gt;2000,2000,$D$17))</f>
        <v>0</v>
      </c>
      <c r="E34" s="101" t="s">
        <v>41</v>
      </c>
      <c r="F34" s="102" t="s">
        <v>8</v>
      </c>
      <c r="G34" s="103"/>
      <c r="H34" s="103"/>
      <c r="I34" s="177">
        <f>'Rider Rates'!$B$8</f>
        <v>4.6499999999999996E-3</v>
      </c>
      <c r="J34" s="177">
        <f t="shared" si="0"/>
        <v>4.6499999999999996E-3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98</v>
      </c>
      <c r="B35" s="78"/>
      <c r="C35" s="78"/>
      <c r="D35" s="100">
        <f>IF($D$17&lt;=2000,0,IF($D$17=0,0,IF($D$17-2000&gt;13000,13000,$D$17-2000)))</f>
        <v>0</v>
      </c>
      <c r="E35" s="101" t="s">
        <v>41</v>
      </c>
      <c r="F35" s="102" t="s">
        <v>8</v>
      </c>
      <c r="G35" s="103"/>
      <c r="H35" s="103"/>
      <c r="I35" s="177">
        <f>'Rider Rates'!$B$9</f>
        <v>4.1900000000000001E-3</v>
      </c>
      <c r="J35" s="177">
        <f t="shared" si="0"/>
        <v>4.1900000000000001E-3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99</v>
      </c>
      <c r="B36" s="78"/>
      <c r="C36" s="78"/>
      <c r="D36" s="100">
        <f>IF($D$17=0,0,IF($D$17-15000&gt;=0,$D$17-15000,0))</f>
        <v>0</v>
      </c>
      <c r="E36" s="101" t="s">
        <v>41</v>
      </c>
      <c r="F36" s="102" t="s">
        <v>8</v>
      </c>
      <c r="G36" s="103"/>
      <c r="H36" s="103"/>
      <c r="I36" s="177">
        <f>'Rider Rates'!$B$10</f>
        <v>3.63E-3</v>
      </c>
      <c r="J36" s="177">
        <f t="shared" si="0"/>
        <v>3.63E-3</v>
      </c>
      <c r="K36" s="104" t="s">
        <v>42</v>
      </c>
      <c r="L36" s="105"/>
      <c r="M36" s="105"/>
      <c r="N36" s="105">
        <f t="shared" si="1"/>
        <v>0</v>
      </c>
      <c r="O36" s="105">
        <f t="shared" si="2"/>
        <v>0</v>
      </c>
      <c r="P36" s="245">
        <f>'Rider Rates'!$D$7</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114</v>
      </c>
      <c r="B37" s="78"/>
      <c r="C37" s="78"/>
      <c r="D37" s="195">
        <f>$N$28</f>
        <v>10</v>
      </c>
      <c r="E37" s="101" t="s">
        <v>122</v>
      </c>
      <c r="F37" s="102" t="s">
        <v>8</v>
      </c>
      <c r="G37" s="103"/>
      <c r="H37" s="103"/>
      <c r="I37" s="178">
        <f>'Rider Rates'!$B$12</f>
        <v>0</v>
      </c>
      <c r="J37" s="178">
        <f t="shared" si="0"/>
        <v>0</v>
      </c>
      <c r="K37" s="104"/>
      <c r="L37" s="105"/>
      <c r="M37" s="105"/>
      <c r="N37" s="105">
        <f t="shared" si="1"/>
        <v>0</v>
      </c>
      <c r="O37" s="105">
        <f t="shared" si="2"/>
        <v>0</v>
      </c>
      <c r="P37" s="245">
        <f>'Rider Rates'!$D$12</f>
        <v>44531</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159</v>
      </c>
      <c r="B38" s="78"/>
      <c r="C38" s="78"/>
      <c r="D38" s="100">
        <f>IF($D$17&lt;0,0,$D$17)</f>
        <v>0</v>
      </c>
      <c r="E38" s="101" t="s">
        <v>41</v>
      </c>
      <c r="F38" s="102" t="s">
        <v>8</v>
      </c>
      <c r="G38" s="103"/>
      <c r="H38" s="103"/>
      <c r="I38" s="103">
        <f>'Rider Rates'!B15</f>
        <v>0</v>
      </c>
      <c r="J38" s="103">
        <f>SUM(G38:I38)</f>
        <v>0</v>
      </c>
      <c r="K38" s="104" t="s">
        <v>42</v>
      </c>
      <c r="L38" s="105"/>
      <c r="M38" s="105"/>
      <c r="N38" s="105">
        <f t="shared" si="1"/>
        <v>0</v>
      </c>
      <c r="O38" s="105">
        <f t="shared" ref="O38:O44" si="3">SUM(L38:N38)</f>
        <v>0</v>
      </c>
      <c r="P38" s="245">
        <f>'Rider Rates'!$D$15</f>
        <v>45505</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41" t="s">
        <v>237</v>
      </c>
      <c r="B39" s="78"/>
      <c r="C39" s="78"/>
      <c r="D39" s="195">
        <f>$N$28</f>
        <v>10</v>
      </c>
      <c r="E39" s="101" t="s">
        <v>122</v>
      </c>
      <c r="F39" s="102" t="s">
        <v>8</v>
      </c>
      <c r="G39" s="103"/>
      <c r="H39" s="103"/>
      <c r="I39" s="178">
        <f>'Rider Rates'!$B$18</f>
        <v>0</v>
      </c>
      <c r="J39" s="178">
        <f>SUM(G39:I39)</f>
        <v>0</v>
      </c>
      <c r="K39" s="104"/>
      <c r="L39" s="105"/>
      <c r="M39" s="105"/>
      <c r="N39" s="105">
        <f>ROUND($D$39*'Rider Rates'!$B$18,2)+ROUND($D$39*'Rider Rates'!$E$18,2)</f>
        <v>0</v>
      </c>
      <c r="O39" s="105">
        <f t="shared" si="3"/>
        <v>0</v>
      </c>
      <c r="P39" s="245">
        <f>MAX('Rider Rates'!$D$18,'Rider Rates'!$F$18)</f>
        <v>44531</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186</v>
      </c>
      <c r="B40" s="78"/>
      <c r="C40" s="78"/>
      <c r="D40" s="100">
        <f>'Customer Info'!$B$21+'Customer Info'!$B$22-'Customer Info'!$B$23</f>
        <v>0</v>
      </c>
      <c r="E40" s="101" t="s">
        <v>41</v>
      </c>
      <c r="F40" s="102" t="s">
        <v>8</v>
      </c>
      <c r="G40" s="103">
        <f>'Rider Rates'!$B$21</f>
        <v>7.0209999999999995E-2</v>
      </c>
      <c r="H40" s="103"/>
      <c r="I40" s="103"/>
      <c r="J40" s="237">
        <f>SUM(G40:H40)</f>
        <v>7.0209999999999995E-2</v>
      </c>
      <c r="K40" s="104" t="s">
        <v>42</v>
      </c>
      <c r="L40" s="105">
        <f>ROUND(D40*G40,2)</f>
        <v>0</v>
      </c>
      <c r="M40" s="105"/>
      <c r="N40" s="105"/>
      <c r="O40" s="105">
        <f t="shared" si="3"/>
        <v>0</v>
      </c>
      <c r="P40" s="245">
        <f>'Rider Rates'!$D$21</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161</v>
      </c>
      <c r="B41" s="78"/>
      <c r="C41" s="78"/>
      <c r="D41" s="100">
        <f>'Customer Info'!$B$21+'Customer Info'!$B$22-'Customer Info'!$B$23</f>
        <v>0</v>
      </c>
      <c r="E41" s="101" t="s">
        <v>41</v>
      </c>
      <c r="F41" s="102" t="s">
        <v>8</v>
      </c>
      <c r="G41" s="103">
        <f>'Rider Rates'!$B$28</f>
        <v>3.2000000000000002E-3</v>
      </c>
      <c r="H41" s="103"/>
      <c r="I41" s="103"/>
      <c r="J41" s="237">
        <f>SUM(G41:H41)</f>
        <v>3.2000000000000002E-3</v>
      </c>
      <c r="K41" s="104" t="s">
        <v>42</v>
      </c>
      <c r="L41" s="239">
        <f>ROUND($D$41*$G$41,2)</f>
        <v>0</v>
      </c>
      <c r="M41" s="105"/>
      <c r="N41" s="105"/>
      <c r="O41" s="105">
        <f>SUM(L41:N41)</f>
        <v>0</v>
      </c>
      <c r="P41" s="245">
        <f>'Rider Rates'!$D$28</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193</v>
      </c>
      <c r="B42" s="78"/>
      <c r="C42" s="78"/>
      <c r="D42" s="100">
        <f>'Customer Info'!$B$21+'Customer Info'!$B$22-'Customer Info'!$B$23</f>
        <v>0</v>
      </c>
      <c r="E42" s="101" t="s">
        <v>41</v>
      </c>
      <c r="F42" s="102" t="s">
        <v>8</v>
      </c>
      <c r="G42" s="103">
        <f>'Rider Rates'!$B$45</f>
        <v>4.5009999999999999E-4</v>
      </c>
      <c r="H42" s="103"/>
      <c r="I42" s="103"/>
      <c r="J42" s="237">
        <f>SUM(G42:H42)</f>
        <v>4.5009999999999999E-4</v>
      </c>
      <c r="K42" s="104" t="s">
        <v>42</v>
      </c>
      <c r="L42" s="105">
        <f>ROUND(D42*G42,2)</f>
        <v>0</v>
      </c>
      <c r="M42" s="105"/>
      <c r="N42" s="105"/>
      <c r="O42" s="105">
        <f t="shared" si="3"/>
        <v>0</v>
      </c>
      <c r="P42" s="245">
        <f>'Rider Rates'!$D$45</f>
        <v>45657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41" t="s">
        <v>210</v>
      </c>
      <c r="B43" s="78"/>
      <c r="C43" s="78"/>
      <c r="D43" s="100"/>
      <c r="E43" s="101" t="s">
        <v>115</v>
      </c>
      <c r="F43" s="102"/>
      <c r="G43" s="103"/>
      <c r="H43" s="103"/>
      <c r="I43" s="103">
        <f>'Rider Rates'!D48</f>
        <v>1.17</v>
      </c>
      <c r="J43" s="237">
        <f>SUM(G43:I43)</f>
        <v>1.17</v>
      </c>
      <c r="K43" s="104"/>
      <c r="L43" s="105"/>
      <c r="M43" s="105"/>
      <c r="N43" s="105">
        <f>J43</f>
        <v>1.17</v>
      </c>
      <c r="O43" s="105">
        <f>SUM(L43:N43)</f>
        <v>1.17</v>
      </c>
      <c r="P43" s="245">
        <f>'Rider Rates'!E48</f>
        <v>45658</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189</v>
      </c>
      <c r="B44" s="78"/>
      <c r="C44" s="78"/>
      <c r="D44" s="100">
        <f>IF($D$17&lt;0,0,$D$17)</f>
        <v>0</v>
      </c>
      <c r="E44" s="113" t="s">
        <v>41</v>
      </c>
      <c r="F44" s="102" t="s">
        <v>8</v>
      </c>
      <c r="G44" s="103"/>
      <c r="H44" s="103">
        <f>'Rider Rates'!$B$55</f>
        <v>4.3837099999999997E-2</v>
      </c>
      <c r="I44" s="103"/>
      <c r="J44" s="103">
        <f>SUM(G44:I44)</f>
        <v>4.3837099999999997E-2</v>
      </c>
      <c r="K44" s="104" t="s">
        <v>42</v>
      </c>
      <c r="L44" s="105"/>
      <c r="M44" s="105">
        <f>ROUND(D44*H44,2)</f>
        <v>0</v>
      </c>
      <c r="N44" s="205"/>
      <c r="O44" s="105">
        <f t="shared" si="3"/>
        <v>0</v>
      </c>
      <c r="P44" s="245">
        <f>'Rider Rates'!$D$55</f>
        <v>45383</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339</v>
      </c>
      <c r="B45" s="78"/>
      <c r="C45" s="78"/>
      <c r="D45" s="100">
        <f>IF($D$17&lt;0,0,$D$17)</f>
        <v>0</v>
      </c>
      <c r="E45" s="101" t="s">
        <v>41</v>
      </c>
      <c r="F45" s="102" t="s">
        <v>8</v>
      </c>
      <c r="G45" s="103"/>
      <c r="H45" s="103"/>
      <c r="I45" s="103">
        <f>'Rider Rates'!$B$66</f>
        <v>8.6240000000000004E-4</v>
      </c>
      <c r="J45" s="103">
        <f t="shared" ref="J45" si="4">SUM(G45:I45)</f>
        <v>8.6240000000000004E-4</v>
      </c>
      <c r="K45" s="104" t="s">
        <v>42</v>
      </c>
      <c r="L45" s="105"/>
      <c r="M45" s="105"/>
      <c r="N45" s="105">
        <f>ROUND($D$45*'Rider Rates'!$B$66,2)</f>
        <v>0</v>
      </c>
      <c r="O45" s="250">
        <f t="shared" ref="O45" si="5">SUM(L45:N45)</f>
        <v>0</v>
      </c>
      <c r="P45" s="245">
        <f>'Rider Rates'!$D$66</f>
        <v>45532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96</v>
      </c>
      <c r="B46" s="78"/>
      <c r="C46" s="78"/>
      <c r="D46" s="100">
        <f>IF('Customer Info'!C34=TRUE,0,IF($D$17&lt;0,0,$D$17))</f>
        <v>0</v>
      </c>
      <c r="E46" s="101" t="s">
        <v>41</v>
      </c>
      <c r="F46" s="102" t="s">
        <v>8</v>
      </c>
      <c r="G46" s="103"/>
      <c r="H46" s="103"/>
      <c r="I46" s="103">
        <f>'Rider Rates'!$B$69+'Rider Rates'!$C$69</f>
        <v>0</v>
      </c>
      <c r="J46" s="103">
        <f t="shared" si="0"/>
        <v>0</v>
      </c>
      <c r="K46" s="104" t="s">
        <v>42</v>
      </c>
      <c r="L46" s="105"/>
      <c r="M46" s="105"/>
      <c r="N46" s="105">
        <f>ROUND($D$46*'Rider Rates'!$B$69,2)+ROUND($D$46*'Rider Rates'!$C$69,2)</f>
        <v>0</v>
      </c>
      <c r="O46" s="250">
        <f t="shared" si="2"/>
        <v>0</v>
      </c>
      <c r="P46" s="245">
        <f>'Rider Rates'!$D$69</f>
        <v>45444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81</v>
      </c>
      <c r="B47" s="78"/>
      <c r="C47" s="78"/>
      <c r="D47" s="195">
        <f>$N$28</f>
        <v>10</v>
      </c>
      <c r="E47" s="101" t="s">
        <v>122</v>
      </c>
      <c r="F47" s="102" t="s">
        <v>8</v>
      </c>
      <c r="G47" s="111"/>
      <c r="H47" s="112"/>
      <c r="I47" s="120">
        <f>'Rider Rates'!$B$85</f>
        <v>4.94232E-2</v>
      </c>
      <c r="J47" s="120">
        <f>SUM(G47:I47)</f>
        <v>4.94232E-2</v>
      </c>
      <c r="K47" s="104"/>
      <c r="L47" s="105"/>
      <c r="M47" s="105"/>
      <c r="N47" s="105">
        <f>ROUND(D47*I47,2)</f>
        <v>0.49</v>
      </c>
      <c r="O47" s="105">
        <f t="shared" si="2"/>
        <v>0.49</v>
      </c>
      <c r="P47" s="245">
        <f>'Rider Rates'!$D$85</f>
        <v>45562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82</v>
      </c>
      <c r="B48" s="78"/>
      <c r="C48" s="78"/>
      <c r="D48" s="195">
        <f>$N$28</f>
        <v>10</v>
      </c>
      <c r="E48" s="101" t="s">
        <v>122</v>
      </c>
      <c r="F48" s="102" t="s">
        <v>8</v>
      </c>
      <c r="G48" s="114"/>
      <c r="H48" s="115"/>
      <c r="I48" s="120">
        <f>'Rider Rates'!$B$87</f>
        <v>6.6985699999999995E-2</v>
      </c>
      <c r="J48" s="120">
        <f t="shared" si="0"/>
        <v>6.6985699999999995E-2</v>
      </c>
      <c r="K48" s="104"/>
      <c r="L48" s="105"/>
      <c r="M48" s="105"/>
      <c r="N48" s="105">
        <f>ROUND(D48*I48,2)</f>
        <v>0.67</v>
      </c>
      <c r="O48" s="105">
        <f t="shared" si="2"/>
        <v>0.67</v>
      </c>
      <c r="P48" s="245">
        <f>'Rider Rates'!$D$87</f>
        <v>45167</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206</v>
      </c>
      <c r="B49" s="78"/>
      <c r="C49" s="78"/>
      <c r="D49" s="195"/>
      <c r="E49" s="113" t="s">
        <v>115</v>
      </c>
      <c r="F49" s="106"/>
      <c r="G49" s="114"/>
      <c r="H49" s="115"/>
      <c r="I49" s="196">
        <f>'Rider Rates'!$B$90</f>
        <v>2.08</v>
      </c>
      <c r="J49" s="196">
        <f>SUM(G49:I49)</f>
        <v>2.08</v>
      </c>
      <c r="K49" s="104"/>
      <c r="L49" s="105"/>
      <c r="M49" s="105"/>
      <c r="N49" s="105">
        <f>I49</f>
        <v>2.08</v>
      </c>
      <c r="O49" s="250">
        <f>SUM(L49:N49)</f>
        <v>2.08</v>
      </c>
      <c r="P49" s="245">
        <f>'Rider Rates'!$D$90</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41" t="s">
        <v>239</v>
      </c>
      <c r="B50" s="78"/>
      <c r="C50" s="78"/>
      <c r="D50" s="100">
        <f>IF($D$17&lt;0,0,$D$17)</f>
        <v>0</v>
      </c>
      <c r="E50" s="101" t="s">
        <v>41</v>
      </c>
      <c r="F50" s="102" t="s">
        <v>8</v>
      </c>
      <c r="G50" s="103"/>
      <c r="H50" s="103"/>
      <c r="I50" s="103"/>
      <c r="J50" s="103">
        <f>'Rider Rates'!$B$94</f>
        <v>0</v>
      </c>
      <c r="K50" s="104" t="s">
        <v>42</v>
      </c>
      <c r="L50" s="105"/>
      <c r="M50" s="105"/>
      <c r="N50" s="105"/>
      <c r="O50" s="105">
        <f>ROUND($D50*('Rider Rates'!B$94),2)</f>
        <v>0</v>
      </c>
      <c r="P50" s="245">
        <f>'Rider Rates'!$D$94</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99" t="s">
        <v>156</v>
      </c>
      <c r="B51" s="78"/>
      <c r="C51" s="78"/>
      <c r="D51" s="195">
        <f>$N$28</f>
        <v>10</v>
      </c>
      <c r="E51" s="101" t="s">
        <v>122</v>
      </c>
      <c r="F51" s="102" t="s">
        <v>8</v>
      </c>
      <c r="G51" s="114"/>
      <c r="H51" s="115"/>
      <c r="I51" s="120">
        <f>'Rider Rates'!$B$105</f>
        <v>0.2363101</v>
      </c>
      <c r="J51" s="238">
        <f t="shared" si="0"/>
        <v>0.2363101</v>
      </c>
      <c r="K51" s="104"/>
      <c r="L51" s="105"/>
      <c r="M51" s="105"/>
      <c r="N51" s="105">
        <f>ROUND(D51*I51,2)</f>
        <v>2.36</v>
      </c>
      <c r="O51" s="105">
        <f t="shared" si="2"/>
        <v>2.36</v>
      </c>
      <c r="P51" s="245">
        <f>'Rider Rates'!$D$105</f>
        <v>45622</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10" t="s">
        <v>209</v>
      </c>
      <c r="B52" s="78"/>
      <c r="C52" s="78"/>
      <c r="D52" s="195"/>
      <c r="E52" s="113" t="s">
        <v>115</v>
      </c>
      <c r="F52" s="106"/>
      <c r="G52" s="114"/>
      <c r="H52" s="115"/>
      <c r="I52" s="196">
        <f>'Rider Rates'!$B$108</f>
        <v>0</v>
      </c>
      <c r="J52" s="196">
        <f>SUM(G52:I52)</f>
        <v>0</v>
      </c>
      <c r="K52" s="104"/>
      <c r="L52" s="105"/>
      <c r="M52" s="105"/>
      <c r="N52" s="105">
        <f>I52</f>
        <v>0</v>
      </c>
      <c r="O52" s="105">
        <f>SUM(L52:N52)</f>
        <v>0</v>
      </c>
      <c r="P52" s="245">
        <f>'Rider Rates'!$D$108</f>
        <v>44894</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217</v>
      </c>
      <c r="B53" s="78"/>
      <c r="C53" s="78"/>
      <c r="D53" s="195"/>
      <c r="E53" s="113" t="s">
        <v>115</v>
      </c>
      <c r="F53" s="106"/>
      <c r="G53" s="114"/>
      <c r="H53" s="115"/>
      <c r="I53" s="258">
        <f>'Rider Rates'!B121</f>
        <v>0.97</v>
      </c>
      <c r="J53" s="259">
        <f>SUM(G53:I53)</f>
        <v>0.97</v>
      </c>
      <c r="K53" s="104"/>
      <c r="L53" s="105"/>
      <c r="M53" s="105"/>
      <c r="N53" s="260">
        <f>I53</f>
        <v>0.97</v>
      </c>
      <c r="O53" s="105">
        <f>SUM(L53:N53)</f>
        <v>0.97</v>
      </c>
      <c r="P53" s="245">
        <f>'Rider Rates'!D121</f>
        <v>45593</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99" t="s">
        <v>157</v>
      </c>
      <c r="B54" s="78"/>
      <c r="C54" s="78"/>
      <c r="D54" s="100">
        <f>'Customer Info'!$B$21+'Customer Info'!$B$22-'Customer Info'!$B$23</f>
        <v>0</v>
      </c>
      <c r="E54" s="101" t="s">
        <v>41</v>
      </c>
      <c r="F54" s="102" t="s">
        <v>8</v>
      </c>
      <c r="G54" s="103">
        <f>'Rider Rates'!$B$112</f>
        <v>3.8972999999999998E-3</v>
      </c>
      <c r="H54" s="103"/>
      <c r="I54" s="103"/>
      <c r="J54" s="237">
        <f>SUM(G54:H54)</f>
        <v>3.8972999999999998E-3</v>
      </c>
      <c r="K54" s="104" t="s">
        <v>42</v>
      </c>
      <c r="L54" s="105">
        <f>ROUND(D54*G54,2)</f>
        <v>0</v>
      </c>
      <c r="M54" s="105"/>
      <c r="N54" s="105"/>
      <c r="O54" s="105">
        <f t="shared" si="2"/>
        <v>0</v>
      </c>
      <c r="P54" s="245">
        <f>'Rider Rates'!$D$112</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208</v>
      </c>
      <c r="B55" s="78"/>
      <c r="C55" s="78"/>
      <c r="D55" s="100">
        <f>IF($D$17&lt;1,0,$D$17)</f>
        <v>0</v>
      </c>
      <c r="E55" s="101" t="s">
        <v>41</v>
      </c>
      <c r="F55" s="249" t="s">
        <v>8</v>
      </c>
      <c r="G55" s="103"/>
      <c r="H55" s="103"/>
      <c r="I55" s="103">
        <f>'Rider Rates'!$B$117</f>
        <v>0</v>
      </c>
      <c r="J55" s="237">
        <f>SUM(G55:I55)</f>
        <v>0</v>
      </c>
      <c r="K55" s="104" t="s">
        <v>42</v>
      </c>
      <c r="L55" s="105"/>
      <c r="M55" s="105"/>
      <c r="N55" s="105">
        <f>D55*J55</f>
        <v>0</v>
      </c>
      <c r="O55" s="105">
        <f t="shared" si="2"/>
        <v>0</v>
      </c>
      <c r="P55" s="245">
        <f>'Rider Rates'!D117</f>
        <v>45657</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230</v>
      </c>
      <c r="B56" s="78"/>
      <c r="C56" s="78"/>
      <c r="D56" s="100"/>
      <c r="E56" s="101" t="s">
        <v>115</v>
      </c>
      <c r="F56" s="102" t="s">
        <v>8</v>
      </c>
      <c r="G56" s="263"/>
      <c r="H56" s="263"/>
      <c r="I56" s="263">
        <f>'Rider Rates'!$B$125</f>
        <v>0.1</v>
      </c>
      <c r="J56" s="263">
        <f>SUM(G56:I56)</f>
        <v>0.1</v>
      </c>
      <c r="K56" s="104"/>
      <c r="L56" s="209"/>
      <c r="M56" s="209"/>
      <c r="N56" s="209">
        <f>J56</f>
        <v>0.1</v>
      </c>
      <c r="O56" s="209">
        <f>SUM(L56:N56)</f>
        <v>0.1</v>
      </c>
      <c r="P56" s="264">
        <f>'Rider Rates'!E125</f>
        <v>45658</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41" t="s">
        <v>242</v>
      </c>
      <c r="B57" s="78"/>
      <c r="C57" s="78"/>
      <c r="D57" s="100">
        <f>D17</f>
        <v>0</v>
      </c>
      <c r="E57" s="101" t="s">
        <v>41</v>
      </c>
      <c r="F57" s="249" t="s">
        <v>8</v>
      </c>
      <c r="G57" s="103"/>
      <c r="H57" s="103"/>
      <c r="I57" s="103">
        <f>'Rider Rates'!B130</f>
        <v>0</v>
      </c>
      <c r="J57" s="237">
        <f>SUM(G57:I57)</f>
        <v>0</v>
      </c>
      <c r="K57" s="104" t="s">
        <v>42</v>
      </c>
      <c r="L57" s="105"/>
      <c r="M57" s="105"/>
      <c r="N57" s="105">
        <f>D57*J57</f>
        <v>0</v>
      </c>
      <c r="O57" s="105">
        <f t="shared" ref="O57" si="6">SUM(L57:N57)</f>
        <v>0</v>
      </c>
      <c r="P57" s="245">
        <f>'Rider Rates'!D130</f>
        <v>44531</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241" t="s">
        <v>241</v>
      </c>
      <c r="B58" s="78"/>
      <c r="C58" s="78"/>
      <c r="D58" s="100"/>
      <c r="E58" s="101" t="s">
        <v>115</v>
      </c>
      <c r="F58" s="102" t="s">
        <v>8</v>
      </c>
      <c r="G58" s="263"/>
      <c r="H58" s="263"/>
      <c r="I58" s="263">
        <f>'Rider Rates'!$B$137</f>
        <v>0</v>
      </c>
      <c r="J58" s="263">
        <f>SUM(G58:I58)</f>
        <v>0</v>
      </c>
      <c r="K58" s="104"/>
      <c r="L58" s="209"/>
      <c r="M58" s="209"/>
      <c r="N58" s="209">
        <f>J58</f>
        <v>0</v>
      </c>
      <c r="O58" s="209">
        <f>SUM(L58:N58)</f>
        <v>0</v>
      </c>
      <c r="P58" s="264">
        <f>'Rider Rates'!D137</f>
        <v>44531</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243</v>
      </c>
      <c r="B59" s="78"/>
      <c r="C59" s="78"/>
      <c r="D59" s="100"/>
      <c r="E59" s="101"/>
      <c r="F59" s="102"/>
      <c r="G59" s="263"/>
      <c r="H59" s="263"/>
      <c r="I59" s="263"/>
      <c r="J59" s="263"/>
      <c r="K59" s="104"/>
      <c r="L59" s="209"/>
      <c r="M59" s="209"/>
      <c r="N59" s="209"/>
      <c r="O59" s="209"/>
      <c r="P59" s="264"/>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79" t="s">
        <v>71</v>
      </c>
      <c r="B60" s="148"/>
      <c r="C60" s="148"/>
      <c r="D60" s="180"/>
      <c r="E60" s="181"/>
      <c r="F60" s="182"/>
      <c r="G60" s="182"/>
      <c r="H60" s="182"/>
      <c r="I60" s="182"/>
      <c r="J60" s="182"/>
      <c r="K60" s="183"/>
      <c r="L60" s="169">
        <f>SUM(L32:L59)</f>
        <v>0</v>
      </c>
      <c r="M60" s="169">
        <f t="shared" ref="M60:O60" si="7">SUM(M32:M59)</f>
        <v>0</v>
      </c>
      <c r="N60" s="169">
        <f t="shared" si="7"/>
        <v>7.839999999999999</v>
      </c>
      <c r="O60" s="169">
        <f t="shared" si="7"/>
        <v>7.839999999999999</v>
      </c>
      <c r="P60" s="184"/>
      <c r="Q60" s="10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78"/>
      <c r="B61" s="78"/>
      <c r="C61" s="78"/>
      <c r="D61" s="100"/>
      <c r="E61" s="113"/>
      <c r="F61" s="106"/>
      <c r="G61" s="106"/>
      <c r="H61" s="106"/>
      <c r="I61" s="106"/>
      <c r="J61" s="107"/>
      <c r="K61" s="104"/>
      <c r="L61" s="106"/>
      <c r="M61" s="106"/>
      <c r="N61" s="106"/>
      <c r="O61" s="106"/>
      <c r="P61" s="164"/>
      <c r="Q61" s="106"/>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85" t="s">
        <v>94</v>
      </c>
      <c r="B62" s="170"/>
      <c r="C62" s="170"/>
      <c r="D62" s="170"/>
      <c r="E62" s="170"/>
      <c r="F62" s="170"/>
      <c r="G62" s="170"/>
      <c r="H62" s="170"/>
      <c r="I62" s="170"/>
      <c r="J62" s="170"/>
      <c r="K62" s="170"/>
      <c r="L62" s="186">
        <f>L28+L60</f>
        <v>0</v>
      </c>
      <c r="M62" s="186">
        <f>M28+M60</f>
        <v>0</v>
      </c>
      <c r="N62" s="186">
        <f>N28+N60</f>
        <v>17.84</v>
      </c>
      <c r="O62" s="187">
        <f>O28+O60</f>
        <v>17.84</v>
      </c>
      <c r="P62" s="187"/>
      <c r="Q62" s="106"/>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78"/>
      <c r="B63" s="78"/>
      <c r="C63" s="78"/>
      <c r="D63" s="78"/>
      <c r="E63" s="78"/>
      <c r="F63" s="78"/>
      <c r="G63" s="78"/>
      <c r="H63" s="78"/>
      <c r="I63" s="78"/>
      <c r="J63" s="78"/>
      <c r="K63" s="78"/>
      <c r="L63" s="78"/>
      <c r="M63" s="78"/>
      <c r="N63" s="151"/>
      <c r="O63" s="151"/>
      <c r="P63" s="151"/>
      <c r="Q63" s="166"/>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21" x14ac:dyDescent="0.25">
      <c r="A64" s="78"/>
      <c r="B64" s="78"/>
      <c r="C64" s="78"/>
      <c r="D64" s="78"/>
      <c r="E64" s="78"/>
      <c r="F64" s="78"/>
      <c r="G64" s="78"/>
      <c r="H64" s="78"/>
      <c r="I64" s="78"/>
      <c r="J64" s="78"/>
      <c r="K64" s="78"/>
      <c r="L64" s="78"/>
      <c r="M64" s="78"/>
      <c r="N64" s="151"/>
      <c r="O64" s="151"/>
      <c r="P64" s="151"/>
      <c r="Q64" s="166"/>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row>
    <row r="65" spans="1:236" x14ac:dyDescent="0.25">
      <c r="A65" s="166" t="s">
        <v>93</v>
      </c>
      <c r="B65" s="78"/>
      <c r="C65" s="78"/>
      <c r="D65" s="78"/>
      <c r="E65" s="78"/>
      <c r="F65" s="78"/>
      <c r="G65" s="78"/>
      <c r="H65" s="78"/>
      <c r="I65" s="78"/>
      <c r="J65" s="78"/>
      <c r="K65" s="78"/>
      <c r="L65" s="78"/>
      <c r="M65" s="78"/>
      <c r="N65" s="78"/>
      <c r="O65" s="109">
        <f>IF(D17&lt;0,MIN(O25,O62),O25)</f>
        <v>10</v>
      </c>
      <c r="P65" s="151"/>
      <c r="Q65" s="166"/>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36" x14ac:dyDescent="0.25">
      <c r="A66" s="166" t="s">
        <v>15</v>
      </c>
      <c r="B66" s="166"/>
      <c r="C66" s="166"/>
      <c r="D66" s="166"/>
      <c r="E66" s="166"/>
      <c r="F66" s="166"/>
      <c r="G66" s="166"/>
      <c r="H66" s="166"/>
      <c r="I66" s="78"/>
      <c r="J66" s="78"/>
      <c r="K66" s="78"/>
      <c r="L66" s="78"/>
      <c r="M66" s="78"/>
      <c r="N66" s="151"/>
      <c r="O66" s="151"/>
      <c r="P66" s="151"/>
      <c r="Q66" s="78"/>
      <c r="R66" s="107"/>
      <c r="S66" s="108"/>
      <c r="T66" s="109"/>
      <c r="U66" s="78"/>
      <c r="V66" s="110"/>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36" x14ac:dyDescent="0.25">
      <c r="A67" s="148" t="s">
        <v>117</v>
      </c>
      <c r="B67" s="151"/>
      <c r="C67" s="151"/>
      <c r="D67" s="151"/>
      <c r="E67" s="151"/>
      <c r="F67" s="151"/>
      <c r="G67" s="151"/>
      <c r="H67" s="151"/>
      <c r="I67" s="151"/>
      <c r="J67" s="151"/>
      <c r="K67" s="151"/>
      <c r="L67" s="151"/>
      <c r="M67" s="151"/>
      <c r="N67" s="151"/>
      <c r="O67" s="190">
        <f>IF($D$17&lt;0,O62,IF(O62&gt;O65,O62,O65))</f>
        <v>17.84</v>
      </c>
      <c r="P67" s="160"/>
      <c r="Q67" s="78"/>
      <c r="R67" s="107"/>
      <c r="S67" s="108"/>
      <c r="T67" s="109"/>
      <c r="U67" s="78"/>
      <c r="V67" s="110"/>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c r="EU67" s="78"/>
      <c r="EV67" s="78"/>
      <c r="EW67" s="78"/>
      <c r="EX67" s="78"/>
      <c r="EY67" s="78"/>
      <c r="EZ67" s="78"/>
      <c r="FA67" s="78"/>
      <c r="FB67" s="78"/>
      <c r="FC67" s="78"/>
      <c r="FD67" s="78"/>
      <c r="FE67" s="78"/>
      <c r="FF67" s="78"/>
      <c r="FG67" s="78"/>
      <c r="FH67" s="78"/>
      <c r="FI67" s="78"/>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78"/>
      <c r="GU67" s="78"/>
      <c r="GV67" s="78"/>
      <c r="GW67" s="78"/>
      <c r="GX67" s="78"/>
      <c r="GY67" s="78"/>
      <c r="GZ67" s="78"/>
      <c r="HA67" s="78"/>
      <c r="HB67" s="78"/>
      <c r="HC67" s="78"/>
      <c r="HD67" s="78"/>
      <c r="HE67" s="78"/>
      <c r="HF67" s="78"/>
      <c r="HG67" s="78"/>
      <c r="HH67" s="78"/>
      <c r="HI67" s="78"/>
      <c r="HJ67" s="78"/>
      <c r="HK67" s="78"/>
      <c r="HL67" s="78"/>
      <c r="HM67" s="78"/>
    </row>
    <row r="68" spans="1:236" x14ac:dyDescent="0.25">
      <c r="A68" s="148"/>
      <c r="B68" s="151"/>
      <c r="C68" s="151"/>
      <c r="D68" s="151"/>
      <c r="E68" s="151"/>
      <c r="F68" s="151"/>
      <c r="G68" s="151"/>
      <c r="H68" s="151"/>
      <c r="I68" s="151"/>
      <c r="J68" s="151"/>
      <c r="K68" s="151"/>
      <c r="L68" s="151"/>
      <c r="M68" s="151"/>
      <c r="N68" s="151"/>
      <c r="O68" s="138"/>
      <c r="P68" s="160"/>
      <c r="Q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78"/>
      <c r="GU68" s="78"/>
      <c r="GV68" s="78"/>
      <c r="GW68" s="78"/>
      <c r="GX68" s="78"/>
      <c r="GY68" s="78"/>
      <c r="GZ68" s="78"/>
      <c r="HA68" s="78"/>
      <c r="HB68" s="78"/>
      <c r="HC68" s="78"/>
      <c r="HD68" s="78"/>
      <c r="HE68" s="78"/>
      <c r="HF68" s="78"/>
      <c r="HG68" s="78"/>
      <c r="HH68" s="78"/>
      <c r="HI68" s="78"/>
      <c r="HJ68" s="78"/>
      <c r="HK68" s="78"/>
      <c r="HL68" s="78"/>
      <c r="HM68" s="78"/>
    </row>
    <row r="69" spans="1:236" x14ac:dyDescent="0.25">
      <c r="A69" s="148"/>
      <c r="B69" s="166"/>
      <c r="C69" s="166"/>
      <c r="D69" s="166"/>
      <c r="E69" s="166"/>
      <c r="F69" s="166"/>
      <c r="G69" s="166"/>
      <c r="H69" s="166"/>
      <c r="I69" s="166" t="s">
        <v>121</v>
      </c>
      <c r="J69" s="166"/>
      <c r="K69" s="166"/>
      <c r="L69" s="191"/>
      <c r="M69" s="191"/>
      <c r="N69" s="191"/>
      <c r="O69" s="191">
        <f>ROUND(IF($D$17&lt;1,0,O62/($D$17*100)*10000),2)</f>
        <v>0</v>
      </c>
      <c r="P69" s="37" t="s">
        <v>87</v>
      </c>
      <c r="Q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78"/>
      <c r="GU69" s="78"/>
      <c r="GV69" s="78"/>
      <c r="GW69" s="78"/>
      <c r="GX69" s="78"/>
      <c r="GY69" s="78"/>
      <c r="GZ69" s="78"/>
      <c r="HA69" s="78"/>
      <c r="HB69" s="78"/>
      <c r="HC69" s="78"/>
      <c r="HD69" s="78"/>
      <c r="HE69" s="78"/>
      <c r="HF69" s="78"/>
      <c r="HG69" s="78"/>
      <c r="HH69" s="78"/>
      <c r="HI69" s="78"/>
      <c r="HJ69" s="78"/>
      <c r="HK69" s="78"/>
      <c r="HL69" s="78"/>
      <c r="HM69" s="78"/>
      <c r="HN69" s="78"/>
      <c r="HO69" s="78"/>
      <c r="HP69" s="78"/>
      <c r="HQ69" s="78"/>
      <c r="HR69" s="78"/>
      <c r="HS69" s="78"/>
      <c r="HT69" s="78"/>
      <c r="HU69" s="78"/>
      <c r="HV69" s="78"/>
      <c r="HW69" s="78"/>
      <c r="HX69" s="78"/>
      <c r="HY69" s="78"/>
      <c r="HZ69" s="78"/>
      <c r="IA69" s="78"/>
      <c r="IB69" s="78"/>
    </row>
    <row r="70" spans="1:236" x14ac:dyDescent="0.25">
      <c r="A70" s="37"/>
      <c r="B70" s="78"/>
      <c r="C70" s="78"/>
      <c r="D70" s="78"/>
      <c r="E70" s="78"/>
      <c r="F70" s="78"/>
      <c r="G70" s="78"/>
      <c r="H70" s="192"/>
      <c r="I70" s="242" t="s">
        <v>190</v>
      </c>
      <c r="J70" s="78"/>
      <c r="K70" s="78"/>
      <c r="L70" s="78"/>
      <c r="M70" s="78"/>
      <c r="N70" s="78"/>
      <c r="O70" s="243">
        <f>ROUND(IF($D$17&lt;1,0,(L62)/($D$17*100)*10000),2)</f>
        <v>0</v>
      </c>
      <c r="P70" s="25" t="s">
        <v>87</v>
      </c>
      <c r="Q70" s="78"/>
      <c r="AE70" s="78"/>
      <c r="AF70" s="78"/>
      <c r="AG70" s="78"/>
      <c r="AH70" s="78"/>
      <c r="AI70" s="78"/>
      <c r="AJ70" s="78"/>
      <c r="AK70" s="78"/>
      <c r="AL70" s="78"/>
      <c r="AM70" s="78"/>
      <c r="AN70" s="78"/>
      <c r="AO70" s="78"/>
      <c r="AP70" s="78"/>
      <c r="AQ70" s="78"/>
      <c r="AR70" s="78"/>
      <c r="AS70" s="78"/>
      <c r="AT70" s="78"/>
      <c r="HE70" s="78"/>
      <c r="HF70" s="78"/>
      <c r="HG70" s="78"/>
      <c r="HH70" s="78"/>
      <c r="HI70" s="78"/>
      <c r="HJ70" s="78"/>
      <c r="HK70" s="78"/>
      <c r="HL70" s="78"/>
      <c r="HM70" s="78"/>
      <c r="HN70" s="78"/>
    </row>
    <row r="71" spans="1:236" x14ac:dyDescent="0.25">
      <c r="A71" s="99"/>
      <c r="B71" s="78"/>
      <c r="C71" s="78"/>
      <c r="D71" s="100"/>
      <c r="E71" s="101"/>
      <c r="F71" s="106"/>
      <c r="G71" s="133"/>
      <c r="H71" s="56"/>
      <c r="I71" s="133"/>
      <c r="J71" s="25"/>
      <c r="K71" s="25"/>
      <c r="L71" s="134"/>
      <c r="M71" s="134"/>
      <c r="N71" s="134"/>
      <c r="O71" s="135"/>
      <c r="Q71" s="80"/>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row>
    <row r="72" spans="1:236" x14ac:dyDescent="0.25">
      <c r="A72" s="99"/>
      <c r="B72" s="78"/>
      <c r="C72" s="78"/>
      <c r="D72" s="100"/>
      <c r="E72" s="113"/>
      <c r="F72" s="106"/>
      <c r="Q72" s="80"/>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row>
    <row r="73" spans="1:236" x14ac:dyDescent="0.25">
      <c r="A73" s="78"/>
      <c r="D73" s="1"/>
      <c r="E73" s="35"/>
      <c r="F73" s="106"/>
      <c r="Q73" s="80"/>
    </row>
    <row r="74" spans="1:236" x14ac:dyDescent="0.25">
      <c r="A74" s="96"/>
      <c r="D74" s="1"/>
      <c r="E74" s="35"/>
      <c r="F74" s="4"/>
      <c r="Q74" s="36"/>
    </row>
    <row r="75" spans="1:236" x14ac:dyDescent="0.25">
      <c r="A75" s="96"/>
      <c r="D75" s="1"/>
      <c r="E75" s="35"/>
      <c r="F75" s="4"/>
      <c r="Q75" s="36"/>
    </row>
    <row r="76" spans="1:236" x14ac:dyDescent="0.25">
      <c r="A76" s="41"/>
      <c r="B76" s="77"/>
      <c r="C76" s="77"/>
      <c r="D76" s="77"/>
      <c r="E76" s="77"/>
      <c r="F76" s="77"/>
    </row>
    <row r="77" spans="1:236" x14ac:dyDescent="0.25">
      <c r="B77" s="37"/>
      <c r="C77" s="37"/>
      <c r="D77" s="37"/>
      <c r="E77" s="37"/>
      <c r="F77" s="37"/>
      <c r="P77" s="37"/>
      <c r="Q77" s="37"/>
    </row>
    <row r="78" spans="1:236" x14ac:dyDescent="0.25">
      <c r="B78" s="37"/>
      <c r="C78" s="37"/>
      <c r="D78" s="37"/>
      <c r="E78" s="37"/>
      <c r="F78" s="37"/>
      <c r="P78" s="25"/>
      <c r="Q78" s="25"/>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row r="95" spans="1:1" x14ac:dyDescent="0.25">
      <c r="A95" s="477"/>
    </row>
  </sheetData>
  <sheetProtection algorithmName="SHA-512" hashValue="yuNFrYadb5Ig1VqcVIyjbpJFooPUFVsUSjwgcr+mifR+ddMj+zDcIdscWoEWxokoN88+XSfsnfwXZtBNQQtw1Q==" saltValue="VQ7lHbQeOp0K1Cwde4cS1Q==" spinCount="100000" sheet="1" objects="1" scenarios="1"/>
  <mergeCells count="8">
    <mergeCell ref="A81:A95"/>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05474" r:id="rId5" name="Button 2">
              <controlPr defaultSize="0" print="0" autoFill="0" autoPict="0" macro="[0]!Info">
                <anchor moveWithCells="1">
                  <from>
                    <xdr:col>16</xdr:col>
                    <xdr:colOff>579120</xdr:colOff>
                    <xdr:row>88</xdr:row>
                    <xdr:rowOff>68580</xdr:rowOff>
                  </from>
                  <to>
                    <xdr:col>30</xdr:col>
                    <xdr:colOff>236220</xdr:colOff>
                    <xdr:row>89</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BC0CD-D9CB-4167-AC24-CF983A41979C}">
  <sheetPr codeName="Sheet6"/>
  <dimension ref="A1:HM73"/>
  <sheetViews>
    <sheetView topLeftCell="A18" zoomScale="80" zoomScaleNormal="80" workbookViewId="0">
      <selection activeCell="G57" sqref="G57"/>
    </sheetView>
  </sheetViews>
  <sheetFormatPr defaultColWidth="8.5546875" defaultRowHeight="13.2" x14ac:dyDescent="0.25"/>
  <cols>
    <col min="1" max="1" width="37.5546875" style="332" customWidth="1"/>
    <col min="2" max="2" width="2.109375" style="332" customWidth="1"/>
    <col min="3" max="3" width="14.5546875" style="332" customWidth="1"/>
    <col min="4" max="4" width="15.44140625" style="332" customWidth="1"/>
    <col min="5" max="5" width="9.88671875" style="332" customWidth="1"/>
    <col min="6" max="6" width="5.5546875" style="332" customWidth="1"/>
    <col min="7" max="8" width="13.44140625" style="332" customWidth="1"/>
    <col min="9" max="9" width="14.5546875" style="332" customWidth="1"/>
    <col min="10" max="10" width="14.88671875" style="332" bestFit="1" customWidth="1"/>
    <col min="11" max="11" width="7" style="332" customWidth="1"/>
    <col min="12" max="12" width="15.109375" style="332" customWidth="1"/>
    <col min="13" max="13" width="17.44140625" style="332" bestFit="1" customWidth="1"/>
    <col min="14" max="14" width="16.5546875" style="332" customWidth="1"/>
    <col min="15" max="15" width="17.44140625" style="332" bestFit="1" customWidth="1"/>
    <col min="16" max="16" width="12.88671875" style="332" bestFit="1" customWidth="1"/>
    <col min="17" max="17" width="8.5546875" style="332"/>
    <col min="18" max="18" width="13.886718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318</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c r="L5" s="333"/>
      <c r="M5" s="333"/>
      <c r="N5" s="333"/>
      <c r="O5" s="333"/>
      <c r="P5" s="333"/>
    </row>
    <row r="6" spans="1:30" x14ac:dyDescent="0.25">
      <c r="A6" s="334">
        <f ca="1">TODAY()</f>
        <v>45657</v>
      </c>
      <c r="B6" s="335" t="s">
        <v>319</v>
      </c>
      <c r="C6" s="335"/>
      <c r="D6" s="335"/>
      <c r="E6" s="335"/>
      <c r="F6" s="335"/>
      <c r="G6" s="335"/>
      <c r="H6" s="335"/>
      <c r="I6" s="335"/>
      <c r="J6" s="335"/>
      <c r="K6" s="335"/>
      <c r="L6" s="335"/>
      <c r="M6" s="335"/>
      <c r="N6" s="335"/>
      <c r="O6" s="335"/>
    </row>
    <row r="7" spans="1:30" x14ac:dyDescent="0.25">
      <c r="A7" s="503" t="s">
        <v>15</v>
      </c>
      <c r="B7" s="503"/>
      <c r="C7" s="503"/>
      <c r="D7" s="503"/>
      <c r="E7" s="503"/>
      <c r="F7" s="503"/>
      <c r="G7" s="503"/>
      <c r="H7" s="503"/>
      <c r="I7" s="503"/>
      <c r="J7" s="503"/>
      <c r="K7" s="503"/>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45"/>
      <c r="K12" s="345"/>
      <c r="L12" s="345"/>
      <c r="M12" s="345"/>
      <c r="N12" s="345"/>
      <c r="O12" s="345"/>
      <c r="P12" s="345"/>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47" t="s">
        <v>27</v>
      </c>
      <c r="B13" s="336"/>
      <c r="C13" s="336"/>
      <c r="D13" s="336"/>
      <c r="E13" s="336"/>
      <c r="F13" s="336"/>
      <c r="G13" s="336"/>
      <c r="H13" s="336"/>
      <c r="I13" s="336"/>
      <c r="R13" s="336" t="s">
        <v>168</v>
      </c>
      <c r="S13" s="348">
        <v>1.8274700000000001E-2</v>
      </c>
      <c r="T13" s="348">
        <v>1.8274700000000001E-2</v>
      </c>
      <c r="U13" s="348">
        <v>1.8274700000000001E-2</v>
      </c>
      <c r="V13" s="348">
        <v>1.8274700000000001E-2</v>
      </c>
      <c r="W13" s="348">
        <v>1.8274700000000001E-2</v>
      </c>
      <c r="X13" s="348">
        <v>1.8274700000000001E-2</v>
      </c>
      <c r="Y13" s="348">
        <v>1.8274700000000001E-2</v>
      </c>
      <c r="Z13" s="348">
        <v>1.8274700000000001E-2</v>
      </c>
      <c r="AA13" s="348">
        <v>1.8274700000000001E-2</v>
      </c>
      <c r="AB13" s="348">
        <v>1.8274700000000001E-2</v>
      </c>
      <c r="AC13" s="348">
        <v>1.8274700000000001E-2</v>
      </c>
      <c r="AD13" s="348">
        <v>1.8274700000000001E-2</v>
      </c>
    </row>
    <row r="14" spans="1:30" x14ac:dyDescent="0.25">
      <c r="A14" s="336"/>
      <c r="B14" s="336"/>
      <c r="C14" s="336"/>
      <c r="D14" s="336"/>
      <c r="E14" s="336"/>
      <c r="F14" s="336"/>
      <c r="G14" s="336"/>
      <c r="H14" s="336"/>
      <c r="I14" s="336"/>
      <c r="R14" s="336" t="s">
        <v>169</v>
      </c>
      <c r="S14" s="348">
        <v>1.8274700000000001E-2</v>
      </c>
      <c r="T14" s="348">
        <v>1.8274700000000001E-2</v>
      </c>
      <c r="U14" s="348">
        <v>1.8274700000000001E-2</v>
      </c>
      <c r="V14" s="348">
        <v>1.8274700000000001E-2</v>
      </c>
      <c r="W14" s="348">
        <v>1.8274700000000001E-2</v>
      </c>
      <c r="X14" s="348">
        <v>1.8274700000000001E-2</v>
      </c>
      <c r="Y14" s="348">
        <v>1.8274700000000001E-2</v>
      </c>
      <c r="Z14" s="348">
        <v>1.8274700000000001E-2</v>
      </c>
      <c r="AA14" s="348">
        <v>1.8274700000000001E-2</v>
      </c>
      <c r="AB14" s="348">
        <v>1.8274700000000001E-2</v>
      </c>
      <c r="AC14" s="348">
        <v>1.8274700000000001E-2</v>
      </c>
      <c r="AD14" s="348">
        <v>1.8274700000000001E-2</v>
      </c>
    </row>
    <row r="15" spans="1:30" x14ac:dyDescent="0.25">
      <c r="A15" s="349" t="s">
        <v>333</v>
      </c>
      <c r="B15" s="336"/>
      <c r="C15" s="339">
        <f>IF('Customer Info'!B21&lt;0,0,'Customer Info'!B21)</f>
        <v>0</v>
      </c>
      <c r="D15" s="336"/>
      <c r="E15" s="336"/>
      <c r="F15" s="336"/>
      <c r="G15" s="336"/>
      <c r="H15" s="336"/>
      <c r="I15" s="336"/>
      <c r="R15" s="336"/>
      <c r="S15" s="348"/>
      <c r="T15" s="348"/>
      <c r="U15" s="348"/>
      <c r="V15" s="348"/>
      <c r="W15" s="348"/>
      <c r="X15" s="348"/>
      <c r="Y15" s="348"/>
      <c r="Z15" s="348"/>
      <c r="AA15" s="348"/>
      <c r="AB15" s="348"/>
      <c r="AC15" s="348"/>
      <c r="AD15" s="348"/>
    </row>
    <row r="16" spans="1:30" x14ac:dyDescent="0.25">
      <c r="A16" s="349" t="s">
        <v>334</v>
      </c>
      <c r="B16" s="336"/>
      <c r="C16" s="339">
        <f>IF('Customer Info'!B22&lt;0,0,'Customer Info'!B22)</f>
        <v>0</v>
      </c>
      <c r="D16" s="336"/>
      <c r="E16" s="336"/>
      <c r="F16" s="336"/>
      <c r="G16" s="336"/>
      <c r="H16" s="336"/>
      <c r="I16" s="336"/>
      <c r="R16" s="336"/>
      <c r="S16" s="348"/>
      <c r="T16" s="348"/>
      <c r="U16" s="348"/>
      <c r="V16" s="348"/>
      <c r="W16" s="348"/>
      <c r="X16" s="348"/>
      <c r="Y16" s="348"/>
      <c r="Z16" s="348"/>
      <c r="AA16" s="348"/>
      <c r="AB16" s="348"/>
      <c r="AC16" s="348"/>
      <c r="AD16" s="348"/>
    </row>
    <row r="17" spans="1:221" x14ac:dyDescent="0.25">
      <c r="A17" s="349" t="s">
        <v>335</v>
      </c>
      <c r="B17" s="350"/>
      <c r="C17" s="336">
        <f>C15+C16</f>
        <v>0</v>
      </c>
      <c r="D17" s="350" t="s">
        <v>41</v>
      </c>
      <c r="E17" s="350"/>
      <c r="F17" s="351"/>
      <c r="G17" s="350"/>
      <c r="H17" s="350"/>
      <c r="I17" s="350"/>
      <c r="R17" s="352" t="s">
        <v>187</v>
      </c>
      <c r="S17" s="332">
        <f>'Rider Rates'!$C$21</f>
        <v>7.0209999999999995E-2</v>
      </c>
      <c r="T17" s="332">
        <f>'Rider Rates'!$C$21</f>
        <v>7.0209999999999995E-2</v>
      </c>
      <c r="U17" s="332">
        <f>'Rider Rates'!$C$21</f>
        <v>7.0209999999999995E-2</v>
      </c>
      <c r="V17" s="332">
        <f>'Rider Rates'!$C$21</f>
        <v>7.0209999999999995E-2</v>
      </c>
      <c r="W17" s="332">
        <f>'Rider Rates'!$C$21</f>
        <v>7.0209999999999995E-2</v>
      </c>
      <c r="X17" s="332">
        <f>'Rider Rates'!$B$21</f>
        <v>7.0209999999999995E-2</v>
      </c>
      <c r="Y17" s="332">
        <f>'Rider Rates'!$B$21</f>
        <v>7.0209999999999995E-2</v>
      </c>
      <c r="Z17" s="332">
        <f>'Rider Rates'!$B$21</f>
        <v>7.0209999999999995E-2</v>
      </c>
      <c r="AA17" s="332">
        <f>'Rider Rates'!$B$21</f>
        <v>7.0209999999999995E-2</v>
      </c>
      <c r="AB17" s="332">
        <f>'Rider Rates'!$C$21</f>
        <v>7.0209999999999995E-2</v>
      </c>
      <c r="AC17" s="332">
        <f>'Rider Rates'!$C$21</f>
        <v>7.0209999999999995E-2</v>
      </c>
      <c r="AD17" s="332">
        <f>'Rider Rates'!$C$21</f>
        <v>7.0209999999999995E-2</v>
      </c>
    </row>
    <row r="18" spans="1:221" x14ac:dyDescent="0.25">
      <c r="A18" s="350"/>
      <c r="B18" s="350"/>
      <c r="C18" s="351"/>
      <c r="D18" s="351"/>
      <c r="E18" s="351"/>
      <c r="F18" s="351"/>
      <c r="G18" s="337"/>
      <c r="H18" s="350"/>
      <c r="I18" s="350"/>
    </row>
    <row r="19" spans="1:221" x14ac:dyDescent="0.25">
      <c r="A19" s="353" t="s">
        <v>124</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357" t="s">
        <v>65</v>
      </c>
      <c r="M20" s="357" t="s">
        <v>66</v>
      </c>
      <c r="N20" s="357" t="s">
        <v>67</v>
      </c>
      <c r="O20" s="357" t="s">
        <v>34</v>
      </c>
      <c r="P20" s="358" t="s">
        <v>57</v>
      </c>
    </row>
    <row r="21" spans="1:221" x14ac:dyDescent="0.25">
      <c r="A21" s="359" t="s">
        <v>32</v>
      </c>
      <c r="G21" s="360"/>
      <c r="H21" s="360"/>
      <c r="I21" s="250">
        <f>'Rider Rates'!B142</f>
        <v>10</v>
      </c>
      <c r="J21" s="250">
        <f>SUM(G21:I21)</f>
        <v>10</v>
      </c>
      <c r="L21" s="250"/>
      <c r="M21" s="250"/>
      <c r="N21" s="250">
        <f>I21</f>
        <v>10</v>
      </c>
      <c r="O21" s="250">
        <f>+SUM(L21:N21)</f>
        <v>10</v>
      </c>
      <c r="P21" s="361">
        <v>44531</v>
      </c>
    </row>
    <row r="22" spans="1:221" x14ac:dyDescent="0.25">
      <c r="A22" s="362" t="s">
        <v>331</v>
      </c>
      <c r="D22" s="363">
        <f>C15</f>
        <v>0</v>
      </c>
      <c r="E22" s="364" t="s">
        <v>41</v>
      </c>
      <c r="F22" s="365" t="s">
        <v>8</v>
      </c>
      <c r="G22" s="366"/>
      <c r="H22" s="366"/>
      <c r="I22" s="366">
        <f>'Rider Rates'!C142</f>
        <v>3.7427700000000001E-2</v>
      </c>
      <c r="J22" s="366">
        <f>SUM(G22:I22)</f>
        <v>3.7427700000000001E-2</v>
      </c>
      <c r="K22" s="367" t="s">
        <v>42</v>
      </c>
      <c r="L22" s="368"/>
      <c r="M22" s="368"/>
      <c r="N22" s="368">
        <f>ROUND($D22*I22,2)</f>
        <v>0</v>
      </c>
      <c r="O22" s="250">
        <f>+SUM(L22:N22)</f>
        <v>0</v>
      </c>
      <c r="P22" s="361">
        <f>'Rider Rates'!H142</f>
        <v>45444</v>
      </c>
    </row>
    <row r="23" spans="1:221" x14ac:dyDescent="0.25">
      <c r="A23" s="362" t="s">
        <v>332</v>
      </c>
      <c r="D23" s="363">
        <f>C16</f>
        <v>0</v>
      </c>
      <c r="E23" s="367" t="s">
        <v>92</v>
      </c>
      <c r="F23" s="365"/>
      <c r="G23" s="366"/>
      <c r="H23" s="366"/>
      <c r="I23" s="366">
        <f>'Rider Rates'!D142</f>
        <v>1.5787499999999999E-2</v>
      </c>
      <c r="J23" s="366">
        <f>SUM(G23:I23)</f>
        <v>1.5787499999999999E-2</v>
      </c>
      <c r="K23" s="367" t="s">
        <v>42</v>
      </c>
      <c r="L23" s="368"/>
      <c r="M23" s="368"/>
      <c r="N23" s="368">
        <f>ROUND($D23*I23,2)</f>
        <v>0</v>
      </c>
      <c r="O23" s="250">
        <f>+SUM(L23:N23)</f>
        <v>0</v>
      </c>
      <c r="P23" s="361">
        <f>'Rider Rates'!H142</f>
        <v>45444</v>
      </c>
    </row>
    <row r="24" spans="1:221" x14ac:dyDescent="0.25">
      <c r="A24" s="369" t="s">
        <v>75</v>
      </c>
      <c r="B24" s="370"/>
      <c r="C24" s="370"/>
      <c r="D24" s="371"/>
      <c r="E24" s="371"/>
      <c r="F24" s="370"/>
      <c r="G24" s="370"/>
      <c r="I24" s="372"/>
      <c r="K24" s="373"/>
      <c r="L24" s="374"/>
      <c r="M24" s="375"/>
      <c r="N24" s="374">
        <f>SUM(N19:N23)</f>
        <v>10</v>
      </c>
      <c r="O24" s="374">
        <f>SUM(O21:O23)</f>
        <v>10</v>
      </c>
      <c r="R24" s="376"/>
      <c r="S24" s="377"/>
      <c r="T24" s="378"/>
      <c r="U24" s="336"/>
      <c r="V24" s="379"/>
      <c r="W24" s="336"/>
      <c r="X24" s="336"/>
      <c r="Y24" s="336"/>
      <c r="Z24" s="336"/>
      <c r="AA24" s="336"/>
      <c r="AB24" s="336"/>
      <c r="AC24" s="336"/>
      <c r="AD24" s="336"/>
    </row>
    <row r="25" spans="1:221" x14ac:dyDescent="0.25">
      <c r="A25" s="380"/>
      <c r="B25" s="380"/>
      <c r="C25" s="380"/>
      <c r="D25" s="381"/>
      <c r="E25" s="381"/>
      <c r="F25" s="380"/>
      <c r="G25" s="381"/>
      <c r="H25" s="381"/>
      <c r="I25" s="381"/>
      <c r="J25" s="381"/>
      <c r="K25" s="382"/>
      <c r="L25" s="381"/>
      <c r="M25" s="381"/>
      <c r="N25" s="381"/>
      <c r="O25" s="381"/>
      <c r="P25" s="381"/>
      <c r="R25" s="383"/>
      <c r="S25" s="377"/>
      <c r="T25" s="378"/>
      <c r="U25" s="336"/>
      <c r="V25" s="379"/>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row>
    <row r="26" spans="1:221" x14ac:dyDescent="0.25">
      <c r="A26" s="347" t="s">
        <v>70</v>
      </c>
      <c r="B26" s="384"/>
      <c r="C26" s="384"/>
      <c r="D26" s="385"/>
      <c r="E26" s="385"/>
      <c r="F26" s="384"/>
      <c r="G26" s="385"/>
      <c r="H26" s="385"/>
      <c r="I26" s="385"/>
      <c r="J26" s="385"/>
      <c r="K26" s="385"/>
      <c r="L26" s="385"/>
      <c r="M26" s="385"/>
      <c r="N26" s="385"/>
      <c r="O26" s="385"/>
      <c r="P26" s="336"/>
      <c r="R26" s="383"/>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P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79</v>
      </c>
      <c r="B28" s="388"/>
      <c r="C28" s="388"/>
      <c r="D28" s="363">
        <f>IF($C$17&lt;0,0,IF($C$17&gt;833000,833000,$C$17))</f>
        <v>0</v>
      </c>
      <c r="E28" s="364" t="s">
        <v>41</v>
      </c>
      <c r="F28" s="365" t="s">
        <v>8</v>
      </c>
      <c r="G28" s="389"/>
      <c r="H28" s="389"/>
      <c r="I28" s="389">
        <f>'Rider Rates'!$B$4</f>
        <v>4.6278999999999999E-3</v>
      </c>
      <c r="J28" s="390">
        <f t="shared" ref="J28:J49" si="0">SUM(G28:I28)</f>
        <v>4.6278999999999999E-3</v>
      </c>
      <c r="K28" s="367" t="s">
        <v>42</v>
      </c>
      <c r="L28" s="250"/>
      <c r="M28" s="250"/>
      <c r="N28" s="250">
        <f t="shared" ref="N28:N33" si="1">ROUND(D28*I28,2)</f>
        <v>0</v>
      </c>
      <c r="O28" s="250">
        <f t="shared" ref="O28:O50" si="2">SUM(L28:N28)</f>
        <v>0</v>
      </c>
      <c r="P28" s="361">
        <f>'Rider Rates'!$D$4</f>
        <v>45657</v>
      </c>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80</v>
      </c>
      <c r="B29" s="336"/>
      <c r="C29" s="336"/>
      <c r="D29" s="391">
        <f>IF($C$17&gt;833000,$C$17-833000,0)</f>
        <v>0</v>
      </c>
      <c r="E29" s="364" t="s">
        <v>41</v>
      </c>
      <c r="F29" s="365" t="s">
        <v>8</v>
      </c>
      <c r="G29" s="389"/>
      <c r="H29" s="389"/>
      <c r="I29" s="389">
        <f>'Rider Rates'!$B$5</f>
        <v>1.7560000000000001E-4</v>
      </c>
      <c r="J29" s="390">
        <f t="shared" si="0"/>
        <v>1.7560000000000001E-4</v>
      </c>
      <c r="K29" s="367" t="s">
        <v>42</v>
      </c>
      <c r="L29" s="250"/>
      <c r="M29" s="250"/>
      <c r="N29" s="250">
        <f t="shared" si="1"/>
        <v>0</v>
      </c>
      <c r="O29" s="250">
        <f t="shared" si="2"/>
        <v>0</v>
      </c>
      <c r="P29" s="361">
        <f>'Rider Rates'!$D$4</f>
        <v>45657</v>
      </c>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97</v>
      </c>
      <c r="B30" s="336"/>
      <c r="C30" s="336"/>
      <c r="D30" s="363">
        <f>IF($C$17&lt;0,0,IF($C$17&gt;2000,2000,$C$17))</f>
        <v>0</v>
      </c>
      <c r="E30" s="364" t="s">
        <v>41</v>
      </c>
      <c r="F30" s="365" t="s">
        <v>8</v>
      </c>
      <c r="G30" s="389"/>
      <c r="H30" s="389"/>
      <c r="I30" s="392">
        <f>'Rider Rates'!$B$8</f>
        <v>4.6499999999999996E-3</v>
      </c>
      <c r="J30" s="392">
        <f t="shared" si="0"/>
        <v>4.6499999999999996E-3</v>
      </c>
      <c r="K30" s="367" t="s">
        <v>42</v>
      </c>
      <c r="L30" s="250"/>
      <c r="M30" s="250"/>
      <c r="N30" s="250">
        <f t="shared" si="1"/>
        <v>0</v>
      </c>
      <c r="O30" s="250">
        <f t="shared" si="2"/>
        <v>0</v>
      </c>
      <c r="P30" s="361">
        <f>'Rider Rates'!$D$7</f>
        <v>44531</v>
      </c>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98</v>
      </c>
      <c r="B31" s="336"/>
      <c r="C31" s="336"/>
      <c r="D31" s="363">
        <f>IF($C$17&lt;=2000,0,IF($C$17=0,0,IF($C$17-2000&gt;13000,13000,$C$17-2000)))</f>
        <v>0</v>
      </c>
      <c r="E31" s="364" t="s">
        <v>41</v>
      </c>
      <c r="F31" s="365" t="s">
        <v>8</v>
      </c>
      <c r="G31" s="389"/>
      <c r="H31" s="389"/>
      <c r="I31" s="392">
        <f>'Rider Rates'!$B$9</f>
        <v>4.1900000000000001E-3</v>
      </c>
      <c r="J31" s="392">
        <f t="shared" si="0"/>
        <v>4.1900000000000001E-3</v>
      </c>
      <c r="K31" s="367" t="s">
        <v>42</v>
      </c>
      <c r="L31" s="250"/>
      <c r="M31" s="250"/>
      <c r="N31" s="250">
        <f t="shared" si="1"/>
        <v>0</v>
      </c>
      <c r="O31" s="250">
        <f t="shared" si="2"/>
        <v>0</v>
      </c>
      <c r="P31" s="361">
        <f>'Rider Rates'!$D$7</f>
        <v>44531</v>
      </c>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87" t="s">
        <v>99</v>
      </c>
      <c r="B32" s="336"/>
      <c r="C32" s="336"/>
      <c r="D32" s="363">
        <f>IF($C$17=0,0,IF($C$17-15000&gt;=0,$C$17-15000,0))</f>
        <v>0</v>
      </c>
      <c r="E32" s="364" t="s">
        <v>41</v>
      </c>
      <c r="F32" s="365" t="s">
        <v>8</v>
      </c>
      <c r="G32" s="389"/>
      <c r="H32" s="389"/>
      <c r="I32" s="392">
        <f>'Rider Rates'!$B$10</f>
        <v>3.63E-3</v>
      </c>
      <c r="J32" s="392">
        <f t="shared" si="0"/>
        <v>3.63E-3</v>
      </c>
      <c r="K32" s="367" t="s">
        <v>42</v>
      </c>
      <c r="L32" s="250"/>
      <c r="M32" s="250"/>
      <c r="N32" s="250">
        <f t="shared" si="1"/>
        <v>0</v>
      </c>
      <c r="O32" s="250">
        <f t="shared" si="2"/>
        <v>0</v>
      </c>
      <c r="P32" s="361">
        <f>'Rider Rates'!$D$7</f>
        <v>44531</v>
      </c>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87" t="s">
        <v>114</v>
      </c>
      <c r="B33" s="336"/>
      <c r="C33" s="336"/>
      <c r="D33" s="393">
        <f>$N$24</f>
        <v>10</v>
      </c>
      <c r="E33" s="364" t="s">
        <v>122</v>
      </c>
      <c r="F33" s="365" t="s">
        <v>8</v>
      </c>
      <c r="G33" s="389"/>
      <c r="H33" s="389"/>
      <c r="I33" s="394">
        <f>'Rider Rates'!$B$12</f>
        <v>0</v>
      </c>
      <c r="J33" s="394">
        <f t="shared" si="0"/>
        <v>0</v>
      </c>
      <c r="K33" s="367"/>
      <c r="L33" s="250"/>
      <c r="M33" s="250"/>
      <c r="N33" s="250">
        <f t="shared" si="1"/>
        <v>0</v>
      </c>
      <c r="O33" s="250">
        <f t="shared" si="2"/>
        <v>0</v>
      </c>
      <c r="P33" s="361">
        <f>'Rider Rates'!$D$12</f>
        <v>44531</v>
      </c>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159</v>
      </c>
      <c r="B34" s="336"/>
      <c r="C34" s="336"/>
      <c r="D34" s="363">
        <f>IF($C$17&lt;0,0,$C$17)</f>
        <v>0</v>
      </c>
      <c r="E34" s="364" t="s">
        <v>41</v>
      </c>
      <c r="F34" s="365" t="s">
        <v>8</v>
      </c>
      <c r="G34" s="389"/>
      <c r="H34" s="389"/>
      <c r="I34" s="389">
        <f>'Rider Rates'!$B$15</f>
        <v>0</v>
      </c>
      <c r="J34" s="389">
        <f>SUM(G34:I34)</f>
        <v>0</v>
      </c>
      <c r="K34" s="367" t="s">
        <v>42</v>
      </c>
      <c r="L34" s="250"/>
      <c r="M34" s="250"/>
      <c r="N34" s="250">
        <f>ROUND(D34*I34,2)</f>
        <v>0</v>
      </c>
      <c r="O34" s="250">
        <f t="shared" si="2"/>
        <v>0</v>
      </c>
      <c r="P34" s="361">
        <f>'Rider Rates'!$D$15</f>
        <v>45505</v>
      </c>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237</v>
      </c>
      <c r="B35" s="336"/>
      <c r="C35" s="336"/>
      <c r="D35" s="393">
        <f>$N$24</f>
        <v>10</v>
      </c>
      <c r="E35" s="364" t="s">
        <v>122</v>
      </c>
      <c r="F35" s="365" t="s">
        <v>8</v>
      </c>
      <c r="G35" s="389"/>
      <c r="H35" s="389"/>
      <c r="I35" s="394">
        <f>'Rider Rates'!$B$18+'Rider Rates'!$E$18</f>
        <v>0</v>
      </c>
      <c r="J35" s="394">
        <f>SUM(G35:I35)</f>
        <v>0</v>
      </c>
      <c r="K35" s="367"/>
      <c r="L35" s="250"/>
      <c r="M35" s="250"/>
      <c r="N35" s="250">
        <f>ROUND($D$35*'Rider Rates'!$B$18,2)+ROUND($D$35*'Rider Rates'!$E$18,2)</f>
        <v>0</v>
      </c>
      <c r="O35" s="250">
        <f t="shared" si="2"/>
        <v>0</v>
      </c>
      <c r="P35" s="361">
        <f>MAX('Rider Rates'!$D$18,'Rider Rates'!$F$18)</f>
        <v>44531</v>
      </c>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186</v>
      </c>
      <c r="B36" s="336"/>
      <c r="C36" s="336"/>
      <c r="D36" s="363">
        <f>'Customer Info'!$B$21+'Customer Info'!$B$22</f>
        <v>0</v>
      </c>
      <c r="E36" s="364" t="s">
        <v>41</v>
      </c>
      <c r="F36" s="365" t="s">
        <v>8</v>
      </c>
      <c r="G36" s="389">
        <f>'Rider Rates'!B21</f>
        <v>7.0209999999999995E-2</v>
      </c>
      <c r="H36" s="389"/>
      <c r="I36" s="389"/>
      <c r="J36" s="396">
        <f>SUM(G36:H36)</f>
        <v>7.0209999999999995E-2</v>
      </c>
      <c r="K36" s="367" t="s">
        <v>42</v>
      </c>
      <c r="L36" s="250">
        <f>ROUND(D36*G36,2)</f>
        <v>0</v>
      </c>
      <c r="M36" s="250"/>
      <c r="N36" s="250"/>
      <c r="O36" s="250">
        <f t="shared" si="2"/>
        <v>0</v>
      </c>
      <c r="P36" s="361">
        <f>'Rider Rates'!$D$21</f>
        <v>45444</v>
      </c>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7" t="s">
        <v>172</v>
      </c>
      <c r="B37" s="336"/>
      <c r="C37" s="336"/>
      <c r="D37" s="363">
        <f>'Customer Info'!$B$21+'Customer Info'!$B$22</f>
        <v>0</v>
      </c>
      <c r="E37" s="364" t="s">
        <v>41</v>
      </c>
      <c r="F37" s="365" t="s">
        <v>8</v>
      </c>
      <c r="G37" s="389">
        <f>'Rider Rates'!$B$28</f>
        <v>3.2000000000000002E-3</v>
      </c>
      <c r="H37" s="389"/>
      <c r="I37" s="389"/>
      <c r="J37" s="396">
        <f>SUM(G37:H37)</f>
        <v>3.2000000000000002E-3</v>
      </c>
      <c r="K37" s="367" t="s">
        <v>42</v>
      </c>
      <c r="L37" s="250">
        <f>ROUND(D37*G37,2)</f>
        <v>0</v>
      </c>
      <c r="M37" s="250"/>
      <c r="N37" s="250"/>
      <c r="O37" s="250">
        <f t="shared" si="2"/>
        <v>0</v>
      </c>
      <c r="P37" s="361">
        <f>'Rider Rates'!$D$29</f>
        <v>45444</v>
      </c>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5" t="s">
        <v>193</v>
      </c>
      <c r="B38" s="336"/>
      <c r="C38" s="336"/>
      <c r="D38" s="363">
        <f>'Customer Info'!$B$21+'Customer Info'!$B$22</f>
        <v>0</v>
      </c>
      <c r="E38" s="364" t="s">
        <v>41</v>
      </c>
      <c r="F38" s="365" t="s">
        <v>8</v>
      </c>
      <c r="G38" s="389">
        <f>'Rider Rates'!B45</f>
        <v>4.5009999999999999E-4</v>
      </c>
      <c r="H38" s="389"/>
      <c r="I38" s="389"/>
      <c r="J38" s="396">
        <f>SUM(G38:H38)</f>
        <v>4.5009999999999999E-4</v>
      </c>
      <c r="K38" s="367" t="s">
        <v>42</v>
      </c>
      <c r="L38" s="250">
        <f>ROUND(D38*G38,2)</f>
        <v>0</v>
      </c>
      <c r="M38" s="250"/>
      <c r="N38" s="250"/>
      <c r="O38" s="250">
        <f>SUM(L38:N38)</f>
        <v>0</v>
      </c>
      <c r="P38" s="361">
        <f>'Rider Rates'!$D$45</f>
        <v>45657</v>
      </c>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7" t="s">
        <v>210</v>
      </c>
      <c r="B39" s="336"/>
      <c r="C39" s="336"/>
      <c r="D39" s="363"/>
      <c r="E39" s="364" t="s">
        <v>115</v>
      </c>
      <c r="F39" s="365" t="s">
        <v>15</v>
      </c>
      <c r="G39" s="389"/>
      <c r="H39" s="389"/>
      <c r="I39" s="389">
        <f>'Rider Rates'!D48</f>
        <v>1.17</v>
      </c>
      <c r="J39" s="389">
        <f>SUM(G39:I39)</f>
        <v>1.17</v>
      </c>
      <c r="K39" s="367" t="s">
        <v>42</v>
      </c>
      <c r="L39" s="250"/>
      <c r="M39" s="250"/>
      <c r="N39" s="250">
        <f>J39</f>
        <v>1.17</v>
      </c>
      <c r="O39" s="250">
        <f>SUM(L39:N39)</f>
        <v>1.17</v>
      </c>
      <c r="P39" s="361">
        <f>'Rider Rates'!E48</f>
        <v>45658</v>
      </c>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95" t="s">
        <v>189</v>
      </c>
      <c r="B40" s="336"/>
      <c r="C40" s="336"/>
      <c r="D40" s="363">
        <f>IF($C$17&lt;0,0,$C$17)</f>
        <v>0</v>
      </c>
      <c r="E40" s="398" t="s">
        <v>41</v>
      </c>
      <c r="F40" s="365" t="s">
        <v>8</v>
      </c>
      <c r="G40" s="389"/>
      <c r="H40" s="389">
        <f>'Rider Rates'!$B$55</f>
        <v>4.3837099999999997E-2</v>
      </c>
      <c r="I40" s="389"/>
      <c r="J40" s="389">
        <f>SUM(G40:I40)</f>
        <v>4.3837099999999997E-2</v>
      </c>
      <c r="K40" s="367" t="s">
        <v>42</v>
      </c>
      <c r="L40" s="250"/>
      <c r="M40" s="250">
        <f>ROUND(D40*H40,2)</f>
        <v>0</v>
      </c>
      <c r="N40" s="399"/>
      <c r="O40" s="250">
        <f t="shared" si="2"/>
        <v>0</v>
      </c>
      <c r="P40" s="361">
        <f>'Rider Rates'!$D$55</f>
        <v>45383</v>
      </c>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339</v>
      </c>
      <c r="B41" s="336"/>
      <c r="C41" s="336"/>
      <c r="D41" s="363">
        <f>IF($C$17&lt;0,0,$C$17)</f>
        <v>0</v>
      </c>
      <c r="E41" s="364" t="s">
        <v>41</v>
      </c>
      <c r="F41" s="365" t="s">
        <v>8</v>
      </c>
      <c r="G41" s="389"/>
      <c r="H41" s="389"/>
      <c r="I41" s="389">
        <f>'Rider Rates'!$B$66</f>
        <v>8.6240000000000004E-4</v>
      </c>
      <c r="J41" s="389">
        <f t="shared" ref="J41" si="3">SUM(G41:I41)</f>
        <v>8.6240000000000004E-4</v>
      </c>
      <c r="K41" s="367" t="s">
        <v>42</v>
      </c>
      <c r="L41" s="250"/>
      <c r="M41" s="250"/>
      <c r="N41" s="250">
        <f>ROUND($D$41*'Rider Rates'!$B$66,2)</f>
        <v>0</v>
      </c>
      <c r="O41" s="250">
        <f t="shared" ref="O41" si="4">SUM(L41:N41)</f>
        <v>0</v>
      </c>
      <c r="P41" s="361">
        <f>'Rider Rates'!$D$66</f>
        <v>45532</v>
      </c>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96</v>
      </c>
      <c r="B42" s="336"/>
      <c r="C42" s="336"/>
      <c r="D42" s="363">
        <f>IF('Customer Info'!C34=TRUE,0,IF($C$17&lt;0,0,$C$17))</f>
        <v>0</v>
      </c>
      <c r="E42" s="364" t="s">
        <v>41</v>
      </c>
      <c r="F42" s="365" t="s">
        <v>8</v>
      </c>
      <c r="G42" s="389"/>
      <c r="H42" s="389"/>
      <c r="I42" s="389">
        <f>'Rider Rates'!$B$69+'Rider Rates'!$C$69</f>
        <v>0</v>
      </c>
      <c r="J42" s="389">
        <f t="shared" si="0"/>
        <v>0</v>
      </c>
      <c r="K42" s="367" t="s">
        <v>42</v>
      </c>
      <c r="L42" s="250"/>
      <c r="M42" s="250"/>
      <c r="N42" s="250">
        <f>ROUND($D$42*'Rider Rates'!$B$69,2)+ROUND($D$42*'Rider Rates'!$C$69,2)</f>
        <v>0</v>
      </c>
      <c r="O42" s="250">
        <f t="shared" si="2"/>
        <v>0</v>
      </c>
      <c r="P42" s="361">
        <f>'Rider Rates'!$D$69</f>
        <v>45444</v>
      </c>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81</v>
      </c>
      <c r="B43" s="336"/>
      <c r="C43" s="336"/>
      <c r="D43" s="393">
        <f>$N$24</f>
        <v>10</v>
      </c>
      <c r="E43" s="364" t="s">
        <v>122</v>
      </c>
      <c r="F43" s="365" t="s">
        <v>8</v>
      </c>
      <c r="G43" s="400"/>
      <c r="H43" s="356"/>
      <c r="I43" s="401">
        <f>'Rider Rates'!$B$85</f>
        <v>4.94232E-2</v>
      </c>
      <c r="J43" s="401">
        <f t="shared" si="0"/>
        <v>4.94232E-2</v>
      </c>
      <c r="K43" s="367"/>
      <c r="L43" s="250"/>
      <c r="M43" s="250"/>
      <c r="N43" s="250">
        <f>ROUND(D43*I43,2)</f>
        <v>0.49</v>
      </c>
      <c r="O43" s="250">
        <f t="shared" si="2"/>
        <v>0.49</v>
      </c>
      <c r="P43" s="361">
        <f>'Rider Rates'!$D$85</f>
        <v>45562</v>
      </c>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87" t="s">
        <v>82</v>
      </c>
      <c r="B44" s="336"/>
      <c r="C44" s="336"/>
      <c r="D44" s="393">
        <f>$N$24</f>
        <v>10</v>
      </c>
      <c r="E44" s="364" t="s">
        <v>122</v>
      </c>
      <c r="F44" s="365" t="s">
        <v>8</v>
      </c>
      <c r="G44" s="402"/>
      <c r="H44" s="356"/>
      <c r="I44" s="401">
        <f>'Rider Rates'!$B$87</f>
        <v>6.6985699999999995E-2</v>
      </c>
      <c r="J44" s="401">
        <f t="shared" si="0"/>
        <v>6.6985699999999995E-2</v>
      </c>
      <c r="K44" s="367"/>
      <c r="L44" s="250"/>
      <c r="M44" s="250"/>
      <c r="N44" s="250">
        <f>ROUND(D44*I44,2)</f>
        <v>0.67</v>
      </c>
      <c r="O44" s="250">
        <f t="shared" si="2"/>
        <v>0.67</v>
      </c>
      <c r="P44" s="361">
        <f>'Rider Rates'!$D$87</f>
        <v>45167</v>
      </c>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206</v>
      </c>
      <c r="B45" s="336"/>
      <c r="C45" s="336"/>
      <c r="D45" s="393"/>
      <c r="E45" s="398" t="s">
        <v>115</v>
      </c>
      <c r="F45" s="386"/>
      <c r="G45" s="402"/>
      <c r="H45" s="356"/>
      <c r="I45" s="403">
        <f>'Rider Rates'!$B$90</f>
        <v>2.08</v>
      </c>
      <c r="J45" s="403">
        <f t="shared" si="0"/>
        <v>2.08</v>
      </c>
      <c r="K45" s="367"/>
      <c r="L45" s="250"/>
      <c r="M45" s="250"/>
      <c r="N45" s="250">
        <f>I45</f>
        <v>2.08</v>
      </c>
      <c r="O45" s="250">
        <f t="shared" si="2"/>
        <v>2.08</v>
      </c>
      <c r="P45" s="361">
        <f>'Rider Rates'!$D$90</f>
        <v>45657</v>
      </c>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95" t="s">
        <v>239</v>
      </c>
      <c r="B46" s="336"/>
      <c r="C46" s="336"/>
      <c r="D46" s="363">
        <f>IF($C$17&lt;0,0,$C$17)</f>
        <v>0</v>
      </c>
      <c r="E46" s="364" t="s">
        <v>41</v>
      </c>
      <c r="F46" s="365" t="s">
        <v>8</v>
      </c>
      <c r="G46" s="389"/>
      <c r="H46" s="389"/>
      <c r="I46" s="389"/>
      <c r="J46" s="389">
        <f>'Rider Rates'!$B$94</f>
        <v>0</v>
      </c>
      <c r="K46" s="367" t="s">
        <v>42</v>
      </c>
      <c r="L46" s="250"/>
      <c r="M46" s="250"/>
      <c r="N46" s="250"/>
      <c r="O46" s="250">
        <f>ROUND($D46*('Rider Rates'!B$94),2)</f>
        <v>0</v>
      </c>
      <c r="P46" s="361">
        <f>'Rider Rates'!$D$94</f>
        <v>44531</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87" t="s">
        <v>156</v>
      </c>
      <c r="B47" s="336"/>
      <c r="C47" s="336"/>
      <c r="D47" s="393">
        <f>$N$24</f>
        <v>10</v>
      </c>
      <c r="E47" s="364" t="s">
        <v>122</v>
      </c>
      <c r="F47" s="365" t="s">
        <v>8</v>
      </c>
      <c r="G47" s="402"/>
      <c r="H47" s="356"/>
      <c r="I47" s="401">
        <f>'Rider Rates'!$B$105</f>
        <v>0.2363101</v>
      </c>
      <c r="J47" s="401">
        <f t="shared" si="0"/>
        <v>0.2363101</v>
      </c>
      <c r="K47" s="367"/>
      <c r="L47" s="250"/>
      <c r="M47" s="250"/>
      <c r="N47" s="250">
        <f>ROUND(D47*I47,2)</f>
        <v>2.36</v>
      </c>
      <c r="O47" s="250">
        <f t="shared" si="2"/>
        <v>2.36</v>
      </c>
      <c r="P47" s="361">
        <f>'Rider Rates'!$D$105</f>
        <v>45622</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209</v>
      </c>
      <c r="B48" s="336"/>
      <c r="C48" s="336"/>
      <c r="D48" s="393"/>
      <c r="E48" s="398" t="s">
        <v>115</v>
      </c>
      <c r="F48" s="386"/>
      <c r="G48" s="402"/>
      <c r="H48" s="356"/>
      <c r="I48" s="403">
        <f>'Rider Rates'!$B$108</f>
        <v>0</v>
      </c>
      <c r="J48" s="403">
        <f t="shared" si="0"/>
        <v>0</v>
      </c>
      <c r="K48" s="367"/>
      <c r="L48" s="250"/>
      <c r="M48" s="250"/>
      <c r="N48" s="250">
        <f>I48</f>
        <v>0</v>
      </c>
      <c r="O48" s="250">
        <f t="shared" si="2"/>
        <v>0</v>
      </c>
      <c r="P48" s="361">
        <f>'Rider Rates'!$D$108</f>
        <v>44894</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21" x14ac:dyDescent="0.25">
      <c r="A49" s="395" t="s">
        <v>217</v>
      </c>
      <c r="B49" s="336"/>
      <c r="C49" s="336"/>
      <c r="D49" s="393"/>
      <c r="E49" s="398" t="s">
        <v>115</v>
      </c>
      <c r="F49" s="386"/>
      <c r="G49" s="402"/>
      <c r="H49" s="356"/>
      <c r="I49" s="404">
        <f>'Rider Rates'!B121</f>
        <v>0.97</v>
      </c>
      <c r="J49" s="403">
        <f t="shared" si="0"/>
        <v>0.97</v>
      </c>
      <c r="K49" s="367"/>
      <c r="L49" s="250"/>
      <c r="M49" s="250"/>
      <c r="N49" s="405">
        <f>I49</f>
        <v>0.97</v>
      </c>
      <c r="O49" s="250">
        <f t="shared" si="2"/>
        <v>0.97</v>
      </c>
      <c r="P49" s="361">
        <f>'Rider Rates'!D121</f>
        <v>45593</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21" x14ac:dyDescent="0.25">
      <c r="A50" s="387" t="s">
        <v>157</v>
      </c>
      <c r="B50" s="336"/>
      <c r="C50" s="336"/>
      <c r="D50" s="363">
        <f>'Customer Info'!$B$21+'Customer Info'!$B$22</f>
        <v>0</v>
      </c>
      <c r="E50" s="364" t="s">
        <v>41</v>
      </c>
      <c r="F50" s="365" t="s">
        <v>8</v>
      </c>
      <c r="G50" s="389">
        <f>'Rider Rates'!$B$112</f>
        <v>3.8972999999999998E-3</v>
      </c>
      <c r="H50" s="389"/>
      <c r="I50" s="401"/>
      <c r="J50" s="396">
        <f>SUM(G50:H50)</f>
        <v>3.8972999999999998E-3</v>
      </c>
      <c r="K50" s="367" t="s">
        <v>42</v>
      </c>
      <c r="L50" s="250">
        <f>ROUND(D50*G50,2)</f>
        <v>0</v>
      </c>
      <c r="M50" s="250"/>
      <c r="N50" s="250"/>
      <c r="O50" s="250">
        <f t="shared" si="2"/>
        <v>0</v>
      </c>
      <c r="P50" s="361">
        <f>'Rider Rates'!$D$112</f>
        <v>44531</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21" x14ac:dyDescent="0.25">
      <c r="A51" s="395" t="s">
        <v>208</v>
      </c>
      <c r="B51" s="336"/>
      <c r="C51" s="336"/>
      <c r="D51" s="363">
        <f>IF($C$17&lt;1,0,$C$17)</f>
        <v>0</v>
      </c>
      <c r="E51" s="364" t="s">
        <v>41</v>
      </c>
      <c r="F51" s="358" t="s">
        <v>8</v>
      </c>
      <c r="G51" s="366"/>
      <c r="H51" s="366"/>
      <c r="I51" s="406">
        <f>'Rider Rates'!B117</f>
        <v>0</v>
      </c>
      <c r="J51" s="406">
        <f>SUM(G51:I51)</f>
        <v>0</v>
      </c>
      <c r="K51" s="367" t="s">
        <v>42</v>
      </c>
      <c r="L51" s="250"/>
      <c r="M51" s="250"/>
      <c r="N51" s="250">
        <f>D51*J51</f>
        <v>0</v>
      </c>
      <c r="O51" s="250">
        <f>SUM(L51:N51)</f>
        <v>0</v>
      </c>
      <c r="P51" s="361">
        <f>'Rider Rates'!D117</f>
        <v>45657</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21" x14ac:dyDescent="0.25">
      <c r="A52" s="397" t="s">
        <v>230</v>
      </c>
      <c r="B52" s="336"/>
      <c r="C52" s="336"/>
      <c r="D52" s="363"/>
      <c r="E52" s="364" t="s">
        <v>115</v>
      </c>
      <c r="F52" s="365" t="s">
        <v>8</v>
      </c>
      <c r="G52" s="407"/>
      <c r="H52" s="407"/>
      <c r="I52" s="407">
        <f>'Rider Rates'!$B$125</f>
        <v>0.1</v>
      </c>
      <c r="J52" s="407">
        <f>SUM(G52:I52)</f>
        <v>0.1</v>
      </c>
      <c r="K52" s="367"/>
      <c r="L52" s="408"/>
      <c r="M52" s="408"/>
      <c r="N52" s="408">
        <f>J52</f>
        <v>0.1</v>
      </c>
      <c r="O52" s="408">
        <f>SUM(L52:N52)</f>
        <v>0.1</v>
      </c>
      <c r="P52" s="409">
        <f>'Rider Rates'!$E$125</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21" x14ac:dyDescent="0.25">
      <c r="A53" s="397" t="s">
        <v>242</v>
      </c>
      <c r="B53" s="336"/>
      <c r="C53" s="336"/>
      <c r="D53" s="363">
        <f>C17</f>
        <v>0</v>
      </c>
      <c r="E53" s="364" t="s">
        <v>41</v>
      </c>
      <c r="F53" s="358" t="s">
        <v>8</v>
      </c>
      <c r="G53" s="389"/>
      <c r="H53" s="389"/>
      <c r="I53" s="389">
        <f>'Rider Rates'!$B$130</f>
        <v>0</v>
      </c>
      <c r="J53" s="396">
        <f>SUM(G53:I53)</f>
        <v>0</v>
      </c>
      <c r="K53" s="367" t="s">
        <v>42</v>
      </c>
      <c r="L53" s="250"/>
      <c r="M53" s="250"/>
      <c r="N53" s="250">
        <f>D53*J53</f>
        <v>0</v>
      </c>
      <c r="O53" s="250">
        <f>SUM(L53:N53)</f>
        <v>0</v>
      </c>
      <c r="P53" s="361">
        <f>'Rider Rates'!D130</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21" x14ac:dyDescent="0.25">
      <c r="A54" s="397" t="s">
        <v>241</v>
      </c>
      <c r="B54" s="336"/>
      <c r="C54" s="336"/>
      <c r="D54" s="363"/>
      <c r="E54" s="364" t="s">
        <v>115</v>
      </c>
      <c r="F54" s="365" t="s">
        <v>8</v>
      </c>
      <c r="G54" s="407"/>
      <c r="H54" s="407"/>
      <c r="I54" s="407">
        <f>'Rider Rates'!$B$137</f>
        <v>0</v>
      </c>
      <c r="J54" s="407">
        <f>SUM(G54:I54)</f>
        <v>0</v>
      </c>
      <c r="K54" s="367"/>
      <c r="L54" s="408"/>
      <c r="M54" s="408"/>
      <c r="N54" s="408">
        <f>J54</f>
        <v>0</v>
      </c>
      <c r="O54" s="408">
        <f>SUM(L54:N54)</f>
        <v>0</v>
      </c>
      <c r="P54" s="409">
        <f>'Rider Rates'!$D$133</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21"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21" x14ac:dyDescent="0.25">
      <c r="A56" s="410" t="s">
        <v>71</v>
      </c>
      <c r="B56" s="347"/>
      <c r="C56" s="347"/>
      <c r="D56" s="411"/>
      <c r="E56" s="412"/>
      <c r="F56" s="413"/>
      <c r="G56" s="413"/>
      <c r="H56" s="413"/>
      <c r="I56" s="413"/>
      <c r="J56" s="413"/>
      <c r="K56" s="414"/>
      <c r="L56" s="415">
        <f>SUM(L28:L55)</f>
        <v>0</v>
      </c>
      <c r="M56" s="415">
        <f t="shared" ref="M56:O56" si="5">SUM(M28:M55)</f>
        <v>0</v>
      </c>
      <c r="N56" s="415">
        <f t="shared" si="5"/>
        <v>7.839999999999999</v>
      </c>
      <c r="O56" s="415">
        <f t="shared" si="5"/>
        <v>7.839999999999999</v>
      </c>
      <c r="P56" s="416"/>
      <c r="Q56" s="386"/>
      <c r="R56" s="384"/>
      <c r="S56" s="384"/>
      <c r="T56" s="417"/>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21" x14ac:dyDescent="0.25">
      <c r="A57" s="336"/>
      <c r="B57" s="336"/>
      <c r="C57" s="336"/>
      <c r="D57" s="363"/>
      <c r="E57" s="398"/>
      <c r="F57" s="386"/>
      <c r="G57" s="386"/>
      <c r="H57" s="386"/>
      <c r="I57" s="386"/>
      <c r="J57" s="383"/>
      <c r="K57" s="367"/>
      <c r="L57" s="386"/>
      <c r="M57" s="386"/>
      <c r="N57" s="386"/>
      <c r="O57" s="386"/>
      <c r="P57" s="418"/>
      <c r="Q57" s="386"/>
      <c r="R57" s="384"/>
      <c r="S57" s="384"/>
      <c r="T57" s="417"/>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21" x14ac:dyDescent="0.25">
      <c r="A58" s="380"/>
      <c r="B58" s="380"/>
      <c r="C58" s="380"/>
      <c r="D58" s="380"/>
      <c r="E58" s="380"/>
      <c r="F58" s="380"/>
      <c r="G58" s="380"/>
      <c r="H58" s="380"/>
      <c r="I58" s="380"/>
      <c r="J58" s="380"/>
      <c r="K58" s="380"/>
      <c r="L58" s="419">
        <f>L24+L56</f>
        <v>0</v>
      </c>
      <c r="M58" s="419">
        <f>M24+M56</f>
        <v>0</v>
      </c>
      <c r="N58" s="419">
        <f>N24+N56</f>
        <v>17.84</v>
      </c>
      <c r="O58" s="420">
        <f>O24+O56</f>
        <v>17.84</v>
      </c>
      <c r="P58" s="420"/>
      <c r="Q58" s="386"/>
      <c r="R58" s="384"/>
      <c r="S58" s="384"/>
      <c r="T58" s="417"/>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21" x14ac:dyDescent="0.25">
      <c r="A59" s="421"/>
      <c r="B59" s="336"/>
      <c r="C59" s="336"/>
      <c r="D59" s="336"/>
      <c r="E59" s="336"/>
      <c r="F59" s="336"/>
      <c r="G59" s="336"/>
      <c r="H59" s="336"/>
      <c r="I59" s="336"/>
      <c r="J59" s="336"/>
      <c r="K59" s="336"/>
      <c r="L59" s="336"/>
      <c r="M59" s="336"/>
      <c r="Q59" s="384"/>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21" x14ac:dyDescent="0.25">
      <c r="A60" s="422"/>
      <c r="B60" s="336"/>
      <c r="C60" s="336"/>
      <c r="D60" s="336"/>
      <c r="E60" s="336"/>
      <c r="F60" s="336"/>
      <c r="G60" s="336"/>
      <c r="H60" s="336"/>
      <c r="I60" s="336"/>
      <c r="J60" s="336"/>
      <c r="K60" s="336"/>
      <c r="L60" s="336"/>
      <c r="M60" s="336"/>
      <c r="Q60" s="384"/>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21" x14ac:dyDescent="0.25">
      <c r="A61" s="384" t="s">
        <v>93</v>
      </c>
      <c r="B61" s="336"/>
      <c r="C61" s="336"/>
      <c r="D61" s="384"/>
      <c r="E61" s="336"/>
      <c r="F61" s="336"/>
      <c r="G61" s="336"/>
      <c r="H61" s="336"/>
      <c r="I61" s="336"/>
      <c r="J61" s="336"/>
      <c r="K61" s="336"/>
      <c r="L61" s="336"/>
      <c r="M61" s="336"/>
      <c r="N61" s="336"/>
      <c r="O61" s="378">
        <f>IF($C$17&lt;=0,MIN(O21,O58), O21)</f>
        <v>10</v>
      </c>
      <c r="Q61" s="384"/>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21" x14ac:dyDescent="0.25">
      <c r="A62" s="422"/>
      <c r="B62" s="384"/>
      <c r="C62" s="384"/>
      <c r="D62" s="384"/>
      <c r="E62" s="384"/>
      <c r="F62" s="384"/>
      <c r="G62" s="384"/>
      <c r="H62" s="384"/>
      <c r="I62" s="336"/>
      <c r="J62" s="336"/>
      <c r="K62" s="336"/>
      <c r="L62" s="336"/>
      <c r="M62" s="336"/>
      <c r="Q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21" x14ac:dyDescent="0.25">
      <c r="A63" s="347" t="s">
        <v>117</v>
      </c>
      <c r="O63" s="423">
        <f>IF($C$17&lt;0,O58,IF(O58&gt;O61,O58,O61))</f>
        <v>17.84</v>
      </c>
      <c r="P63" s="424"/>
      <c r="Q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21" x14ac:dyDescent="0.25">
      <c r="A64" s="422"/>
    </row>
    <row r="65" spans="1:16" x14ac:dyDescent="0.25">
      <c r="A65" s="422"/>
      <c r="I65" s="384" t="s">
        <v>121</v>
      </c>
      <c r="J65" s="384"/>
      <c r="K65" s="384"/>
      <c r="L65" s="425"/>
      <c r="M65" s="425"/>
      <c r="N65" s="425"/>
      <c r="O65" s="425">
        <f>ROUND(IF($C$17&lt;1,0,O58/($C$17*100)*10000),2)</f>
        <v>0</v>
      </c>
      <c r="P65" s="370" t="s">
        <v>87</v>
      </c>
    </row>
    <row r="66" spans="1:16" x14ac:dyDescent="0.25">
      <c r="A66" s="422"/>
      <c r="I66" s="426" t="s">
        <v>190</v>
      </c>
      <c r="J66" s="336"/>
      <c r="K66" s="336"/>
      <c r="L66" s="336"/>
      <c r="M66" s="336"/>
      <c r="N66" s="336"/>
      <c r="O66" s="427">
        <f>ROUND(IF($C$17&lt;1,0,(L58)/($C$17*100)*10000),2)</f>
        <v>0</v>
      </c>
      <c r="P66" s="339" t="s">
        <v>87</v>
      </c>
    </row>
    <row r="67" spans="1:16" x14ac:dyDescent="0.25">
      <c r="A67" s="422"/>
    </row>
    <row r="68" spans="1:16" x14ac:dyDescent="0.25">
      <c r="A68" s="422"/>
    </row>
    <row r="69" spans="1:16" x14ac:dyDescent="0.25">
      <c r="A69" s="422"/>
    </row>
    <row r="70" spans="1:16" x14ac:dyDescent="0.25">
      <c r="A70" s="422"/>
    </row>
    <row r="71" spans="1:16" x14ac:dyDescent="0.25">
      <c r="A71" s="422"/>
    </row>
    <row r="72" spans="1:16" x14ac:dyDescent="0.25">
      <c r="A72" s="422"/>
    </row>
    <row r="73" spans="1:16" x14ac:dyDescent="0.25">
      <c r="A73" s="422"/>
    </row>
  </sheetData>
  <sheetProtection algorithmName="SHA-512" hashValue="DXKwsBS2JI3VTr2X/xSAD3JEIMb96tOp+tt8h4jt4358srK8wodS6x+nm+A/mO7r6ufAcMwAGUlxcfoZGwFlGQ==" saltValue="c3zxyDOlDqSdkG+c+2T7GA=="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4385" r:id="rId3" name="Button 1">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44386" r:id="rId4" name="Button 2">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44387" r:id="rId5" name="Button 3">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44388" r:id="rId6" name="Button 4">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44389" r:id="rId7" name="Button 5">
              <controlPr defaultSize="0" print="0" autoFill="0" autoPict="0" macro="[0]!Info">
                <anchor moveWithCells="1">
                  <from>
                    <xdr:col>14</xdr:col>
                    <xdr:colOff>601980</xdr:colOff>
                    <xdr:row>81</xdr:row>
                    <xdr:rowOff>38100</xdr:rowOff>
                  </from>
                  <to>
                    <xdr:col>14</xdr:col>
                    <xdr:colOff>1135380</xdr:colOff>
                    <xdr:row>82</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dimension ref="A1:IB65"/>
  <sheetViews>
    <sheetView showGridLines="0" topLeftCell="A19" zoomScale="80" zoomScaleNormal="80" workbookViewId="0">
      <selection activeCell="L5" sqref="L5"/>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84</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row>
    <row r="6" spans="1:30" x14ac:dyDescent="0.25">
      <c r="A6" s="76">
        <f ca="1">TODAY()</f>
        <v>45657</v>
      </c>
      <c r="B6" s="210" t="s">
        <v>249</v>
      </c>
      <c r="C6" s="76"/>
      <c r="D6" s="76"/>
      <c r="E6" s="76"/>
      <c r="F6" s="76"/>
      <c r="G6" s="76"/>
      <c r="H6" s="76"/>
      <c r="I6" s="76"/>
    </row>
    <row r="7" spans="1:30" ht="24.6" x14ac:dyDescent="0.4">
      <c r="A7" s="505"/>
      <c r="B7" s="505"/>
      <c r="C7" s="505"/>
      <c r="D7" s="505"/>
      <c r="E7" s="505"/>
      <c r="F7" s="505"/>
      <c r="G7" s="505"/>
      <c r="H7" s="505"/>
      <c r="I7" s="505"/>
      <c r="J7" s="505"/>
      <c r="K7" s="505"/>
      <c r="L7" s="505"/>
      <c r="M7" s="505"/>
      <c r="N7" s="505"/>
      <c r="O7" s="505"/>
      <c r="P7" s="505"/>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28" t="s">
        <v>27</v>
      </c>
      <c r="B13" s="22"/>
      <c r="C13" s="22"/>
      <c r="D13" s="22"/>
      <c r="E13" s="22"/>
      <c r="F13" s="22"/>
      <c r="G13" s="22"/>
      <c r="H13" s="22"/>
      <c r="I13" s="22"/>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c r="B16" s="31"/>
      <c r="C16" s="32"/>
      <c r="D16" s="31"/>
      <c r="E16" s="31"/>
      <c r="F16" s="33"/>
      <c r="G16" s="23" t="s">
        <v>15</v>
      </c>
      <c r="H16" s="31"/>
    </row>
    <row r="17" spans="1:221" x14ac:dyDescent="0.25">
      <c r="A17" s="31"/>
      <c r="B17" s="31"/>
      <c r="C17" s="33"/>
      <c r="D17" s="33"/>
      <c r="E17" s="33"/>
      <c r="F17" s="33"/>
      <c r="G17" s="23" t="s">
        <v>15</v>
      </c>
      <c r="H17" s="31"/>
      <c r="I17" s="52" t="s">
        <v>15</v>
      </c>
    </row>
    <row r="19" spans="1:221" x14ac:dyDescent="0.25">
      <c r="A19" s="28" t="s">
        <v>31</v>
      </c>
      <c r="B19" s="22"/>
      <c r="C19" s="22"/>
      <c r="D19" s="22"/>
      <c r="E19" s="22"/>
      <c r="F19" s="22"/>
      <c r="G19" s="489" t="s">
        <v>68</v>
      </c>
      <c r="H19" s="490"/>
      <c r="I19" s="490"/>
      <c r="J19" s="491"/>
      <c r="K19" s="22"/>
      <c r="L19" s="492" t="s">
        <v>69</v>
      </c>
      <c r="M19" s="492"/>
      <c r="N19" s="492"/>
      <c r="O19" s="492"/>
    </row>
    <row r="20" spans="1:221" x14ac:dyDescent="0.25">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s="287"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45627</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7" si="0">SUM(G27:I27)</f>
        <v>4.6278999999999999E-3</v>
      </c>
      <c r="K27" s="104" t="s">
        <v>42</v>
      </c>
      <c r="L27" s="105"/>
      <c r="M27" s="105"/>
      <c r="N27" s="105">
        <f t="shared" ref="N27:N32" si="1">ROUND(D27*I27,2)</f>
        <v>0</v>
      </c>
      <c r="O27" s="105">
        <f t="shared" ref="O27:O48"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ref="O32:O38" si="3">SUM(L32:N32)</f>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3"/>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'Customer Info'!$B$21+'Customer Info'!$B$22-'Customer Info'!$B$23</f>
        <v>0</v>
      </c>
      <c r="E34" s="101" t="s">
        <v>41</v>
      </c>
      <c r="F34" s="102" t="s">
        <v>8</v>
      </c>
      <c r="G34" s="103">
        <f>'Rider Rates'!B22</f>
        <v>7.0209999999999995E-2</v>
      </c>
      <c r="H34" s="103"/>
      <c r="I34" s="103"/>
      <c r="J34" s="237">
        <f>SUM(G34:H34)</f>
        <v>7.0209999999999995E-2</v>
      </c>
      <c r="K34" s="104" t="s">
        <v>42</v>
      </c>
      <c r="L34" s="105">
        <f>ROUND(D34*G34,2)</f>
        <v>0</v>
      </c>
      <c r="M34" s="105"/>
      <c r="N34" s="105"/>
      <c r="O34" s="105">
        <f t="shared" si="3"/>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161</v>
      </c>
      <c r="B35" s="78"/>
      <c r="C35" s="78"/>
      <c r="D35" s="100">
        <f>'Customer Info'!$B$21+'Customer Info'!$B$22-'Customer Info'!$B$23</f>
        <v>0</v>
      </c>
      <c r="E35" s="101" t="s">
        <v>41</v>
      </c>
      <c r="F35" s="102" t="s">
        <v>8</v>
      </c>
      <c r="G35" s="103">
        <f>'Rider Rates'!$B$33</f>
        <v>2.7299999999999998E-3</v>
      </c>
      <c r="H35" s="103"/>
      <c r="I35" s="103"/>
      <c r="J35" s="237">
        <f>SUM(G35:H35)</f>
        <v>2.7299999999999998E-3</v>
      </c>
      <c r="K35" s="104" t="s">
        <v>42</v>
      </c>
      <c r="L35" s="105">
        <f>ROUND(D35*G35,2)</f>
        <v>0</v>
      </c>
      <c r="M35" s="105"/>
      <c r="N35" s="105"/>
      <c r="O35" s="105">
        <f t="shared" si="3"/>
        <v>0</v>
      </c>
      <c r="P35" s="245">
        <f>'Rider Rates'!$D$33</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193</v>
      </c>
      <c r="B36" s="78"/>
      <c r="C36" s="78"/>
      <c r="D36" s="100">
        <f>'Customer Info'!$B$21+'Customer Info'!$B$22-'Customer Info'!$B$23</f>
        <v>0</v>
      </c>
      <c r="E36" s="101" t="s">
        <v>41</v>
      </c>
      <c r="F36" s="102" t="s">
        <v>8</v>
      </c>
      <c r="G36" s="103">
        <f>'Rider Rates'!$B$45</f>
        <v>4.5009999999999999E-4</v>
      </c>
      <c r="H36" s="103"/>
      <c r="I36" s="103"/>
      <c r="J36" s="237">
        <f>SUM(G36:H36)</f>
        <v>4.5009999999999999E-4</v>
      </c>
      <c r="K36" s="104" t="s">
        <v>42</v>
      </c>
      <c r="L36" s="105">
        <f>ROUND(D36*G36,2)</f>
        <v>0</v>
      </c>
      <c r="M36" s="105"/>
      <c r="N36" s="105"/>
      <c r="O36" s="105">
        <f t="shared" si="3"/>
        <v>0</v>
      </c>
      <c r="P36" s="245">
        <f>'Rider Rates'!$D$45</f>
        <v>45657</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41" t="s">
        <v>210</v>
      </c>
      <c r="B37" s="78"/>
      <c r="C37" s="78"/>
      <c r="D37" s="100">
        <f>IF($C$15&lt;0,0,IF($C$15&gt;833000,833000,$C$15))</f>
        <v>0</v>
      </c>
      <c r="E37" s="101" t="s">
        <v>41</v>
      </c>
      <c r="F37" s="102" t="s">
        <v>8</v>
      </c>
      <c r="G37" s="103"/>
      <c r="H37" s="103"/>
      <c r="I37" s="103">
        <f>'Rider Rates'!D49</f>
        <v>1.8006999999999999E-3</v>
      </c>
      <c r="J37" s="103">
        <f>SUM(G37:I37)</f>
        <v>1.8006999999999999E-3</v>
      </c>
      <c r="K37" s="104" t="s">
        <v>42</v>
      </c>
      <c r="L37" s="105"/>
      <c r="M37" s="105"/>
      <c r="N37" s="105">
        <f>D37*J37</f>
        <v>0</v>
      </c>
      <c r="O37" s="105">
        <f t="shared" si="3"/>
        <v>0</v>
      </c>
      <c r="P37" s="245">
        <f>'Rider Rates'!E49</f>
        <v>45658</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10" t="s">
        <v>189</v>
      </c>
      <c r="B38" s="78"/>
      <c r="C38" s="78"/>
      <c r="D38" s="100">
        <f>IF($C$15&lt;0,0,$C$15)</f>
        <v>0</v>
      </c>
      <c r="E38" s="113" t="s">
        <v>41</v>
      </c>
      <c r="F38" s="102" t="s">
        <v>8</v>
      </c>
      <c r="G38" s="103"/>
      <c r="H38" s="103">
        <f>'Rider Rates'!$B$56</f>
        <v>2.3467399999999999E-2</v>
      </c>
      <c r="I38" s="103"/>
      <c r="J38" s="103">
        <f>SUM(G38:I38)</f>
        <v>2.3467399999999999E-2</v>
      </c>
      <c r="K38" s="104" t="s">
        <v>42</v>
      </c>
      <c r="L38" s="105"/>
      <c r="M38" s="105">
        <f>ROUND(D38*H38,2)</f>
        <v>0</v>
      </c>
      <c r="N38" s="205"/>
      <c r="O38" s="105">
        <f t="shared" si="3"/>
        <v>0</v>
      </c>
      <c r="P38" s="245">
        <f>'Rider Rates'!$D$56</f>
        <v>45383</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96</v>
      </c>
      <c r="B39" s="78"/>
      <c r="C39" s="78"/>
      <c r="D39" s="100">
        <f>IF('Customer Info'!C34=TRUE,0,IF($C$15&lt;0,0,$C$15))</f>
        <v>0</v>
      </c>
      <c r="E39" s="101" t="s">
        <v>41</v>
      </c>
      <c r="F39" s="102" t="s">
        <v>8</v>
      </c>
      <c r="G39" s="103"/>
      <c r="H39" s="103"/>
      <c r="I39" s="103">
        <f>'Rider Rates'!$B$70+'Rider Rates'!$C$70</f>
        <v>0</v>
      </c>
      <c r="J39" s="103">
        <f t="shared" si="0"/>
        <v>0</v>
      </c>
      <c r="K39" s="104" t="s">
        <v>42</v>
      </c>
      <c r="L39" s="105"/>
      <c r="M39" s="105"/>
      <c r="N39" s="105">
        <f>ROUND($D$39*'Rider Rates'!$B$70,2)+ROUND($D$39*'Rider Rates'!$C$70,2)</f>
        <v>0</v>
      </c>
      <c r="O39" s="105">
        <f t="shared" si="2"/>
        <v>0</v>
      </c>
      <c r="P39" s="245">
        <f>'Rider Rates'!$D$70</f>
        <v>45444</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c r="E40" s="101" t="s">
        <v>115</v>
      </c>
      <c r="F40" s="102"/>
      <c r="G40" s="103"/>
      <c r="H40" s="103"/>
      <c r="I40" s="196">
        <f>'Rider Rates'!$B$77</f>
        <v>0</v>
      </c>
      <c r="J40" s="196">
        <f>IF('Customer Info'!C34=TRUE,0,SUM(G40:I40))</f>
        <v>0</v>
      </c>
      <c r="K40" s="104"/>
      <c r="L40" s="105"/>
      <c r="M40" s="105"/>
      <c r="N40" s="105">
        <f>J40</f>
        <v>0</v>
      </c>
      <c r="O40" s="105">
        <f>SUM(L40:N40)</f>
        <v>0</v>
      </c>
      <c r="P40" s="245">
        <f>'Rider Rates'!$D$77</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81</v>
      </c>
      <c r="B41" s="78"/>
      <c r="C41" s="78"/>
      <c r="D41" s="195">
        <f>$N$23</f>
        <v>9.4</v>
      </c>
      <c r="E41" s="101" t="s">
        <v>122</v>
      </c>
      <c r="F41" s="102" t="s">
        <v>8</v>
      </c>
      <c r="G41" s="111"/>
      <c r="H41" s="112"/>
      <c r="I41" s="120">
        <f>'Rider Rates'!$B$85</f>
        <v>4.94232E-2</v>
      </c>
      <c r="J41" s="120">
        <f t="shared" si="0"/>
        <v>4.94232E-2</v>
      </c>
      <c r="K41" s="104"/>
      <c r="L41" s="105"/>
      <c r="M41" s="105"/>
      <c r="N41" s="105">
        <f>ROUND(D41*I41,2)</f>
        <v>0.46</v>
      </c>
      <c r="O41" s="105">
        <f t="shared" si="2"/>
        <v>0.46</v>
      </c>
      <c r="P41" s="245">
        <f>'Rider Rates'!$D$85</f>
        <v>45562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82</v>
      </c>
      <c r="B42" s="78"/>
      <c r="C42" s="78"/>
      <c r="D42" s="195">
        <f>$N$23</f>
        <v>9.4</v>
      </c>
      <c r="E42" s="101" t="s">
        <v>122</v>
      </c>
      <c r="F42" s="102" t="s">
        <v>8</v>
      </c>
      <c r="G42" s="114"/>
      <c r="H42" s="115"/>
      <c r="I42" s="120">
        <f>'Rider Rates'!$B$87</f>
        <v>6.6985699999999995E-2</v>
      </c>
      <c r="J42" s="120">
        <f t="shared" si="0"/>
        <v>6.6985699999999995E-2</v>
      </c>
      <c r="K42" s="104"/>
      <c r="L42" s="105"/>
      <c r="M42" s="105"/>
      <c r="N42" s="105">
        <f>ROUND(D42*I42,2)</f>
        <v>0.63</v>
      </c>
      <c r="O42" s="105">
        <f t="shared" si="2"/>
        <v>0.63</v>
      </c>
      <c r="P42" s="245">
        <f>'Rider Rates'!$D$87</f>
        <v>45167</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206</v>
      </c>
      <c r="B43" s="78"/>
      <c r="C43" s="78"/>
      <c r="D43" s="195"/>
      <c r="E43" s="113" t="s">
        <v>115</v>
      </c>
      <c r="F43" s="106"/>
      <c r="G43" s="114"/>
      <c r="H43" s="115"/>
      <c r="I43" s="196">
        <f>'Rider Rates'!$B$91</f>
        <v>17.53</v>
      </c>
      <c r="J43" s="196">
        <f t="shared" si="0"/>
        <v>17.53</v>
      </c>
      <c r="K43" s="104"/>
      <c r="L43" s="105"/>
      <c r="M43" s="105"/>
      <c r="N43" s="105">
        <f>I43</f>
        <v>17.53</v>
      </c>
      <c r="O43" s="105">
        <f t="shared" si="2"/>
        <v>17.53</v>
      </c>
      <c r="P43" s="245">
        <f>'Rider Rates'!$D$91</f>
        <v>45657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239</v>
      </c>
      <c r="B44" s="78"/>
      <c r="C44" s="78"/>
      <c r="D44" s="100">
        <f>IF($C$15&lt;0,0,$C$15)</f>
        <v>0</v>
      </c>
      <c r="E44" s="101" t="s">
        <v>41</v>
      </c>
      <c r="F44" s="102" t="s">
        <v>8</v>
      </c>
      <c r="G44" s="103"/>
      <c r="H44" s="103"/>
      <c r="I44" s="103"/>
      <c r="J44" s="103">
        <f>'Rider Rates'!$B$95</f>
        <v>0</v>
      </c>
      <c r="K44" s="104" t="s">
        <v>42</v>
      </c>
      <c r="L44" s="105"/>
      <c r="M44" s="105"/>
      <c r="N44" s="105"/>
      <c r="O44" s="105">
        <f>ROUND($D44*('Rider Rates'!B$95),2)</f>
        <v>0</v>
      </c>
      <c r="P44" s="245">
        <f>'Rider Rates'!$D$95</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99" t="s">
        <v>156</v>
      </c>
      <c r="B45" s="78"/>
      <c r="C45" s="78"/>
      <c r="D45" s="195">
        <f>$N$23</f>
        <v>9.4</v>
      </c>
      <c r="E45" s="101" t="s">
        <v>122</v>
      </c>
      <c r="F45" s="102" t="s">
        <v>8</v>
      </c>
      <c r="G45" s="114"/>
      <c r="H45" s="115"/>
      <c r="I45" s="120">
        <f>'Rider Rates'!$B$105</f>
        <v>0.2363101</v>
      </c>
      <c r="J45" s="120">
        <f t="shared" si="0"/>
        <v>0.2363101</v>
      </c>
      <c r="K45" s="104"/>
      <c r="L45" s="105"/>
      <c r="M45" s="105"/>
      <c r="N45" s="105">
        <f>ROUND(D45*I45,2)</f>
        <v>2.2200000000000002</v>
      </c>
      <c r="O45" s="105">
        <f t="shared" si="2"/>
        <v>2.2200000000000002</v>
      </c>
      <c r="P45" s="245">
        <f>'Rider Rates'!$D$105</f>
        <v>45622</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209</v>
      </c>
      <c r="B46" s="78"/>
      <c r="C46" s="78"/>
      <c r="D46" s="195"/>
      <c r="E46" s="113" t="s">
        <v>115</v>
      </c>
      <c r="F46" s="106"/>
      <c r="G46" s="114"/>
      <c r="H46" s="115"/>
      <c r="I46" s="196">
        <f>'Rider Rates'!$B$109</f>
        <v>0</v>
      </c>
      <c r="J46" s="196">
        <f t="shared" si="0"/>
        <v>0</v>
      </c>
      <c r="K46" s="104"/>
      <c r="L46" s="105"/>
      <c r="M46" s="105"/>
      <c r="N46" s="105">
        <f>I46</f>
        <v>0</v>
      </c>
      <c r="O46" s="105">
        <f t="shared" si="2"/>
        <v>0</v>
      </c>
      <c r="P46" s="245">
        <f>'Rider Rates'!$D$109</f>
        <v>44894</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217</v>
      </c>
      <c r="B47" s="78"/>
      <c r="C47" s="78"/>
      <c r="D47" s="195"/>
      <c r="E47" s="113" t="s">
        <v>115</v>
      </c>
      <c r="F47" s="106"/>
      <c r="G47" s="114"/>
      <c r="H47" s="115"/>
      <c r="I47" s="258">
        <f>'Rider Rates'!B122</f>
        <v>4.84</v>
      </c>
      <c r="J47" s="196">
        <f t="shared" si="0"/>
        <v>4.84</v>
      </c>
      <c r="K47" s="104"/>
      <c r="L47" s="105"/>
      <c r="M47" s="105"/>
      <c r="N47" s="260">
        <f>I47</f>
        <v>4.84</v>
      </c>
      <c r="O47" s="105">
        <f t="shared" si="2"/>
        <v>4.84</v>
      </c>
      <c r="P47" s="245">
        <f>'Rider Rates'!D122</f>
        <v>45593</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99" t="s">
        <v>157</v>
      </c>
      <c r="B48" s="78"/>
      <c r="C48" s="78"/>
      <c r="D48" s="100">
        <f>'Customer Info'!$B$21+'Customer Info'!$B$22-'Customer Info'!$B$23</f>
        <v>0</v>
      </c>
      <c r="E48" s="101" t="s">
        <v>41</v>
      </c>
      <c r="F48" s="102" t="s">
        <v>8</v>
      </c>
      <c r="G48" s="103">
        <f>'Rider Rates'!$B$112</f>
        <v>3.8972999999999998E-3</v>
      </c>
      <c r="H48" s="103"/>
      <c r="I48" s="120"/>
      <c r="J48" s="237">
        <f>SUM(G48:H48)</f>
        <v>3.8972999999999998E-3</v>
      </c>
      <c r="K48" s="104" t="s">
        <v>42</v>
      </c>
      <c r="L48" s="105">
        <f>ROUND(D48*G48,2)</f>
        <v>0</v>
      </c>
      <c r="M48" s="105"/>
      <c r="N48" s="105"/>
      <c r="O48" s="105">
        <f t="shared" si="2"/>
        <v>0</v>
      </c>
      <c r="P48" s="245">
        <f>'Rider Rates'!$D$112</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208</v>
      </c>
      <c r="B49" s="78"/>
      <c r="C49" s="78"/>
      <c r="D49" s="100">
        <f>IF($C$15&lt;1,0,$C$15)</f>
        <v>0</v>
      </c>
      <c r="E49" s="101" t="s">
        <v>41</v>
      </c>
      <c r="F49" s="249" t="s">
        <v>8</v>
      </c>
      <c r="G49" s="165"/>
      <c r="H49" s="165"/>
      <c r="I49" s="251">
        <f>'Rider Rates'!B118</f>
        <v>0</v>
      </c>
      <c r="J49" s="251">
        <f>SUM(G49:I49)</f>
        <v>0</v>
      </c>
      <c r="K49" s="104" t="s">
        <v>42</v>
      </c>
      <c r="L49" s="105"/>
      <c r="M49" s="105"/>
      <c r="N49" s="105">
        <f>D49*J49</f>
        <v>0</v>
      </c>
      <c r="O49" s="105">
        <f>SUM(L49:N49)</f>
        <v>0</v>
      </c>
      <c r="P49" s="245">
        <f>'Rider Rates'!D118</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78" t="s">
        <v>233</v>
      </c>
      <c r="B50" s="78"/>
      <c r="C50" s="78"/>
      <c r="D50" s="100">
        <f>IF(C15&lt;0,0,IF(C15&gt;833000,833000,C15))</f>
        <v>0</v>
      </c>
      <c r="E50" s="101" t="s">
        <v>41</v>
      </c>
      <c r="F50" s="102" t="s">
        <v>8</v>
      </c>
      <c r="G50" s="265"/>
      <c r="H50" s="265"/>
      <c r="I50" s="265">
        <f>'Rider Rates'!B126</f>
        <v>2.9050000000000001E-4</v>
      </c>
      <c r="J50" s="265">
        <f>SUM(G50:I50)</f>
        <v>2.9050000000000001E-4</v>
      </c>
      <c r="K50" s="104" t="s">
        <v>42</v>
      </c>
      <c r="L50" s="266"/>
      <c r="M50" s="266"/>
      <c r="N50" s="266">
        <f>IF(D50*J50&gt;'Rider Rates'!$C$126,'Rider Rates'!$C$126,D50*J50)</f>
        <v>0</v>
      </c>
      <c r="O50" s="266">
        <f>SUM(L50:N50)</f>
        <v>0</v>
      </c>
      <c r="P50" s="264">
        <f>'Rider Rates'!$E$126</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234</v>
      </c>
      <c r="B51" s="78"/>
      <c r="C51" s="78"/>
      <c r="D51" s="123">
        <f>IF(C15&gt;833000,C15-833000,0)</f>
        <v>0</v>
      </c>
      <c r="E51" s="101" t="s">
        <v>41</v>
      </c>
      <c r="F51" s="102" t="s">
        <v>8</v>
      </c>
      <c r="G51" s="265"/>
      <c r="H51" s="265"/>
      <c r="I51" s="265">
        <f>'Rider Rates'!B127</f>
        <v>0</v>
      </c>
      <c r="J51" s="265">
        <f>SUM(G51:I51)</f>
        <v>0</v>
      </c>
      <c r="K51" s="104" t="s">
        <v>42</v>
      </c>
      <c r="L51" s="266"/>
      <c r="M51" s="266"/>
      <c r="N51" s="266">
        <f>D51*J51</f>
        <v>0</v>
      </c>
      <c r="O51" s="266">
        <f>SUM(L51:N51)</f>
        <v>0</v>
      </c>
      <c r="P51" s="264">
        <f>'Rider Rates'!$E$127</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242</v>
      </c>
      <c r="B52" s="78"/>
      <c r="C52" s="78"/>
      <c r="D52" s="100">
        <f>C15</f>
        <v>0</v>
      </c>
      <c r="E52" s="101" t="s">
        <v>41</v>
      </c>
      <c r="F52" s="249" t="s">
        <v>8</v>
      </c>
      <c r="G52" s="103"/>
      <c r="H52" s="103"/>
      <c r="I52" s="103">
        <f>'Rider Rates'!$B$131</f>
        <v>0</v>
      </c>
      <c r="J52" s="237">
        <f>SUM(G52:I52)</f>
        <v>0</v>
      </c>
      <c r="K52" s="104" t="s">
        <v>42</v>
      </c>
      <c r="L52" s="105"/>
      <c r="M52" s="105"/>
      <c r="N52" s="105">
        <f>D52*J52</f>
        <v>0</v>
      </c>
      <c r="O52" s="105">
        <f>SUM(L52:N52)</f>
        <v>0</v>
      </c>
      <c r="P52" s="245">
        <f>'Rider Rates'!$D$131</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241</v>
      </c>
      <c r="B53" s="78"/>
      <c r="C53" s="78"/>
      <c r="D53" s="100"/>
      <c r="E53" s="101" t="s">
        <v>115</v>
      </c>
      <c r="F53" s="102" t="s">
        <v>8</v>
      </c>
      <c r="G53" s="263"/>
      <c r="H53" s="263"/>
      <c r="I53" s="263">
        <f>'Rider Rates'!$B$138</f>
        <v>0</v>
      </c>
      <c r="J53" s="263">
        <f>SUM(G53:I53)</f>
        <v>0</v>
      </c>
      <c r="K53" s="104"/>
      <c r="L53" s="209"/>
      <c r="M53" s="209"/>
      <c r="N53" s="209">
        <f>J53</f>
        <v>0</v>
      </c>
      <c r="O53" s="209">
        <f>SUM(L53:N53)</f>
        <v>0</v>
      </c>
      <c r="P53" s="264">
        <f>'Rider Rates'!D138</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243</v>
      </c>
      <c r="B54" s="78"/>
      <c r="C54" s="78"/>
      <c r="D54" s="100"/>
      <c r="E54" s="101"/>
      <c r="F54" s="102"/>
      <c r="G54" s="263"/>
      <c r="H54" s="263"/>
      <c r="I54" s="263"/>
      <c r="J54" s="263"/>
      <c r="K54" s="104"/>
      <c r="L54" s="209"/>
      <c r="M54" s="209"/>
      <c r="N54" s="209"/>
      <c r="O54" s="209"/>
      <c r="P54" s="26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179" t="s">
        <v>71</v>
      </c>
      <c r="B55" s="148"/>
      <c r="C55" s="148"/>
      <c r="D55" s="180"/>
      <c r="E55" s="181"/>
      <c r="F55" s="182"/>
      <c r="G55" s="182"/>
      <c r="H55" s="182"/>
      <c r="I55" s="182"/>
      <c r="J55" s="182"/>
      <c r="K55" s="183"/>
      <c r="L55" s="169">
        <f>SUM(L27:L54)</f>
        <v>0</v>
      </c>
      <c r="M55" s="169">
        <f t="shared" ref="M55:O55" si="4">SUM(M27:M54)</f>
        <v>0</v>
      </c>
      <c r="N55" s="169">
        <f t="shared" si="4"/>
        <v>25.68</v>
      </c>
      <c r="O55" s="169">
        <f t="shared" si="4"/>
        <v>25.68</v>
      </c>
      <c r="P55" s="18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78"/>
      <c r="C56" s="78"/>
      <c r="D56" s="100"/>
      <c r="E56" s="113"/>
      <c r="F56" s="106"/>
      <c r="G56" s="106"/>
      <c r="H56" s="106"/>
      <c r="I56" s="106"/>
      <c r="J56" s="107"/>
      <c r="K56" s="104"/>
      <c r="L56" s="106"/>
      <c r="M56" s="106"/>
      <c r="N56" s="106"/>
      <c r="O56" s="106"/>
      <c r="P56" s="1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85" t="s">
        <v>94</v>
      </c>
      <c r="B57" s="170"/>
      <c r="C57" s="170"/>
      <c r="D57" s="170"/>
      <c r="E57" s="170"/>
      <c r="F57" s="170"/>
      <c r="G57" s="170"/>
      <c r="H57" s="170"/>
      <c r="I57" s="170"/>
      <c r="J57" s="170"/>
      <c r="K57" s="170"/>
      <c r="L57" s="186">
        <f>L23+L55</f>
        <v>0</v>
      </c>
      <c r="M57" s="186">
        <f>M23+M55</f>
        <v>0</v>
      </c>
      <c r="N57" s="186">
        <f>N23+N55</f>
        <v>35.08</v>
      </c>
      <c r="O57" s="187">
        <f>O23+O55</f>
        <v>35.08</v>
      </c>
      <c r="P57" s="187"/>
      <c r="Q57" s="106"/>
      <c r="R57" s="188"/>
      <c r="S57" s="108"/>
      <c r="T57" s="109"/>
      <c r="U57" s="78"/>
      <c r="V57" s="10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166" t="s">
        <v>93</v>
      </c>
      <c r="B60" s="78"/>
      <c r="C60" s="78"/>
      <c r="D60" s="78"/>
      <c r="E60" s="78"/>
      <c r="F60" s="78"/>
      <c r="G60" s="78"/>
      <c r="H60" s="78"/>
      <c r="I60" s="78"/>
      <c r="J60" s="78"/>
      <c r="K60" s="78"/>
      <c r="L60" s="78"/>
      <c r="M60" s="78"/>
      <c r="N60" s="78"/>
      <c r="O60" s="109">
        <f>O21+O55</f>
        <v>35.08</v>
      </c>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15</v>
      </c>
      <c r="B61" s="166"/>
      <c r="C61" s="166"/>
      <c r="D61" s="166"/>
      <c r="E61" s="166"/>
      <c r="F61" s="166"/>
      <c r="G61" s="166"/>
      <c r="H61" s="166"/>
      <c r="I61" s="78"/>
      <c r="J61" s="78"/>
      <c r="K61" s="78"/>
      <c r="L61" s="78"/>
      <c r="M61" s="78"/>
      <c r="N61" s="151"/>
      <c r="O61" s="151"/>
      <c r="P61" s="151"/>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48" t="s">
        <v>117</v>
      </c>
      <c r="B62" s="151"/>
      <c r="C62" s="151"/>
      <c r="D62" s="151"/>
      <c r="E62" s="151"/>
      <c r="F62" s="151"/>
      <c r="G62" s="151"/>
      <c r="H62" s="151"/>
      <c r="I62" s="151"/>
      <c r="J62" s="151"/>
      <c r="K62" s="151"/>
      <c r="L62" s="151"/>
      <c r="M62" s="151"/>
      <c r="N62" s="151"/>
      <c r="O62" s="190">
        <f>IF($D$17&lt;0,O57,IF(O57&gt;O60,O57,O60))</f>
        <v>35.08</v>
      </c>
      <c r="P62" s="160"/>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ht="15" customHeight="1" x14ac:dyDescent="0.25">
      <c r="A63" s="148"/>
      <c r="B63" s="151"/>
      <c r="C63" s="151"/>
      <c r="D63" s="151"/>
      <c r="E63" s="151"/>
      <c r="F63" s="151"/>
      <c r="G63" s="151"/>
      <c r="H63" s="151"/>
      <c r="I63" s="151"/>
      <c r="J63" s="151"/>
      <c r="K63" s="151"/>
      <c r="L63" s="151"/>
      <c r="M63" s="151"/>
      <c r="N63" s="151"/>
      <c r="O63" s="190"/>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5">
      <c r="A64" s="148"/>
      <c r="B64" s="166"/>
      <c r="C64" s="166"/>
      <c r="D64" s="166"/>
      <c r="E64" s="166"/>
      <c r="F64" s="166"/>
      <c r="G64" s="166"/>
      <c r="H64" s="166"/>
      <c r="I64" s="166" t="s">
        <v>121</v>
      </c>
      <c r="J64" s="166"/>
      <c r="K64" s="166"/>
      <c r="L64" s="191"/>
      <c r="M64" s="191"/>
      <c r="N64" s="191"/>
      <c r="O64" s="191">
        <f>ROUND(IF($C$15&lt;1,0,O57/($C$15*100)*10000),2)</f>
        <v>0</v>
      </c>
      <c r="P64" s="37" t="s">
        <v>87</v>
      </c>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2:37" x14ac:dyDescent="0.25">
      <c r="B65" s="78"/>
      <c r="C65" s="78"/>
      <c r="D65" s="78"/>
      <c r="E65" s="78"/>
      <c r="F65" s="78"/>
      <c r="G65" s="78"/>
      <c r="H65" s="192"/>
      <c r="I65" s="242" t="s">
        <v>190</v>
      </c>
      <c r="J65" s="78"/>
      <c r="K65" s="78"/>
      <c r="L65" s="78"/>
      <c r="M65" s="78"/>
      <c r="N65" s="78"/>
      <c r="O65" s="243">
        <f>ROUND(IF($C$15&lt;1,0,(L57)/($C$15*100)*10000),2)</f>
        <v>0</v>
      </c>
      <c r="P65" s="25" t="s">
        <v>87</v>
      </c>
      <c r="Q65" s="78"/>
      <c r="R65" s="78"/>
      <c r="S65" s="78"/>
      <c r="T65" s="78"/>
      <c r="U65" s="78"/>
      <c r="V65" s="78"/>
      <c r="W65" s="78"/>
      <c r="X65" s="78"/>
      <c r="Y65" s="78"/>
      <c r="Z65" s="78"/>
      <c r="AA65" s="78"/>
      <c r="AB65" s="78"/>
      <c r="AC65" s="78"/>
      <c r="AD65" s="78"/>
      <c r="AE65" s="78"/>
      <c r="AF65" s="78"/>
      <c r="AG65" s="78"/>
      <c r="AH65" s="78"/>
      <c r="AI65" s="78"/>
      <c r="AJ65" s="78"/>
      <c r="AK65" s="78"/>
    </row>
  </sheetData>
  <sheetProtection algorithmName="SHA-512" hashValue="ODS3RvUVT8UI+p3pNMILhTNtzWUe0kS0aOB5A/QvVOoRCJNn0nn5dGK8hdZ/Am0X/G9fCHx5JmbnpXr+ZdCJ7Q==" saltValue="3vixSCeQqWA2QAGpJfIOkQ==" spinCount="100000" sheet="1" objects="1" scenarios="1"/>
  <mergeCells count="8">
    <mergeCell ref="A7:P7"/>
    <mergeCell ref="G19:J19"/>
    <mergeCell ref="L19:O19"/>
    <mergeCell ref="A1:P1"/>
    <mergeCell ref="A3:P3"/>
    <mergeCell ref="A4:P4"/>
    <mergeCell ref="A12:I12"/>
    <mergeCell ref="A2:P2"/>
  </mergeCells>
  <phoneticPr fontId="0" type="noConversion"/>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68580</xdr:colOff>
                    <xdr:row>0</xdr:row>
                    <xdr:rowOff>38100</xdr:rowOff>
                  </from>
                  <to>
                    <xdr:col>0</xdr:col>
                    <xdr:colOff>571500</xdr:colOff>
                    <xdr:row>0</xdr:row>
                    <xdr:rowOff>259080</xdr:rowOff>
                  </to>
                </anchor>
              </controlPr>
            </control>
          </mc:Choice>
        </mc:AlternateContent>
        <mc:AlternateContent xmlns:mc="http://schemas.openxmlformats.org/markup-compatibility/2006">
          <mc:Choice Requires="x14">
            <control shapeId="24591" r:id="rId5" name="Button 15">
              <controlPr defaultSize="0" print="0" autoFill="0" autoPict="0" macro="[0]!Info">
                <anchor moveWithCells="1">
                  <from>
                    <xdr:col>15</xdr:col>
                    <xdr:colOff>297180</xdr:colOff>
                    <xdr:row>72</xdr:row>
                    <xdr:rowOff>76200</xdr:rowOff>
                  </from>
                  <to>
                    <xdr:col>15</xdr:col>
                    <xdr:colOff>807720</xdr:colOff>
                    <xdr:row>73</xdr:row>
                    <xdr:rowOff>152400</xdr:rowOff>
                  </to>
                </anchor>
              </controlPr>
            </control>
          </mc:Choice>
        </mc:AlternateContent>
        <mc:AlternateContent xmlns:mc="http://schemas.openxmlformats.org/markup-compatibility/2006">
          <mc:Choice Requires="x14">
            <control shapeId="24592" r:id="rId6" name="Button 1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4593" r:id="rId7" name="Button 17">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4594" r:id="rId8" name="Button 18">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4595" r:id="rId9" name="Button 19">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IB66"/>
  <sheetViews>
    <sheetView showGridLines="0" topLeftCell="A23" zoomScale="80" zoomScaleNormal="80" workbookViewId="0">
      <selection activeCell="G35" sqref="G35"/>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84</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row>
    <row r="6" spans="1:30" x14ac:dyDescent="0.25">
      <c r="A6" s="76">
        <f ca="1">TODAY()</f>
        <v>45657</v>
      </c>
      <c r="B6" s="210" t="s">
        <v>229</v>
      </c>
      <c r="C6" s="76"/>
      <c r="D6" s="76"/>
      <c r="E6" s="76"/>
      <c r="F6" s="76"/>
      <c r="G6" s="76"/>
      <c r="H6" s="76"/>
      <c r="I6" s="76"/>
    </row>
    <row r="7" spans="1:30" ht="24.6" x14ac:dyDescent="0.4">
      <c r="A7" s="505"/>
      <c r="B7" s="505"/>
      <c r="C7" s="505"/>
      <c r="D7" s="505"/>
      <c r="E7" s="505"/>
      <c r="F7" s="505"/>
      <c r="G7" s="505"/>
      <c r="H7" s="505"/>
      <c r="I7" s="505"/>
      <c r="J7" s="505"/>
      <c r="K7" s="505"/>
      <c r="L7" s="505"/>
      <c r="M7" s="505"/>
      <c r="N7" s="505"/>
      <c r="O7" s="505"/>
      <c r="P7" s="505"/>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28" t="s">
        <v>27</v>
      </c>
      <c r="B13" s="22"/>
      <c r="C13" s="22"/>
      <c r="D13" s="22"/>
      <c r="E13" s="22"/>
      <c r="F13" s="22"/>
      <c r="G13" s="22"/>
      <c r="H13" s="22"/>
      <c r="I13" s="22"/>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225</v>
      </c>
      <c r="B16" s="31"/>
      <c r="C16" s="32">
        <f>'Customer Info'!B21</f>
        <v>0</v>
      </c>
      <c r="D16" s="31" t="s">
        <v>41</v>
      </c>
      <c r="E16" s="31"/>
      <c r="F16" s="33"/>
      <c r="G16" s="23" t="s">
        <v>15</v>
      </c>
      <c r="H16" s="31"/>
    </row>
    <row r="17" spans="1:221" x14ac:dyDescent="0.25">
      <c r="A17" s="31" t="s">
        <v>226</v>
      </c>
      <c r="B17" s="31"/>
      <c r="C17" s="32">
        <f>'Customer Info'!B22</f>
        <v>0</v>
      </c>
      <c r="D17" s="262" t="s">
        <v>41</v>
      </c>
      <c r="E17" s="33"/>
      <c r="F17" s="33"/>
      <c r="G17" s="23" t="s">
        <v>15</v>
      </c>
      <c r="H17" s="31"/>
      <c r="I17" s="52" t="s">
        <v>15</v>
      </c>
    </row>
    <row r="19" spans="1:221" x14ac:dyDescent="0.25">
      <c r="A19" s="28" t="s">
        <v>31</v>
      </c>
      <c r="B19" s="22"/>
      <c r="C19" s="22"/>
      <c r="D19" s="22"/>
      <c r="E19" s="22"/>
      <c r="F19" s="22"/>
      <c r="G19" s="489" t="s">
        <v>68</v>
      </c>
      <c r="H19" s="490"/>
      <c r="I19" s="490"/>
      <c r="J19" s="491"/>
      <c r="K19" s="22"/>
      <c r="L19" s="492" t="s">
        <v>69</v>
      </c>
      <c r="M19" s="492"/>
      <c r="N19" s="492"/>
      <c r="O19" s="492"/>
    </row>
    <row r="20" spans="1:221" x14ac:dyDescent="0.25">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8" si="0">SUM(G27:I27)</f>
        <v>4.6278999999999999E-3</v>
      </c>
      <c r="K27" s="104" t="s">
        <v>42</v>
      </c>
      <c r="L27" s="105"/>
      <c r="M27" s="105"/>
      <c r="N27" s="105">
        <f t="shared" ref="N27:N32" si="1">ROUND(D27*I27,2)</f>
        <v>0</v>
      </c>
      <c r="O27" s="105">
        <f t="shared" ref="O27:O49"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'GS-TOU Bundled'!C16+'GS-TOU Bundled'!C17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f>'Rider Rates'!B35</f>
        <v>2.28907E-2</v>
      </c>
      <c r="H35" s="103"/>
      <c r="I35" s="103"/>
      <c r="J35" s="237">
        <f>SUM(G35:H35)</f>
        <v>2.28907E-2</v>
      </c>
      <c r="K35" s="104" t="s">
        <v>42</v>
      </c>
      <c r="L35" s="105">
        <f>ROUND(D35*G35,2)</f>
        <v>0</v>
      </c>
      <c r="M35" s="105"/>
      <c r="N35" s="105"/>
      <c r="O35" s="105">
        <f t="shared" si="2"/>
        <v>0</v>
      </c>
      <c r="P35" s="245">
        <f>'Rider Rates'!$D$35</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f>'Rider Rates'!$B$45</f>
        <v>4.5009999999999999E-4</v>
      </c>
      <c r="H37" s="103"/>
      <c r="I37" s="103"/>
      <c r="J37" s="237">
        <f>SUM(G37:H37)</f>
        <v>4.5009999999999999E-4</v>
      </c>
      <c r="K37" s="104" t="s">
        <v>42</v>
      </c>
      <c r="L37" s="105">
        <f>ROUND(D37*G37,2)</f>
        <v>0</v>
      </c>
      <c r="M37" s="105"/>
      <c r="N37" s="105"/>
      <c r="O37" s="105">
        <f t="shared" si="2"/>
        <v>0</v>
      </c>
      <c r="P37" s="245">
        <f>'Rider Rates'!$D$45</f>
        <v>45657</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1.8006999999999999E-3</v>
      </c>
      <c r="J38" s="103">
        <f>SUM(G38:I38)</f>
        <v>1.8006999999999999E-3</v>
      </c>
      <c r="K38" s="104" t="s">
        <v>42</v>
      </c>
      <c r="L38" s="105"/>
      <c r="M38" s="105"/>
      <c r="N38" s="105">
        <f>D38*J38</f>
        <v>0</v>
      </c>
      <c r="O38" s="105">
        <f t="shared" si="2"/>
        <v>0</v>
      </c>
      <c r="P38" s="245">
        <f>'Rider Rates'!E49</f>
        <v>45658</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2.3467399999999999E-2</v>
      </c>
      <c r="I39" s="103"/>
      <c r="J39" s="103">
        <f>SUM(G39:I39)</f>
        <v>2.3467399999999999E-2</v>
      </c>
      <c r="K39" s="104" t="s">
        <v>42</v>
      </c>
      <c r="L39" s="105"/>
      <c r="M39" s="105">
        <f>ROUND(D39*H39,2)</f>
        <v>0</v>
      </c>
      <c r="N39" s="205"/>
      <c r="O39" s="105">
        <f t="shared" si="2"/>
        <v>0</v>
      </c>
      <c r="P39" s="245">
        <f>'Rider Rates'!$D$56</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81</v>
      </c>
      <c r="B42" s="78"/>
      <c r="C42" s="78"/>
      <c r="D42" s="195">
        <f>$N$23</f>
        <v>9.4</v>
      </c>
      <c r="E42" s="101" t="s">
        <v>122</v>
      </c>
      <c r="F42" s="102" t="s">
        <v>8</v>
      </c>
      <c r="G42" s="111"/>
      <c r="H42" s="112"/>
      <c r="I42" s="120">
        <f>'Rider Rates'!$B$85</f>
        <v>4.94232E-2</v>
      </c>
      <c r="J42" s="120">
        <f t="shared" si="0"/>
        <v>4.94232E-2</v>
      </c>
      <c r="K42" s="104"/>
      <c r="L42" s="105"/>
      <c r="M42" s="105"/>
      <c r="N42" s="105">
        <f>ROUND(D42*I42,2)</f>
        <v>0.46</v>
      </c>
      <c r="O42" s="105">
        <f t="shared" si="2"/>
        <v>0.46</v>
      </c>
      <c r="P42" s="245">
        <f>'Rider Rates'!$D$85</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206</v>
      </c>
      <c r="B44" s="78"/>
      <c r="C44" s="78"/>
      <c r="D44" s="195"/>
      <c r="E44" s="113" t="s">
        <v>115</v>
      </c>
      <c r="F44" s="106"/>
      <c r="G44" s="114"/>
      <c r="H44" s="115"/>
      <c r="I44" s="196">
        <f>'Rider Rates'!$B$91</f>
        <v>17.53</v>
      </c>
      <c r="J44" s="196">
        <f t="shared" si="0"/>
        <v>17.53</v>
      </c>
      <c r="K44" s="104"/>
      <c r="L44" s="105"/>
      <c r="M44" s="105"/>
      <c r="N44" s="105">
        <f>I44</f>
        <v>17.53</v>
      </c>
      <c r="O44" s="105">
        <f t="shared" si="2"/>
        <v>17.53</v>
      </c>
      <c r="P44" s="245">
        <f>'Rider Rates'!$D$91</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122</v>
      </c>
      <c r="F46" s="102" t="s">
        <v>8</v>
      </c>
      <c r="G46" s="114"/>
      <c r="H46" s="115"/>
      <c r="I46" s="120">
        <f>'Rider Rates'!$B$105</f>
        <v>0.2363101</v>
      </c>
      <c r="J46" s="120">
        <f t="shared" si="0"/>
        <v>0.2363101</v>
      </c>
      <c r="K46" s="104"/>
      <c r="L46" s="105"/>
      <c r="M46" s="105"/>
      <c r="N46" s="105">
        <f>ROUND(D46*I46,2)</f>
        <v>2.2200000000000002</v>
      </c>
      <c r="O46" s="105">
        <f t="shared" si="2"/>
        <v>2.2200000000000002</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Rates'!$B$109</f>
        <v>0</v>
      </c>
      <c r="J47" s="196">
        <f t="shared" si="0"/>
        <v>0</v>
      </c>
      <c r="K47" s="104"/>
      <c r="L47" s="105"/>
      <c r="M47" s="105"/>
      <c r="N47" s="105">
        <f>I47</f>
        <v>0</v>
      </c>
      <c r="O47" s="105">
        <f t="shared" si="2"/>
        <v>0</v>
      </c>
      <c r="P47" s="245">
        <f>'Rider Rates'!$D$109</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Rates'!B122</f>
        <v>4.84</v>
      </c>
      <c r="J48" s="196">
        <f t="shared" si="0"/>
        <v>4.84</v>
      </c>
      <c r="K48" s="104"/>
      <c r="L48" s="105"/>
      <c r="M48" s="105"/>
      <c r="N48" s="260">
        <f>I48</f>
        <v>4.84</v>
      </c>
      <c r="O48" s="105">
        <f t="shared" si="2"/>
        <v>4.84</v>
      </c>
      <c r="P48" s="245">
        <f>'Rider Rates'!D122</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f>'Rider Rates'!$B$112</f>
        <v>3.8972999999999998E-3</v>
      </c>
      <c r="H49" s="103"/>
      <c r="I49" s="120"/>
      <c r="J49" s="237">
        <f>SUM(G49:H49)</f>
        <v>3.8972999999999998E-3</v>
      </c>
      <c r="K49" s="104" t="s">
        <v>42</v>
      </c>
      <c r="L49" s="105">
        <f>ROUND(D49*G49,2)</f>
        <v>0</v>
      </c>
      <c r="M49" s="105"/>
      <c r="N49" s="105"/>
      <c r="O49" s="105">
        <f t="shared" si="2"/>
        <v>0</v>
      </c>
      <c r="P49" s="245">
        <f>'Rider Rates'!$D$112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208</v>
      </c>
      <c r="B50" s="78"/>
      <c r="C50" s="78"/>
      <c r="D50" s="100">
        <f>IF($C$15&lt;1,0,$C$15)</f>
        <v>0</v>
      </c>
      <c r="E50" s="101" t="s">
        <v>41</v>
      </c>
      <c r="F50" s="249" t="s">
        <v>8</v>
      </c>
      <c r="G50" s="165"/>
      <c r="H50" s="165"/>
      <c r="I50" s="251">
        <f>'Rider Rates'!B118</f>
        <v>0</v>
      </c>
      <c r="J50" s="251">
        <f>SUM(G50:I50)</f>
        <v>0</v>
      </c>
      <c r="K50" s="104" t="s">
        <v>42</v>
      </c>
      <c r="L50" s="105"/>
      <c r="M50" s="105"/>
      <c r="N50" s="105">
        <f>D50*J50</f>
        <v>0</v>
      </c>
      <c r="O50" s="105">
        <f>SUM(L50:N50)</f>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233</v>
      </c>
      <c r="B51" s="78"/>
      <c r="C51" s="78"/>
      <c r="D51" s="100">
        <f>IF(C15&lt;0,0,IF(C15&gt;833000,833000,C15))</f>
        <v>0</v>
      </c>
      <c r="E51" s="101" t="s">
        <v>41</v>
      </c>
      <c r="F51" s="102" t="s">
        <v>8</v>
      </c>
      <c r="G51" s="265"/>
      <c r="H51" s="265"/>
      <c r="I51" s="265">
        <f>'Rider Rates'!$B$126</f>
        <v>2.9050000000000001E-4</v>
      </c>
      <c r="J51" s="265">
        <f>SUM(G51:I51)</f>
        <v>2.9050000000000001E-4</v>
      </c>
      <c r="K51" s="104" t="s">
        <v>42</v>
      </c>
      <c r="L51" s="266"/>
      <c r="M51" s="266"/>
      <c r="N51" s="266">
        <f>IF(D51*J51&gt;'Rider Rates'!$C$126,'Rider Rates'!$C$126,D51*J51)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234</v>
      </c>
      <c r="B52" s="78"/>
      <c r="C52" s="78"/>
      <c r="D52" s="123">
        <f>IF(C15&gt;833000,C15-833000,0)</f>
        <v>0</v>
      </c>
      <c r="E52" s="101" t="s">
        <v>41</v>
      </c>
      <c r="F52" s="102" t="s">
        <v>8</v>
      </c>
      <c r="G52" s="265"/>
      <c r="H52" s="265"/>
      <c r="I52" s="265">
        <f>'Rider Rates'!$B$127</f>
        <v>0</v>
      </c>
      <c r="J52" s="265">
        <f>SUM(G52:I52)</f>
        <v>0</v>
      </c>
      <c r="K52" s="104" t="s">
        <v>42</v>
      </c>
      <c r="L52" s="266"/>
      <c r="M52" s="266"/>
      <c r="N52" s="266">
        <f>D52*J52</f>
        <v>0</v>
      </c>
      <c r="O52" s="266">
        <f>SUM(L52:N52)</f>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242</v>
      </c>
      <c r="B53" s="78"/>
      <c r="C53" s="78"/>
      <c r="D53" s="100">
        <f>C15</f>
        <v>0</v>
      </c>
      <c r="E53" s="101" t="s">
        <v>41</v>
      </c>
      <c r="F53" s="249" t="s">
        <v>8</v>
      </c>
      <c r="G53" s="103"/>
      <c r="H53" s="103"/>
      <c r="I53" s="103">
        <f>'Rider Rates'!$B$131</f>
        <v>0</v>
      </c>
      <c r="J53" s="237">
        <f>SUM(G53:I53)</f>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241</v>
      </c>
      <c r="B54" s="78"/>
      <c r="C54" s="78"/>
      <c r="D54" s="100"/>
      <c r="E54" s="101" t="s">
        <v>115</v>
      </c>
      <c r="F54" s="102" t="s">
        <v>8</v>
      </c>
      <c r="G54" s="263"/>
      <c r="H54" s="263"/>
      <c r="I54" s="263">
        <f>'Rider Rates'!$B$138</f>
        <v>0</v>
      </c>
      <c r="J54" s="263">
        <f>SUM(G54:I54)</f>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71</v>
      </c>
      <c r="B56" s="148"/>
      <c r="C56" s="148"/>
      <c r="D56" s="180"/>
      <c r="E56" s="181"/>
      <c r="F56" s="182"/>
      <c r="G56" s="182"/>
      <c r="H56" s="182"/>
      <c r="I56" s="182"/>
      <c r="J56" s="182"/>
      <c r="K56" s="183"/>
      <c r="L56" s="169">
        <f>SUM(L27:L55)</f>
        <v>0</v>
      </c>
      <c r="M56" s="169">
        <f t="shared" ref="M56:O56" si="3">SUM(M27:M55)</f>
        <v>0</v>
      </c>
      <c r="N56" s="169">
        <f t="shared" si="3"/>
        <v>25.68</v>
      </c>
      <c r="O56" s="169">
        <f t="shared" si="3"/>
        <v>25.68</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94</v>
      </c>
      <c r="B58" s="170"/>
      <c r="C58" s="170"/>
      <c r="D58" s="170"/>
      <c r="E58" s="170"/>
      <c r="F58" s="170"/>
      <c r="G58" s="170"/>
      <c r="H58" s="170"/>
      <c r="I58" s="170"/>
      <c r="J58" s="170"/>
      <c r="K58" s="170"/>
      <c r="L58" s="186">
        <f>L23+L56</f>
        <v>0</v>
      </c>
      <c r="M58" s="186">
        <f>M23+M56</f>
        <v>0</v>
      </c>
      <c r="N58" s="186">
        <f>N23+N56</f>
        <v>35.08</v>
      </c>
      <c r="O58" s="187">
        <f>O23+O56</f>
        <v>35.08</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93</v>
      </c>
      <c r="B61" s="78"/>
      <c r="C61" s="78"/>
      <c r="D61" s="78"/>
      <c r="E61" s="78"/>
      <c r="F61" s="78"/>
      <c r="G61" s="78"/>
      <c r="H61" s="78"/>
      <c r="I61" s="78"/>
      <c r="J61" s="78"/>
      <c r="K61" s="78"/>
      <c r="L61" s="78"/>
      <c r="M61" s="78"/>
      <c r="N61" s="78"/>
      <c r="O61" s="109">
        <f>O21+O56</f>
        <v>35.08</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117</v>
      </c>
      <c r="B63" s="151"/>
      <c r="C63" s="151"/>
      <c r="D63" s="151"/>
      <c r="E63" s="151"/>
      <c r="F63" s="151"/>
      <c r="G63" s="151"/>
      <c r="H63" s="151"/>
      <c r="I63" s="151"/>
      <c r="J63" s="151"/>
      <c r="K63" s="151"/>
      <c r="L63" s="151"/>
      <c r="M63" s="151"/>
      <c r="N63" s="151"/>
      <c r="O63" s="190">
        <f>IF($D$17&lt;0,O58,IF(O58&gt;O61,O58,O61))</f>
        <v>35.08</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121</v>
      </c>
      <c r="J65" s="166"/>
      <c r="K65" s="166"/>
      <c r="L65" s="191"/>
      <c r="M65" s="191"/>
      <c r="N65" s="191"/>
      <c r="O65" s="191">
        <f>ROUND(IF($C$15&lt;1,0,O58/($C$15*100)*10000),2)</f>
        <v>0</v>
      </c>
      <c r="P65" s="37" t="s">
        <v>87</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190</v>
      </c>
      <c r="J66" s="78"/>
      <c r="K66" s="78"/>
      <c r="L66" s="78"/>
      <c r="M66" s="78"/>
      <c r="N66" s="78"/>
      <c r="O66" s="243">
        <f>ROUND(IF($C$15&lt;1,0,(L58)/($C$15*100)*10000),2)</f>
        <v>0</v>
      </c>
      <c r="P66" s="25" t="s">
        <v>87</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y6w9QxuYBj2expW71aA3G1FrsR1nxGesHecmc2YQFwiv4Vmw+wOyYXsixEOhRfzU+E/ET+6zqQuJWsOHEelPmQ==" saltValue="bcTK6fsbtWnnW03V9ZDAd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Button 1">
              <controlPr defaultSize="0" print="0" autoFill="0" autoPict="0" macro="[0]!Info">
                <anchor moveWithCells="1">
                  <from>
                    <xdr:col>0</xdr:col>
                    <xdr:colOff>68580</xdr:colOff>
                    <xdr:row>0</xdr:row>
                    <xdr:rowOff>38100</xdr:rowOff>
                  </from>
                  <to>
                    <xdr:col>0</xdr:col>
                    <xdr:colOff>571500</xdr:colOff>
                    <xdr:row>0</xdr:row>
                    <xdr:rowOff>259080</xdr:rowOff>
                  </to>
                </anchor>
              </controlPr>
            </control>
          </mc:Choice>
        </mc:AlternateContent>
        <mc:AlternateContent xmlns:mc="http://schemas.openxmlformats.org/markup-compatibility/2006">
          <mc:Choice Requires="x14">
            <control shapeId="75778" r:id="rId5"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75779"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5780"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5781"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5782"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4"/>
  <dimension ref="A1:HM71"/>
  <sheetViews>
    <sheetView showGridLines="0" topLeftCell="A21" zoomScale="80" zoomScaleNormal="80" workbookViewId="0">
      <selection activeCell="A32" sqref="A32:XFD32"/>
    </sheetView>
  </sheetViews>
  <sheetFormatPr defaultRowHeight="13.2" x14ac:dyDescent="0.25"/>
  <cols>
    <col min="1" max="1" width="37.5546875" customWidth="1"/>
    <col min="2" max="2" width="2.109375" customWidth="1"/>
    <col min="3" max="3" width="14.5546875" customWidth="1"/>
    <col min="4" max="4" width="16.44140625" bestFit="1" customWidth="1"/>
    <col min="5" max="5" width="9.88671875" customWidth="1"/>
    <col min="6" max="6" width="5.5546875" customWidth="1"/>
    <col min="7" max="8" width="13.44140625" customWidth="1"/>
    <col min="9" max="9" width="14.5546875" customWidth="1"/>
    <col min="10" max="10" width="13.44140625" customWidth="1"/>
    <col min="11" max="11" width="7" customWidth="1"/>
    <col min="12" max="12" width="15" customWidth="1"/>
    <col min="13" max="13" width="16" customWidth="1"/>
    <col min="14" max="14" width="15.109375" bestFit="1" customWidth="1"/>
    <col min="15" max="15" width="17.44140625" bestFit="1" customWidth="1"/>
    <col min="16" max="16" width="12.88671875" bestFit="1" customWidth="1"/>
    <col min="18" max="18" width="13"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253</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6">
        <f ca="1">TODAY()</f>
        <v>45657</v>
      </c>
      <c r="B5" s="75"/>
      <c r="C5" s="75"/>
      <c r="D5" s="75"/>
      <c r="E5" s="75"/>
      <c r="F5" s="75"/>
      <c r="G5" s="75"/>
      <c r="H5" s="75"/>
      <c r="I5" s="75"/>
      <c r="J5" s="75"/>
      <c r="K5" s="75"/>
      <c r="L5" s="75"/>
      <c r="M5" s="75"/>
      <c r="N5" s="75"/>
      <c r="O5" s="75"/>
      <c r="P5" s="75"/>
    </row>
    <row r="6" spans="1:30" x14ac:dyDescent="0.25">
      <c r="A6" s="506" t="s">
        <v>250</v>
      </c>
      <c r="B6" s="506"/>
      <c r="C6" s="506"/>
      <c r="D6" s="506"/>
      <c r="E6" s="506"/>
      <c r="F6" s="506"/>
      <c r="G6" s="506"/>
      <c r="H6" s="506"/>
      <c r="I6" s="506"/>
      <c r="J6" s="506"/>
      <c r="K6" s="506"/>
      <c r="L6" s="506"/>
      <c r="M6" s="506"/>
      <c r="N6" s="506"/>
      <c r="O6" s="506"/>
      <c r="P6" s="506"/>
      <c r="Q6" s="506"/>
    </row>
    <row r="7" spans="1:30" x14ac:dyDescent="0.25">
      <c r="A7" s="478" t="s">
        <v>15</v>
      </c>
      <c r="B7" s="478"/>
      <c r="C7" s="478"/>
      <c r="D7" s="478"/>
      <c r="E7" s="478"/>
      <c r="F7" s="478"/>
      <c r="G7" s="478"/>
      <c r="H7" s="478"/>
      <c r="I7" s="478"/>
      <c r="J7" s="478"/>
      <c r="K7" s="478"/>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4"/>
      <c r="K12" s="94"/>
      <c r="L12" s="94"/>
      <c r="M12" s="94"/>
      <c r="N12" s="94"/>
      <c r="O12" s="94"/>
      <c r="P12" s="9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97" t="s">
        <v>27</v>
      </c>
      <c r="B13" s="18"/>
      <c r="C13" s="18"/>
      <c r="D13" s="18"/>
      <c r="E13" s="18"/>
      <c r="F13" s="18"/>
      <c r="G13" s="18"/>
      <c r="H13" s="18"/>
      <c r="I13" s="18"/>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221"/>
      <c r="T14" s="221"/>
      <c r="U14" s="221"/>
      <c r="V14" s="221"/>
      <c r="W14" s="221"/>
      <c r="X14" s="220"/>
      <c r="Y14" s="220"/>
      <c r="Z14" s="220"/>
      <c r="AA14" s="220"/>
      <c r="AB14" s="221"/>
      <c r="AC14" s="221"/>
      <c r="AD14" s="221"/>
    </row>
    <row r="15" spans="1:30" x14ac:dyDescent="0.25">
      <c r="A15" s="31" t="s">
        <v>43</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202"/>
      <c r="Y15" s="202"/>
      <c r="Z15" s="202"/>
      <c r="AA15" s="202"/>
      <c r="AB15" s="193"/>
      <c r="AC15" s="193"/>
      <c r="AD15" s="193"/>
    </row>
    <row r="16" spans="1:30" x14ac:dyDescent="0.25">
      <c r="A16" s="31"/>
      <c r="B16" s="31"/>
      <c r="C16" s="33"/>
      <c r="D16" s="33"/>
      <c r="E16" s="33"/>
      <c r="F16" s="33"/>
      <c r="G16" s="23"/>
      <c r="H16" s="31"/>
      <c r="I16" s="31"/>
      <c r="R16" s="78"/>
      <c r="S16" s="193"/>
      <c r="T16" s="193"/>
      <c r="U16" s="193"/>
      <c r="V16" s="193"/>
      <c r="W16" s="193"/>
      <c r="X16" s="193"/>
      <c r="Y16" s="193"/>
      <c r="Z16" s="193"/>
      <c r="AA16" s="193"/>
      <c r="AB16" s="193"/>
      <c r="AC16" s="193"/>
      <c r="AD16" s="193"/>
    </row>
    <row r="17" spans="1:221" x14ac:dyDescent="0.25">
      <c r="A17" s="28" t="s">
        <v>76</v>
      </c>
      <c r="B17" s="22"/>
      <c r="C17" s="22"/>
      <c r="D17" s="22"/>
      <c r="E17" s="22"/>
      <c r="F17" s="22"/>
      <c r="G17" s="489" t="s">
        <v>68</v>
      </c>
      <c r="H17" s="490"/>
      <c r="I17" s="490"/>
      <c r="J17" s="491"/>
      <c r="K17" s="22"/>
      <c r="L17" s="492" t="s">
        <v>69</v>
      </c>
      <c r="M17" s="492"/>
      <c r="N17" s="492"/>
      <c r="O17" s="492"/>
    </row>
    <row r="18" spans="1:221" x14ac:dyDescent="0.25">
      <c r="A18" s="18"/>
      <c r="B18" s="18"/>
      <c r="C18" s="18"/>
      <c r="D18" s="18"/>
      <c r="E18" s="18"/>
      <c r="F18" s="18"/>
      <c r="G18" s="8" t="s">
        <v>65</v>
      </c>
      <c r="H18" s="8" t="s">
        <v>66</v>
      </c>
      <c r="I18" s="8" t="s">
        <v>67</v>
      </c>
      <c r="J18" s="112" t="s">
        <v>34</v>
      </c>
      <c r="K18" s="18"/>
      <c r="L18" s="131" t="s">
        <v>65</v>
      </c>
      <c r="M18" s="131" t="s">
        <v>66</v>
      </c>
      <c r="N18" s="131" t="s">
        <v>67</v>
      </c>
      <c r="O18" s="132" t="s">
        <v>34</v>
      </c>
      <c r="P18" s="43" t="s">
        <v>57</v>
      </c>
    </row>
    <row r="19" spans="1:221" x14ac:dyDescent="0.25">
      <c r="A19" t="s">
        <v>32</v>
      </c>
      <c r="G19" s="83"/>
      <c r="H19" s="83"/>
      <c r="I19" s="125">
        <v>9.4</v>
      </c>
      <c r="J19" s="125">
        <f>SUM(G19:I19)</f>
        <v>9.4</v>
      </c>
      <c r="L19" s="125"/>
      <c r="M19" s="125"/>
      <c r="N19" s="125">
        <f>I19</f>
        <v>9.4</v>
      </c>
      <c r="O19" s="105">
        <f>+SUM(L19:N19)</f>
        <v>9.4</v>
      </c>
      <c r="P19" s="245">
        <v>44531</v>
      </c>
    </row>
    <row r="20" spans="1:221" x14ac:dyDescent="0.25">
      <c r="A20" t="s">
        <v>297</v>
      </c>
      <c r="D20" s="1">
        <f>C15</f>
        <v>0</v>
      </c>
      <c r="E20" s="35" t="s">
        <v>41</v>
      </c>
      <c r="F20" s="4" t="s">
        <v>8</v>
      </c>
      <c r="G20" s="126"/>
      <c r="H20" s="127"/>
      <c r="I20" s="127">
        <v>2.05802E-2</v>
      </c>
      <c r="J20" s="127">
        <f>SUM(G20:I20)</f>
        <v>2.05802E-2</v>
      </c>
      <c r="K20" s="36" t="s">
        <v>42</v>
      </c>
      <c r="L20" s="129"/>
      <c r="M20" s="129"/>
      <c r="N20" s="129">
        <f>ROUND($D20*I20,2)</f>
        <v>0</v>
      </c>
      <c r="O20" s="105">
        <f>+SUM(L20:N20)</f>
        <v>0</v>
      </c>
      <c r="P20" s="245">
        <v>44531</v>
      </c>
    </row>
    <row r="21" spans="1:221" x14ac:dyDescent="0.25">
      <c r="A21" s="96" t="s">
        <v>75</v>
      </c>
      <c r="B21" s="37"/>
      <c r="C21" s="37"/>
      <c r="D21" s="38"/>
      <c r="E21" s="38"/>
      <c r="F21" s="37"/>
      <c r="G21" s="37"/>
      <c r="I21" s="40"/>
      <c r="K21" s="39"/>
      <c r="L21" s="95"/>
      <c r="M21" s="54"/>
      <c r="N21" s="95">
        <f>SUM(N19:N20)</f>
        <v>9.4</v>
      </c>
      <c r="O21" s="95">
        <f>SUM(O19:O20)</f>
        <v>9.4</v>
      </c>
    </row>
    <row r="22" spans="1:221" x14ac:dyDescent="0.25">
      <c r="A22" s="170"/>
      <c r="B22" s="170"/>
      <c r="C22" s="170"/>
      <c r="D22" s="171"/>
      <c r="E22" s="171"/>
      <c r="F22" s="170"/>
      <c r="G22" s="171"/>
      <c r="H22" s="171"/>
      <c r="I22" s="171"/>
      <c r="J22" s="171"/>
      <c r="K22" s="172"/>
      <c r="L22" s="171"/>
      <c r="M22" s="171"/>
      <c r="N22" s="171"/>
      <c r="O22" s="171"/>
      <c r="P22" s="171"/>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70</v>
      </c>
      <c r="B23" s="166"/>
      <c r="C23" s="166"/>
      <c r="D23" s="167"/>
      <c r="E23" s="167"/>
      <c r="F23" s="166"/>
      <c r="G23" s="167"/>
      <c r="H23" s="167"/>
      <c r="I23" s="167"/>
      <c r="J23" s="167"/>
      <c r="K23" s="167"/>
      <c r="L23" s="167"/>
      <c r="M23" s="167"/>
      <c r="N23" s="167"/>
      <c r="O23" s="167"/>
      <c r="P23" s="78"/>
      <c r="R23" s="175"/>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Q24" s="254"/>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IF($C$15&lt;0,0,IF($C$15&gt;833000,833000,$C$15))</f>
        <v>0</v>
      </c>
      <c r="E25" s="101" t="s">
        <v>41</v>
      </c>
      <c r="F25" s="102" t="s">
        <v>8</v>
      </c>
      <c r="G25" s="103"/>
      <c r="H25" s="103"/>
      <c r="I25" s="103">
        <f>'Rider Rates'!$B$4</f>
        <v>4.6278999999999999E-3</v>
      </c>
      <c r="J25" s="201">
        <f t="shared" ref="J25:J46" si="0">SUM(G25:I25)</f>
        <v>4.6278999999999999E-3</v>
      </c>
      <c r="K25" s="104" t="s">
        <v>42</v>
      </c>
      <c r="L25" s="105"/>
      <c r="M25" s="105"/>
      <c r="N25" s="105">
        <f>ROUND(D25*I25,2)</f>
        <v>0</v>
      </c>
      <c r="O25" s="105">
        <f>SUM(L25:N25)</f>
        <v>0</v>
      </c>
      <c r="P25" s="245">
        <f>'Rider Rates'!$D$4</f>
        <v>45657</v>
      </c>
      <c r="Q25" s="254"/>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IF($C$15&gt;833000,$C$15-833000,0)</f>
        <v>0</v>
      </c>
      <c r="E26" s="101" t="s">
        <v>41</v>
      </c>
      <c r="F26" s="102" t="s">
        <v>8</v>
      </c>
      <c r="G26" s="103"/>
      <c r="H26" s="103"/>
      <c r="I26" s="103">
        <f>'Rider Rates'!$B$5</f>
        <v>1.7560000000000001E-4</v>
      </c>
      <c r="J26" s="201">
        <f t="shared" si="0"/>
        <v>1.7560000000000001E-4</v>
      </c>
      <c r="K26" s="104" t="s">
        <v>42</v>
      </c>
      <c r="L26" s="105"/>
      <c r="M26" s="105"/>
      <c r="N26" s="105">
        <f>ROUND(D26*I26,2)</f>
        <v>0</v>
      </c>
      <c r="O26" s="105">
        <f>SUM(L26:N26)</f>
        <v>0</v>
      </c>
      <c r="P26" s="245">
        <f>'Rider Rates'!$D$4</f>
        <v>45657</v>
      </c>
      <c r="Q26" s="254"/>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
        <f>IF('Customer Info'!$C$32=TRUE,0,IF(C15&lt;0,0,IF(C15&gt;2000,2000,C15)))</f>
        <v>0</v>
      </c>
      <c r="E27" s="101" t="s">
        <v>41</v>
      </c>
      <c r="F27" s="102" t="s">
        <v>8</v>
      </c>
      <c r="G27" s="103"/>
      <c r="H27" s="103"/>
      <c r="I27" s="177">
        <f>'Rider Rates'!$B$8</f>
        <v>4.6499999999999996E-3</v>
      </c>
      <c r="J27" s="177">
        <f t="shared" si="0"/>
        <v>4.6499999999999996E-3</v>
      </c>
      <c r="K27" s="104" t="s">
        <v>42</v>
      </c>
      <c r="L27" s="105"/>
      <c r="M27" s="105"/>
      <c r="N27" s="105">
        <f>ROUND(D27*I27,2)</f>
        <v>0</v>
      </c>
      <c r="O27" s="105">
        <f>SUM(L27:N27)</f>
        <v>0</v>
      </c>
      <c r="P27" s="245">
        <f>'Rider Rates'!$D$7</f>
        <v>44531</v>
      </c>
      <c r="Q27" s="254"/>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
        <f>IF('Customer Info'!$C$32=TRUE,0,IF(C15&gt;15000,13000,IF(C15&gt;2000,C15-2000,0)))</f>
        <v>0</v>
      </c>
      <c r="E28" s="101" t="s">
        <v>41</v>
      </c>
      <c r="F28" s="102" t="s">
        <v>8</v>
      </c>
      <c r="G28" s="103"/>
      <c r="H28" s="103"/>
      <c r="I28" s="177">
        <f>'Rider Rates'!$B$9</f>
        <v>4.1900000000000001E-3</v>
      </c>
      <c r="J28" s="177">
        <f t="shared" si="0"/>
        <v>4.1900000000000001E-3</v>
      </c>
      <c r="K28" s="104" t="s">
        <v>42</v>
      </c>
      <c r="L28" s="105"/>
      <c r="M28" s="105"/>
      <c r="N28" s="105">
        <f>ROUND(D28*I28,2)</f>
        <v>0</v>
      </c>
      <c r="O28" s="105">
        <f>SUM(L28:N28)</f>
        <v>0</v>
      </c>
      <c r="P28" s="245">
        <f>'Rider Rates'!$D$7</f>
        <v>44531</v>
      </c>
      <c r="Q28" s="254"/>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
        <f>IF('Customer Info'!$C$32=TRUE,0,IF(C15-D27-D28&gt;0,C15-D27-D28,0))</f>
        <v>0</v>
      </c>
      <c r="E29" s="101" t="s">
        <v>41</v>
      </c>
      <c r="F29" s="102" t="s">
        <v>8</v>
      </c>
      <c r="G29" s="103"/>
      <c r="H29" s="103"/>
      <c r="I29" s="177">
        <f>'Rider Rates'!$B$10</f>
        <v>3.63E-3</v>
      </c>
      <c r="J29" s="177">
        <f t="shared" si="0"/>
        <v>3.63E-3</v>
      </c>
      <c r="K29" s="104" t="s">
        <v>42</v>
      </c>
      <c r="L29" s="105"/>
      <c r="M29" s="105"/>
      <c r="N29" s="105">
        <f>ROUND(D29*I29,2)</f>
        <v>0</v>
      </c>
      <c r="O29" s="105">
        <f>SUM(L29:N29)</f>
        <v>0</v>
      </c>
      <c r="P29" s="245">
        <f>'Rider Rates'!$D$7</f>
        <v>44531</v>
      </c>
      <c r="Q29" s="254"/>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210" t="s">
        <v>237</v>
      </c>
      <c r="B30" s="78"/>
      <c r="C30" s="78"/>
      <c r="D30" s="195">
        <f>$N$21</f>
        <v>9.4</v>
      </c>
      <c r="E30" s="101" t="s">
        <v>122</v>
      </c>
      <c r="F30" s="102" t="s">
        <v>8</v>
      </c>
      <c r="G30" s="103"/>
      <c r="H30" s="103"/>
      <c r="I30" s="178">
        <f>'Rider Rates'!$B$18+'Rider Rates'!$E$18</f>
        <v>0</v>
      </c>
      <c r="J30" s="178">
        <f>SUM(G30:I30)</f>
        <v>0</v>
      </c>
      <c r="K30" s="104"/>
      <c r="L30" s="105"/>
      <c r="M30" s="105"/>
      <c r="N30" s="105">
        <f>ROUND($D$30*'Rider Rates'!$B$18,2)+ROUND($D$30*'Rider Rates'!$E$18,2)</f>
        <v>0</v>
      </c>
      <c r="O30" s="105">
        <f t="shared" ref="O30:O36" si="1">SUM(L30:N30)</f>
        <v>0</v>
      </c>
      <c r="P30" s="245">
        <f>MAX('Rider Rates'!$D$18,'Rider Rates'!$F$18)</f>
        <v>44531</v>
      </c>
      <c r="Q30" s="254"/>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186</v>
      </c>
      <c r="B31" s="78"/>
      <c r="C31" s="78"/>
      <c r="D31" s="100">
        <f>'Customer Info'!$B$21+'Customer Info'!$B$22</f>
        <v>0</v>
      </c>
      <c r="E31" s="101" t="s">
        <v>41</v>
      </c>
      <c r="F31" s="102" t="s">
        <v>8</v>
      </c>
      <c r="G31" s="103">
        <f>'Rider Rates'!B22</f>
        <v>7.0209999999999995E-2</v>
      </c>
      <c r="H31" s="103"/>
      <c r="I31" s="103"/>
      <c r="J31" s="237">
        <f>SUM(G31:H31)</f>
        <v>7.0209999999999995E-2</v>
      </c>
      <c r="K31" s="104" t="s">
        <v>42</v>
      </c>
      <c r="L31" s="105">
        <f>ROUND(D31*G31,2)</f>
        <v>0</v>
      </c>
      <c r="M31" s="105"/>
      <c r="N31" s="105"/>
      <c r="O31" s="105">
        <f t="shared" si="1"/>
        <v>0</v>
      </c>
      <c r="P31" s="245">
        <f>'Rider Rates'!$D$21</f>
        <v>45444</v>
      </c>
      <c r="Q31" s="254"/>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162</v>
      </c>
      <c r="B32" s="78"/>
      <c r="C32" s="78"/>
      <c r="D32" s="1">
        <f>'Customer Info'!$B$21</f>
        <v>0</v>
      </c>
      <c r="E32" s="101" t="s">
        <v>41</v>
      </c>
      <c r="F32" s="102" t="s">
        <v>8</v>
      </c>
      <c r="G32" s="103">
        <f>'Rider Rates'!B39</f>
        <v>8.1709E-3</v>
      </c>
      <c r="H32" s="103"/>
      <c r="I32" s="103"/>
      <c r="J32" s="237">
        <f>SUM(G32:H32)</f>
        <v>8.1709E-3</v>
      </c>
      <c r="K32" s="104" t="s">
        <v>42</v>
      </c>
      <c r="L32" s="105">
        <f>ROUND(D32*G32,2)</f>
        <v>0</v>
      </c>
      <c r="M32" s="105"/>
      <c r="N32" s="105"/>
      <c r="O32" s="105">
        <f t="shared" si="1"/>
        <v>0</v>
      </c>
      <c r="P32" s="245">
        <f>'Rider Rates'!D29</f>
        <v>45444</v>
      </c>
      <c r="Q32" s="254"/>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219</v>
      </c>
      <c r="B33" s="78"/>
      <c r="C33" s="78"/>
      <c r="D33" s="1">
        <f>'Customer Info'!$B$22</f>
        <v>0</v>
      </c>
      <c r="E33" s="101" t="s">
        <v>41</v>
      </c>
      <c r="F33" s="102" t="s">
        <v>8</v>
      </c>
      <c r="G33" s="103">
        <f>'Rider Rates'!B40</f>
        <v>2.7900000000000001E-5</v>
      </c>
      <c r="H33" s="103"/>
      <c r="I33" s="103"/>
      <c r="J33" s="237">
        <f>SUM(G33:H33)</f>
        <v>2.7900000000000001E-5</v>
      </c>
      <c r="K33" s="104" t="s">
        <v>42</v>
      </c>
      <c r="L33" s="105">
        <f>ROUND(D33*G33,2)</f>
        <v>0</v>
      </c>
      <c r="M33" s="105"/>
      <c r="N33" s="105"/>
      <c r="O33" s="105">
        <f t="shared" si="1"/>
        <v>0</v>
      </c>
      <c r="P33" s="245">
        <f>'Rider Rates'!D30</f>
        <v>45444</v>
      </c>
      <c r="Q33" s="254"/>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193</v>
      </c>
      <c r="B34" s="78"/>
      <c r="C34" s="78"/>
      <c r="D34" s="100">
        <f>'Customer Info'!$B$21+'Customer Info'!$B$22</f>
        <v>0</v>
      </c>
      <c r="E34" s="101" t="s">
        <v>41</v>
      </c>
      <c r="F34" s="102" t="s">
        <v>8</v>
      </c>
      <c r="G34" s="103">
        <f>'Rider Rates'!$B$45</f>
        <v>4.5009999999999999E-4</v>
      </c>
      <c r="H34" s="103"/>
      <c r="I34" s="103"/>
      <c r="J34" s="237">
        <f>SUM(G34:H34)</f>
        <v>4.5009999999999999E-4</v>
      </c>
      <c r="K34" s="104" t="s">
        <v>42</v>
      </c>
      <c r="L34" s="105">
        <f>ROUND(D34*G34,2)</f>
        <v>0</v>
      </c>
      <c r="M34" s="105"/>
      <c r="N34" s="105"/>
      <c r="O34" s="105">
        <f t="shared" si="1"/>
        <v>0</v>
      </c>
      <c r="P34" s="245">
        <f>'Rider Rates'!$D$45</f>
        <v>45657</v>
      </c>
      <c r="Q34" s="254"/>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210</v>
      </c>
      <c r="B35" s="78"/>
      <c r="C35" s="78"/>
      <c r="D35" s="100">
        <f>IF($C$15&lt;0,0,IF($C$15&gt;833000,833000,$C$15))</f>
        <v>0</v>
      </c>
      <c r="E35" s="101" t="s">
        <v>41</v>
      </c>
      <c r="F35" s="102" t="s">
        <v>8</v>
      </c>
      <c r="G35" s="103"/>
      <c r="H35" s="103"/>
      <c r="I35" s="103">
        <f>'Rider Rates'!D49</f>
        <v>1.8006999999999999E-3</v>
      </c>
      <c r="J35" s="103">
        <f>SUM(G35:I35)</f>
        <v>1.8006999999999999E-3</v>
      </c>
      <c r="K35" s="104" t="s">
        <v>42</v>
      </c>
      <c r="L35" s="105"/>
      <c r="M35" s="105"/>
      <c r="N35" s="105">
        <f>D35*J35</f>
        <v>0</v>
      </c>
      <c r="O35" s="105">
        <f t="shared" si="1"/>
        <v>0</v>
      </c>
      <c r="P35" s="245">
        <f>'Rider Rates'!E49</f>
        <v>45658</v>
      </c>
      <c r="Q35" s="254"/>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189</v>
      </c>
      <c r="B36" s="78"/>
      <c r="C36" s="78"/>
      <c r="D36" s="100">
        <f>IF($C$15&lt;0,0,$C$15)</f>
        <v>0</v>
      </c>
      <c r="E36" s="113" t="s">
        <v>41</v>
      </c>
      <c r="F36" s="102" t="s">
        <v>8</v>
      </c>
      <c r="G36" s="103"/>
      <c r="H36" s="103">
        <f>'Rider Rates'!$B$56</f>
        <v>2.3467399999999999E-2</v>
      </c>
      <c r="I36" s="103"/>
      <c r="J36" s="103">
        <f>SUM(G36:I36)</f>
        <v>2.3467399999999999E-2</v>
      </c>
      <c r="K36" s="104" t="s">
        <v>42</v>
      </c>
      <c r="L36" s="105"/>
      <c r="M36" s="105">
        <f>ROUND(D36*H36,2)</f>
        <v>0</v>
      </c>
      <c r="N36" s="205"/>
      <c r="O36" s="105">
        <f t="shared" si="1"/>
        <v>0</v>
      </c>
      <c r="P36" s="245">
        <f>'Rider Rates'!$D$56</f>
        <v>45383</v>
      </c>
      <c r="Q36" s="254"/>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96</v>
      </c>
      <c r="B37" s="78"/>
      <c r="C37" s="78"/>
      <c r="D37" s="100">
        <f>IF('Customer Info'!C34=TRUE,0,IF($C$15&lt;0,0,$C$15))</f>
        <v>0</v>
      </c>
      <c r="E37" s="101" t="s">
        <v>41</v>
      </c>
      <c r="F37" s="102" t="s">
        <v>8</v>
      </c>
      <c r="G37" s="103"/>
      <c r="H37" s="103"/>
      <c r="I37" s="103">
        <f>'Rider Rates'!$B$72+'Rider Rates'!$C$72</f>
        <v>0</v>
      </c>
      <c r="J37" s="103">
        <f>SUM(G37:I37)</f>
        <v>0</v>
      </c>
      <c r="K37" s="104" t="s">
        <v>42</v>
      </c>
      <c r="L37" s="105"/>
      <c r="M37" s="105"/>
      <c r="N37" s="87">
        <f>ROUND($D$37*'Rider Rates'!$B$72,2)+ROUND($D$37*'Rider Rates'!$C$72,2)</f>
        <v>0</v>
      </c>
      <c r="O37" s="105">
        <f>SUM(L37:N37)</f>
        <v>0</v>
      </c>
      <c r="P37" s="245">
        <f>'Rider Rates'!$D$72</f>
        <v>45444</v>
      </c>
      <c r="Q37" s="254"/>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96</v>
      </c>
      <c r="B38" s="78"/>
      <c r="C38" s="78"/>
      <c r="D38" s="100"/>
      <c r="E38" s="101" t="s">
        <v>115</v>
      </c>
      <c r="F38" s="102"/>
      <c r="G38" s="103"/>
      <c r="H38" s="103"/>
      <c r="I38" s="196">
        <f>'Rider Rates'!$B$78</f>
        <v>0</v>
      </c>
      <c r="J38" s="196">
        <f>IF('Customer Info'!C34=TRUE,0,SUM(G38:I38))</f>
        <v>0</v>
      </c>
      <c r="K38" s="104"/>
      <c r="L38" s="105"/>
      <c r="M38" s="105"/>
      <c r="N38" s="105">
        <f>J38</f>
        <v>0</v>
      </c>
      <c r="O38" s="105">
        <f>SUM(L38:N38)</f>
        <v>0</v>
      </c>
      <c r="P38" s="245">
        <f>'Rider Rates'!$D$78</f>
        <v>45444</v>
      </c>
      <c r="Q38" s="254"/>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81</v>
      </c>
      <c r="B39" s="78"/>
      <c r="C39" s="78"/>
      <c r="D39" s="195">
        <f>$N$21</f>
        <v>9.4</v>
      </c>
      <c r="E39" s="101" t="s">
        <v>122</v>
      </c>
      <c r="F39" s="102" t="s">
        <v>8</v>
      </c>
      <c r="G39" s="111"/>
      <c r="H39" s="112"/>
      <c r="I39" s="120">
        <f>'Rider Rates'!$B$85</f>
        <v>4.94232E-2</v>
      </c>
      <c r="J39" s="120">
        <f t="shared" si="0"/>
        <v>4.94232E-2</v>
      </c>
      <c r="K39" s="104"/>
      <c r="L39" s="105"/>
      <c r="M39" s="105"/>
      <c r="N39" s="105">
        <f>ROUND(D39*I39,2)</f>
        <v>0.46</v>
      </c>
      <c r="O39" s="105">
        <f>SUM(L39:N39)</f>
        <v>0.46</v>
      </c>
      <c r="P39" s="245">
        <f>'Rider Rates'!$D$85</f>
        <v>45562</v>
      </c>
      <c r="Q39" s="254"/>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82</v>
      </c>
      <c r="B40" s="78"/>
      <c r="C40" s="78"/>
      <c r="D40" s="195">
        <f>$N$21</f>
        <v>9.4</v>
      </c>
      <c r="E40" s="101" t="s">
        <v>122</v>
      </c>
      <c r="F40" s="102" t="s">
        <v>8</v>
      </c>
      <c r="G40" s="114"/>
      <c r="H40" s="115"/>
      <c r="I40" s="120">
        <f>'Rider Rates'!$B$87</f>
        <v>6.6985699999999995E-2</v>
      </c>
      <c r="J40" s="120">
        <f t="shared" si="0"/>
        <v>6.6985699999999995E-2</v>
      </c>
      <c r="K40" s="104"/>
      <c r="L40" s="105"/>
      <c r="M40" s="105"/>
      <c r="N40" s="105">
        <f>ROUND(D40*I40,2)</f>
        <v>0.63</v>
      </c>
      <c r="O40" s="105">
        <f>SUM(L40:N40)</f>
        <v>0.63</v>
      </c>
      <c r="P40" s="245">
        <f>'Rider Rates'!$D$87</f>
        <v>45167</v>
      </c>
      <c r="Q40" s="254"/>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206</v>
      </c>
      <c r="B41" s="78"/>
      <c r="C41" s="78"/>
      <c r="D41" s="195"/>
      <c r="E41" s="113" t="s">
        <v>115</v>
      </c>
      <c r="F41" s="106"/>
      <c r="G41" s="114"/>
      <c r="H41" s="115"/>
      <c r="I41" s="196">
        <f>'Rider Rates'!$B$91</f>
        <v>17.53</v>
      </c>
      <c r="J41" s="196">
        <f t="shared" si="0"/>
        <v>17.53</v>
      </c>
      <c r="K41" s="104"/>
      <c r="L41" s="105"/>
      <c r="M41" s="105"/>
      <c r="N41" s="105">
        <f>I41</f>
        <v>17.53</v>
      </c>
      <c r="O41" s="105">
        <f>SUM(L41:N41)</f>
        <v>17.53</v>
      </c>
      <c r="P41" s="245">
        <f>'Rider Rates'!$D$91</f>
        <v>45657</v>
      </c>
      <c r="Q41" s="254"/>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251</v>
      </c>
      <c r="B42" s="78"/>
      <c r="C42" s="78"/>
      <c r="D42" s="100">
        <f>$D$25</f>
        <v>0</v>
      </c>
      <c r="E42" s="101" t="s">
        <v>41</v>
      </c>
      <c r="F42" s="102" t="s">
        <v>8</v>
      </c>
      <c r="G42" s="103"/>
      <c r="H42" s="103"/>
      <c r="I42" s="103"/>
      <c r="J42" s="103">
        <f>'Rider Rates'!$B$98</f>
        <v>0</v>
      </c>
      <c r="K42" s="104" t="s">
        <v>42</v>
      </c>
      <c r="L42" s="105"/>
      <c r="M42" s="105"/>
      <c r="N42" s="105"/>
      <c r="O42" s="105">
        <f>ROUND($D42*('Rider Rates'!B$98),2)</f>
        <v>0</v>
      </c>
      <c r="P42" s="245">
        <f>'Rider Rates'!$D$98</f>
        <v>44531</v>
      </c>
      <c r="Q42" s="253"/>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252</v>
      </c>
      <c r="B43" s="78"/>
      <c r="C43" s="78"/>
      <c r="D43" s="100">
        <f>$D$26</f>
        <v>0</v>
      </c>
      <c r="E43" s="101"/>
      <c r="F43" s="102"/>
      <c r="G43" s="103"/>
      <c r="H43" s="103"/>
      <c r="I43" s="103"/>
      <c r="J43" s="103">
        <f>'Rider Rates'!$B$99</f>
        <v>0</v>
      </c>
      <c r="K43" s="104" t="s">
        <v>42</v>
      </c>
      <c r="L43" s="105"/>
      <c r="M43" s="105"/>
      <c r="N43" s="105"/>
      <c r="O43" s="105">
        <f>ROUND($D43*('Rider Rates'!B$99),2)</f>
        <v>0</v>
      </c>
      <c r="P43" s="245">
        <f>'Rider Rates'!$D$99</f>
        <v>44531</v>
      </c>
      <c r="Q43" s="253"/>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156</v>
      </c>
      <c r="B44" s="78"/>
      <c r="C44" s="78"/>
      <c r="D44" s="195">
        <f>$N$21</f>
        <v>9.4</v>
      </c>
      <c r="E44" s="101" t="s">
        <v>122</v>
      </c>
      <c r="F44" s="102" t="s">
        <v>8</v>
      </c>
      <c r="G44" s="114"/>
      <c r="H44" s="115"/>
      <c r="I44" s="120">
        <f>'Rider Rates'!$B$105</f>
        <v>0.2363101</v>
      </c>
      <c r="J44" s="120">
        <f t="shared" si="0"/>
        <v>0.2363101</v>
      </c>
      <c r="K44" s="104"/>
      <c r="L44" s="105"/>
      <c r="M44" s="105"/>
      <c r="N44" s="105">
        <f>ROUND(D44*I44,2)</f>
        <v>2.2200000000000002</v>
      </c>
      <c r="O44" s="105">
        <f t="shared" ref="O44:O50" si="2">SUM(L44:N44)</f>
        <v>2.2200000000000002</v>
      </c>
      <c r="P44" s="245">
        <f>'Rider Rates'!$D$105</f>
        <v>45622</v>
      </c>
      <c r="Q44" s="253"/>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209</v>
      </c>
      <c r="B45" s="78"/>
      <c r="C45" s="78"/>
      <c r="D45" s="195"/>
      <c r="E45" s="113" t="s">
        <v>115</v>
      </c>
      <c r="F45" s="106"/>
      <c r="G45" s="114"/>
      <c r="H45" s="115"/>
      <c r="I45" s="196">
        <f>'Rider Rates'!$B$109</f>
        <v>0</v>
      </c>
      <c r="J45" s="196">
        <f t="shared" si="0"/>
        <v>0</v>
      </c>
      <c r="K45" s="104"/>
      <c r="L45" s="105"/>
      <c r="M45" s="105"/>
      <c r="N45" s="105">
        <f>I45</f>
        <v>0</v>
      </c>
      <c r="O45" s="105">
        <f t="shared" si="2"/>
        <v>0</v>
      </c>
      <c r="P45" s="245">
        <f>'Rider Rates'!$D$109</f>
        <v>44894</v>
      </c>
      <c r="Q45" s="253"/>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10" t="s">
        <v>218</v>
      </c>
      <c r="B46" s="78"/>
      <c r="C46" s="78"/>
      <c r="D46" s="195"/>
      <c r="E46" s="113" t="s">
        <v>115</v>
      </c>
      <c r="F46" s="106"/>
      <c r="G46" s="114"/>
      <c r="H46" s="115"/>
      <c r="I46" s="258">
        <f>'Rider Rates'!B122</f>
        <v>4.84</v>
      </c>
      <c r="J46" s="196">
        <f t="shared" si="0"/>
        <v>4.84</v>
      </c>
      <c r="K46" s="104"/>
      <c r="L46" s="105"/>
      <c r="M46" s="105"/>
      <c r="N46" s="260">
        <f>'Rider Rates'!B122</f>
        <v>4.84</v>
      </c>
      <c r="O46" s="105">
        <f t="shared" si="2"/>
        <v>4.84</v>
      </c>
      <c r="P46" s="245">
        <f>'Rider Rates'!D122</f>
        <v>45593</v>
      </c>
      <c r="Q46" s="253"/>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99" t="s">
        <v>157</v>
      </c>
      <c r="B47" s="78"/>
      <c r="C47" s="78"/>
      <c r="D47" s="100">
        <f>'Customer Info'!$B$21+'Customer Info'!$B$22</f>
        <v>0</v>
      </c>
      <c r="E47" s="101" t="s">
        <v>41</v>
      </c>
      <c r="F47" s="102" t="s">
        <v>8</v>
      </c>
      <c r="G47" s="103">
        <f>'Rider Rates'!$B$112</f>
        <v>3.8972999999999998E-3</v>
      </c>
      <c r="H47" s="103"/>
      <c r="I47" s="120"/>
      <c r="J47" s="237">
        <f>SUM(G47:H47)</f>
        <v>3.8972999999999998E-3</v>
      </c>
      <c r="K47" s="104" t="s">
        <v>42</v>
      </c>
      <c r="L47" s="105">
        <f>ROUND(D47*G47,2)</f>
        <v>0</v>
      </c>
      <c r="M47" s="105"/>
      <c r="N47" s="105"/>
      <c r="O47" s="105">
        <f t="shared" si="2"/>
        <v>0</v>
      </c>
      <c r="P47" s="245">
        <f>'Rider Rates'!$D$112</f>
        <v>44531</v>
      </c>
      <c r="Q47" s="253"/>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208</v>
      </c>
      <c r="B48" s="78"/>
      <c r="C48" s="78"/>
      <c r="D48" s="100">
        <f>IF($C$15&lt;1,0,$C$15)</f>
        <v>0</v>
      </c>
      <c r="E48" s="101" t="s">
        <v>41</v>
      </c>
      <c r="F48" s="249" t="s">
        <v>8</v>
      </c>
      <c r="G48" s="165"/>
      <c r="H48" s="165"/>
      <c r="I48" s="251">
        <f>'Rider Rates'!B118</f>
        <v>0</v>
      </c>
      <c r="J48" s="251">
        <f>SUM(G48:I48)</f>
        <v>0</v>
      </c>
      <c r="K48" s="104" t="s">
        <v>42</v>
      </c>
      <c r="L48" s="105"/>
      <c r="M48" s="105"/>
      <c r="N48" s="105">
        <f>D48*J48</f>
        <v>0</v>
      </c>
      <c r="O48" s="105">
        <f t="shared" si="2"/>
        <v>0</v>
      </c>
      <c r="P48" s="245">
        <f>'Rider Rates'!D118</f>
        <v>45657</v>
      </c>
      <c r="Q48" s="253"/>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78" t="s">
        <v>233</v>
      </c>
      <c r="B49" s="78"/>
      <c r="C49" s="78"/>
      <c r="D49" s="100">
        <f>IF(C15&lt;0,0,IF(C15&gt;833000,833000,C15))</f>
        <v>0</v>
      </c>
      <c r="E49" s="101" t="s">
        <v>41</v>
      </c>
      <c r="F49" s="102" t="s">
        <v>8</v>
      </c>
      <c r="G49" s="265"/>
      <c r="H49" s="265"/>
      <c r="I49" s="265">
        <f>'Rider Rates'!$B$126</f>
        <v>2.9050000000000001E-4</v>
      </c>
      <c r="J49" s="265">
        <f>SUM(G49:I49)</f>
        <v>2.9050000000000001E-4</v>
      </c>
      <c r="K49" s="104" t="s">
        <v>42</v>
      </c>
      <c r="L49" s="266"/>
      <c r="M49" s="266"/>
      <c r="N49" s="266">
        <f>IF(D49*J49&gt;'Rider Rates'!$C$126,'Rider Rates'!$C$126,D49*J49)</f>
        <v>0</v>
      </c>
      <c r="O49" s="266">
        <f t="shared" si="2"/>
        <v>0</v>
      </c>
      <c r="P49" s="264">
        <f>'Rider Rates'!$E$126</f>
        <v>45658</v>
      </c>
      <c r="Q49" s="253"/>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78" t="s">
        <v>234</v>
      </c>
      <c r="B50" s="78"/>
      <c r="C50" s="78"/>
      <c r="D50" s="123">
        <f>IF(C15&gt;833000,C15-833000,0)</f>
        <v>0</v>
      </c>
      <c r="E50" s="101" t="s">
        <v>41</v>
      </c>
      <c r="F50" s="102" t="s">
        <v>8</v>
      </c>
      <c r="G50" s="265"/>
      <c r="H50" s="265"/>
      <c r="I50" s="265">
        <f>'Rider Rates'!$B$127</f>
        <v>0</v>
      </c>
      <c r="J50" s="265">
        <f>SUM(G50:I50)</f>
        <v>0</v>
      </c>
      <c r="K50" s="104" t="s">
        <v>42</v>
      </c>
      <c r="L50" s="266"/>
      <c r="M50" s="266"/>
      <c r="N50" s="266">
        <f>D50*J50</f>
        <v>0</v>
      </c>
      <c r="O50" s="266">
        <f t="shared" si="2"/>
        <v>0</v>
      </c>
      <c r="P50" s="264">
        <f>'Rider Rates'!$E$127</f>
        <v>45658</v>
      </c>
      <c r="Q50" s="253"/>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242</v>
      </c>
      <c r="B51" s="78"/>
      <c r="C51" s="78"/>
      <c r="D51" s="100">
        <f>C14</f>
        <v>0</v>
      </c>
      <c r="E51" s="101" t="s">
        <v>41</v>
      </c>
      <c r="F51" s="249" t="s">
        <v>8</v>
      </c>
      <c r="G51" s="103"/>
      <c r="H51" s="103"/>
      <c r="I51" s="103">
        <f>'Rider Rates'!$B$131</f>
        <v>0</v>
      </c>
      <c r="J51" s="237">
        <f>SUM(G51:I51)</f>
        <v>0</v>
      </c>
      <c r="K51" s="104" t="s">
        <v>42</v>
      </c>
      <c r="L51" s="105"/>
      <c r="M51" s="105"/>
      <c r="N51" s="105">
        <f>D51*J51</f>
        <v>0</v>
      </c>
      <c r="O51" s="105">
        <f>SUM(L51:N51)</f>
        <v>0</v>
      </c>
      <c r="P51" s="245">
        <f>'Rider Rates'!$D$131</f>
        <v>44531</v>
      </c>
      <c r="Q51" s="253"/>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241</v>
      </c>
      <c r="B52" s="78"/>
      <c r="C52" s="78"/>
      <c r="D52" s="100"/>
      <c r="E52" s="101" t="s">
        <v>115</v>
      </c>
      <c r="F52" s="102" t="s">
        <v>8</v>
      </c>
      <c r="G52" s="263"/>
      <c r="H52" s="263"/>
      <c r="I52" s="263">
        <f>'Rider Rates'!$B$138</f>
        <v>0</v>
      </c>
      <c r="J52" s="263">
        <f>SUM(G52:I52)</f>
        <v>0</v>
      </c>
      <c r="K52" s="104"/>
      <c r="L52" s="209"/>
      <c r="M52" s="209"/>
      <c r="N52" s="209">
        <f>J52</f>
        <v>0</v>
      </c>
      <c r="O52" s="209">
        <f>SUM(L52:N52)</f>
        <v>0</v>
      </c>
      <c r="P52" s="264">
        <f>'Rider Rates'!$D$138</f>
        <v>44531</v>
      </c>
      <c r="Q52" s="253"/>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243</v>
      </c>
      <c r="B53" s="78"/>
      <c r="C53" s="78"/>
      <c r="D53" s="100"/>
      <c r="E53" s="101"/>
      <c r="F53" s="102"/>
      <c r="G53" s="263"/>
      <c r="H53" s="263"/>
      <c r="I53" s="263"/>
      <c r="J53" s="263"/>
      <c r="K53" s="104"/>
      <c r="L53" s="209"/>
      <c r="M53" s="209"/>
      <c r="N53" s="209"/>
      <c r="O53" s="209"/>
      <c r="P53" s="264"/>
      <c r="Q53" s="253"/>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179" t="s">
        <v>71</v>
      </c>
      <c r="B54" s="148"/>
      <c r="C54" s="148"/>
      <c r="D54" s="180"/>
      <c r="E54" s="181"/>
      <c r="F54" s="182"/>
      <c r="G54" s="182"/>
      <c r="H54" s="182"/>
      <c r="I54" s="182"/>
      <c r="J54" s="182"/>
      <c r="K54" s="183"/>
      <c r="L54" s="169">
        <f>SUM(L25:L53)</f>
        <v>0</v>
      </c>
      <c r="M54" s="169">
        <f t="shared" ref="M54:O54" si="3">SUM(M25:M53)</f>
        <v>0</v>
      </c>
      <c r="N54" s="169">
        <f t="shared" si="3"/>
        <v>25.68</v>
      </c>
      <c r="O54" s="169">
        <f t="shared" si="3"/>
        <v>25.68</v>
      </c>
      <c r="P54" s="184"/>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78"/>
      <c r="B55" s="78"/>
      <c r="C55" s="78"/>
      <c r="D55" s="100"/>
      <c r="E55" s="113"/>
      <c r="F55" s="106"/>
      <c r="G55" s="106"/>
      <c r="H55" s="106"/>
      <c r="I55" s="106"/>
      <c r="J55" s="107"/>
      <c r="K55" s="104"/>
      <c r="L55" s="106"/>
      <c r="M55" s="169"/>
      <c r="N55" s="106"/>
      <c r="O55" s="106"/>
      <c r="P55" s="164"/>
      <c r="Q55" s="106"/>
      <c r="R55" s="188"/>
      <c r="S55" s="108"/>
      <c r="T55" s="109"/>
      <c r="U55" s="78"/>
      <c r="V55" s="10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81" t="s">
        <v>72</v>
      </c>
      <c r="B56" s="170"/>
      <c r="C56" s="170"/>
      <c r="D56" s="170"/>
      <c r="E56" s="170"/>
      <c r="F56" s="170"/>
      <c r="G56" s="170"/>
      <c r="H56" s="170"/>
      <c r="I56" s="170"/>
      <c r="J56" s="170"/>
      <c r="K56" s="170"/>
      <c r="L56" s="186">
        <f>L21+L54</f>
        <v>0</v>
      </c>
      <c r="M56" s="186">
        <f>M21+M54</f>
        <v>0</v>
      </c>
      <c r="N56" s="186">
        <f>N21+N54</f>
        <v>35.08</v>
      </c>
      <c r="O56" s="187">
        <f>O21+O54</f>
        <v>35.08</v>
      </c>
      <c r="P56" s="187"/>
      <c r="Q56" s="10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04"/>
      <c r="B57" s="78"/>
      <c r="C57" s="78"/>
      <c r="D57" s="78"/>
      <c r="E57" s="78"/>
      <c r="F57" s="78"/>
      <c r="G57" s="78"/>
      <c r="H57" s="78"/>
      <c r="I57" s="78"/>
      <c r="J57" s="78"/>
      <c r="K57" s="78"/>
      <c r="L57" s="78"/>
      <c r="M57" s="78"/>
      <c r="N57" s="151"/>
      <c r="O57" s="151"/>
      <c r="P57" s="151"/>
      <c r="Q57" s="166"/>
      <c r="R57" s="166"/>
      <c r="S57" s="166"/>
      <c r="T57" s="189"/>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147"/>
      <c r="B58" s="78"/>
      <c r="C58" s="78"/>
      <c r="D58" s="78"/>
      <c r="E58" s="78"/>
      <c r="F58" s="78"/>
      <c r="G58" s="78"/>
      <c r="H58" s="78"/>
      <c r="I58" s="78"/>
      <c r="J58" s="78"/>
      <c r="K58" s="78"/>
      <c r="L58" s="78"/>
      <c r="M58" s="78"/>
      <c r="N58" s="151"/>
      <c r="O58" s="151"/>
      <c r="P58" s="151"/>
      <c r="Q58" s="166"/>
      <c r="R58" s="166"/>
      <c r="S58" s="166"/>
      <c r="T58" s="189"/>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166" t="s">
        <v>93</v>
      </c>
      <c r="B59" s="78"/>
      <c r="C59" s="78"/>
      <c r="D59" s="166"/>
      <c r="E59" s="78"/>
      <c r="F59" s="78"/>
      <c r="G59" s="78"/>
      <c r="H59" s="78"/>
      <c r="I59" s="78"/>
      <c r="J59" s="78"/>
      <c r="K59" s="78"/>
      <c r="L59" s="78"/>
      <c r="M59" s="78"/>
      <c r="N59" s="78"/>
      <c r="O59" s="109">
        <f>O19+O54</f>
        <v>35.08</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147"/>
      <c r="B60" s="166"/>
      <c r="C60" s="166"/>
      <c r="D60" s="166"/>
      <c r="E60" s="166"/>
      <c r="F60" s="166"/>
      <c r="G60" s="166"/>
      <c r="H60" s="166"/>
      <c r="I60" s="78"/>
      <c r="J60" s="78"/>
      <c r="K60" s="78"/>
      <c r="L60" s="78"/>
      <c r="M60" s="78"/>
      <c r="N60" s="151"/>
      <c r="O60" s="151"/>
      <c r="P60" s="151"/>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148" t="s">
        <v>117</v>
      </c>
      <c r="B61" s="151"/>
      <c r="C61" s="151"/>
      <c r="D61" s="151"/>
      <c r="E61" s="151"/>
      <c r="F61" s="151"/>
      <c r="G61" s="151"/>
      <c r="H61" s="151"/>
      <c r="I61" s="151"/>
      <c r="J61" s="151"/>
      <c r="K61" s="151"/>
      <c r="L61" s="151"/>
      <c r="M61" s="151"/>
      <c r="N61" s="151"/>
      <c r="O61" s="190">
        <f>IF($C$15&lt;0,O56,IF(O56&gt;O59,O56,O59))</f>
        <v>35.08</v>
      </c>
      <c r="P61" s="160"/>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47"/>
    </row>
    <row r="63" spans="1:221" x14ac:dyDescent="0.25">
      <c r="A63" s="147"/>
      <c r="I63" s="166" t="s">
        <v>121</v>
      </c>
      <c r="J63" s="166"/>
      <c r="K63" s="166"/>
      <c r="L63" s="191"/>
      <c r="M63" s="191"/>
      <c r="N63" s="191"/>
      <c r="O63" s="191">
        <f>ROUND(IF($C$15&lt;1,0,O56/($C$15*100)*10000),2)</f>
        <v>0</v>
      </c>
      <c r="P63" s="37" t="s">
        <v>87</v>
      </c>
    </row>
    <row r="64" spans="1:221" x14ac:dyDescent="0.25">
      <c r="A64" s="147"/>
      <c r="I64" s="242"/>
      <c r="J64" s="78"/>
      <c r="K64" s="78"/>
      <c r="L64" s="78"/>
      <c r="M64" s="78"/>
      <c r="N64" s="78"/>
      <c r="O64" s="243"/>
      <c r="P64" s="25"/>
    </row>
    <row r="65" spans="1:1" x14ac:dyDescent="0.25">
      <c r="A65" s="147"/>
    </row>
    <row r="66" spans="1:1" x14ac:dyDescent="0.25">
      <c r="A66" s="147"/>
    </row>
    <row r="67" spans="1:1" x14ac:dyDescent="0.25">
      <c r="A67" s="147"/>
    </row>
    <row r="68" spans="1:1" x14ac:dyDescent="0.25">
      <c r="A68" s="147"/>
    </row>
    <row r="69" spans="1:1" x14ac:dyDescent="0.25">
      <c r="A69" s="147"/>
    </row>
    <row r="70" spans="1:1" x14ac:dyDescent="0.25">
      <c r="A70" s="147"/>
    </row>
    <row r="71" spans="1:1" x14ac:dyDescent="0.25">
      <c r="A71" s="147"/>
    </row>
  </sheetData>
  <sheetProtection algorithmName="SHA-512" hashValue="27ZV2gC/wHeMbSxP7N8WV769fX8ps3i+bRntEJy7ChRZwPJo4WQfsGSdrZrlXf0xX//xDfZ0lM4pDXM2qmnwZQ==" saltValue="h9erxfIk09d32A8kxD1ApQ==" spinCount="100000" sheet="1" objects="1" scenarios="1"/>
  <mergeCells count="9">
    <mergeCell ref="A1:P1"/>
    <mergeCell ref="A2:P2"/>
    <mergeCell ref="G17:J17"/>
    <mergeCell ref="L17:O17"/>
    <mergeCell ref="A12:I12"/>
    <mergeCell ref="A7:K7"/>
    <mergeCell ref="A3:P3"/>
    <mergeCell ref="A4:P4"/>
    <mergeCell ref="A6:Q6"/>
  </mergeCells>
  <phoneticPr fontId="0" type="noConversion"/>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3"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64514" r:id="rId5" name="Button 2">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64515"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64516"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64517" r:id="rId8" name="Button 5">
              <controlPr defaultSize="0" print="0" autoFill="0" autoPict="0" macro="[0]!Info">
                <anchor moveWithCells="1">
                  <from>
                    <xdr:col>14</xdr:col>
                    <xdr:colOff>563880</xdr:colOff>
                    <xdr:row>77</xdr:row>
                    <xdr:rowOff>7620</xdr:rowOff>
                  </from>
                  <to>
                    <xdr:col>14</xdr:col>
                    <xdr:colOff>1097280</xdr:colOff>
                    <xdr:row>78</xdr:row>
                    <xdr:rowOff>83820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162A-2283-4A6A-9D34-CE3E3998CE30}">
  <sheetPr codeName="Sheet7"/>
  <dimension ref="A1:IB66"/>
  <sheetViews>
    <sheetView showGridLines="0" topLeftCell="A16" zoomScale="80" zoomScaleNormal="80" workbookViewId="0">
      <selection activeCell="AN47" sqref="AN47"/>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84</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row>
    <row r="6" spans="1:30" x14ac:dyDescent="0.25">
      <c r="A6" s="327">
        <f ca="1">TODAY()</f>
        <v>45657</v>
      </c>
      <c r="B6" s="210" t="s">
        <v>229</v>
      </c>
      <c r="C6" s="327"/>
      <c r="D6" s="327"/>
      <c r="E6" s="327"/>
      <c r="F6" s="327"/>
      <c r="G6" s="327"/>
      <c r="H6" s="327"/>
      <c r="I6" s="327"/>
    </row>
    <row r="7" spans="1:30" ht="24.6" x14ac:dyDescent="0.4">
      <c r="A7" s="505"/>
      <c r="B7" s="505"/>
      <c r="C7" s="505"/>
      <c r="D7" s="505"/>
      <c r="E7" s="505"/>
      <c r="F7" s="505"/>
      <c r="G7" s="505"/>
      <c r="H7" s="505"/>
      <c r="I7" s="505"/>
      <c r="J7" s="505"/>
      <c r="K7" s="505"/>
      <c r="L7" s="505"/>
      <c r="M7" s="505"/>
      <c r="N7" s="505"/>
      <c r="O7" s="505"/>
      <c r="P7" s="505"/>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28" t="s">
        <v>27</v>
      </c>
      <c r="B13" s="22"/>
      <c r="C13" s="22"/>
      <c r="D13" s="22"/>
      <c r="E13" s="22"/>
      <c r="F13" s="22"/>
      <c r="G13" s="22"/>
      <c r="H13" s="22"/>
      <c r="I13" s="22"/>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225</v>
      </c>
      <c r="B16" s="31"/>
      <c r="C16" s="32">
        <f>'Customer Info'!B21</f>
        <v>0</v>
      </c>
      <c r="D16" s="31" t="s">
        <v>41</v>
      </c>
      <c r="E16" s="31"/>
      <c r="F16" s="33"/>
      <c r="G16" s="23" t="s">
        <v>15</v>
      </c>
      <c r="H16" s="31"/>
    </row>
    <row r="17" spans="1:221" x14ac:dyDescent="0.25">
      <c r="A17" s="31" t="s">
        <v>226</v>
      </c>
      <c r="B17" s="31"/>
      <c r="C17" s="32">
        <f>'Customer Info'!B22</f>
        <v>0</v>
      </c>
      <c r="D17" s="262" t="s">
        <v>41</v>
      </c>
      <c r="E17" s="33"/>
      <c r="F17" s="33"/>
      <c r="G17" s="23" t="s">
        <v>15</v>
      </c>
      <c r="H17" s="31"/>
      <c r="I17" s="52" t="s">
        <v>15</v>
      </c>
    </row>
    <row r="19" spans="1:221" x14ac:dyDescent="0.25">
      <c r="A19" s="28" t="s">
        <v>31</v>
      </c>
      <c r="B19" s="22"/>
      <c r="C19" s="22"/>
      <c r="D19" s="22"/>
      <c r="E19" s="22"/>
      <c r="F19" s="22"/>
      <c r="G19" s="489" t="s">
        <v>68</v>
      </c>
      <c r="H19" s="490"/>
      <c r="I19" s="490"/>
      <c r="J19" s="491"/>
      <c r="K19" s="22"/>
      <c r="L19" s="492" t="s">
        <v>69</v>
      </c>
      <c r="M19" s="492"/>
      <c r="N19" s="492"/>
      <c r="O19" s="492"/>
    </row>
    <row r="20" spans="1:221" x14ac:dyDescent="0.25">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8" si="0">SUM(G27:I27)</f>
        <v>4.6278999999999999E-3</v>
      </c>
      <c r="K27" s="104" t="s">
        <v>42</v>
      </c>
      <c r="L27" s="105"/>
      <c r="M27" s="105"/>
      <c r="N27" s="105">
        <f t="shared" ref="N27:N32" si="1">ROUND(D27*I27,2)</f>
        <v>0</v>
      </c>
      <c r="O27" s="105">
        <f t="shared" ref="O27:O49"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'GS-Pilot PEV'!C16+'GS-Pilot PEV'!C17</f>
        <v>0</v>
      </c>
      <c r="E34" s="101" t="s">
        <v>41</v>
      </c>
      <c r="F34" s="102" t="s">
        <v>8</v>
      </c>
      <c r="G34" s="103">
        <f>'Rider Rates'!B22</f>
        <v>7.0209999999999995E-2</v>
      </c>
      <c r="H34" s="103"/>
      <c r="I34" s="103"/>
      <c r="J34" s="237">
        <f>SUM(G34:H34)</f>
        <v>7.0209999999999995E-2</v>
      </c>
      <c r="K34" s="104" t="s">
        <v>42</v>
      </c>
      <c r="L34" s="105">
        <f>ROUND(D34*G34,2)</f>
        <v>0</v>
      </c>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f>'Rider Rates'!B35</f>
        <v>2.28907E-2</v>
      </c>
      <c r="H35" s="103"/>
      <c r="I35" s="103"/>
      <c r="J35" s="237">
        <f>SUM(G35:H35)</f>
        <v>2.28907E-2</v>
      </c>
      <c r="K35" s="104" t="s">
        <v>42</v>
      </c>
      <c r="L35" s="105">
        <f>ROUND(D35*G35,2)</f>
        <v>0</v>
      </c>
      <c r="M35" s="105"/>
      <c r="N35" s="105"/>
      <c r="O35" s="105">
        <f t="shared" si="2"/>
        <v>0</v>
      </c>
      <c r="P35" s="245">
        <f>'Rider Rates'!$D$35</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f>'Rider Rates'!B36</f>
        <v>0</v>
      </c>
      <c r="H36" s="103"/>
      <c r="I36" s="103"/>
      <c r="J36" s="237">
        <f>SUM(G36:H36)</f>
        <v>0</v>
      </c>
      <c r="K36" s="104" t="s">
        <v>42</v>
      </c>
      <c r="L36" s="105">
        <f>ROUND(D36*G36,2)</f>
        <v>0</v>
      </c>
      <c r="M36" s="105"/>
      <c r="N36" s="105"/>
      <c r="O36" s="105">
        <f t="shared" si="2"/>
        <v>0</v>
      </c>
      <c r="P36" s="245">
        <f>'Rider Rates'!D36</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f>'Rider Rates'!$B$45</f>
        <v>4.5009999999999999E-4</v>
      </c>
      <c r="H37" s="103"/>
      <c r="I37" s="103"/>
      <c r="J37" s="237">
        <f>SUM(G37:H37)</f>
        <v>4.5009999999999999E-4</v>
      </c>
      <c r="K37" s="104" t="s">
        <v>42</v>
      </c>
      <c r="L37" s="105">
        <f>ROUND(D37*G37,2)</f>
        <v>0</v>
      </c>
      <c r="M37" s="105"/>
      <c r="N37" s="105"/>
      <c r="O37" s="105">
        <f t="shared" si="2"/>
        <v>0</v>
      </c>
      <c r="P37" s="245">
        <f>'Rider Rates'!$D$45</f>
        <v>45657</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1.8006999999999999E-3</v>
      </c>
      <c r="J38" s="103">
        <f>SUM(G38:I38)</f>
        <v>1.8006999999999999E-3</v>
      </c>
      <c r="K38" s="104" t="s">
        <v>42</v>
      </c>
      <c r="L38" s="105"/>
      <c r="M38" s="105"/>
      <c r="N38" s="105">
        <f>D38*J38</f>
        <v>0</v>
      </c>
      <c r="O38" s="105">
        <f t="shared" si="2"/>
        <v>0</v>
      </c>
      <c r="P38" s="245">
        <f>'Rider Rates'!E49</f>
        <v>45658</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2.3467399999999999E-2</v>
      </c>
      <c r="I39" s="103"/>
      <c r="J39" s="103">
        <f>SUM(G39:I39)</f>
        <v>2.3467399999999999E-2</v>
      </c>
      <c r="K39" s="104" t="s">
        <v>42</v>
      </c>
      <c r="L39" s="105"/>
      <c r="M39" s="105">
        <f>ROUND(D39*H39,2)</f>
        <v>0</v>
      </c>
      <c r="N39" s="205"/>
      <c r="O39" s="105">
        <f t="shared" si="2"/>
        <v>0</v>
      </c>
      <c r="P39" s="245">
        <f>'Rider Rates'!$D$56</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81</v>
      </c>
      <c r="B42" s="78"/>
      <c r="C42" s="78"/>
      <c r="D42" s="195">
        <f>$N$23</f>
        <v>9.4</v>
      </c>
      <c r="E42" s="101" t="s">
        <v>122</v>
      </c>
      <c r="F42" s="102" t="s">
        <v>8</v>
      </c>
      <c r="G42" s="111"/>
      <c r="H42" s="112"/>
      <c r="I42" s="120">
        <f>'Rider Rates'!$B$85</f>
        <v>4.94232E-2</v>
      </c>
      <c r="J42" s="120">
        <f t="shared" si="0"/>
        <v>4.94232E-2</v>
      </c>
      <c r="K42" s="104"/>
      <c r="L42" s="105"/>
      <c r="M42" s="105"/>
      <c r="N42" s="105">
        <f>ROUND(D42*I42,2)</f>
        <v>0.46</v>
      </c>
      <c r="O42" s="105">
        <f t="shared" si="2"/>
        <v>0.46</v>
      </c>
      <c r="P42" s="245">
        <f>'Rider Rates'!$D$85</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206</v>
      </c>
      <c r="B44" s="78"/>
      <c r="C44" s="78"/>
      <c r="D44" s="195"/>
      <c r="E44" s="113" t="s">
        <v>115</v>
      </c>
      <c r="F44" s="106"/>
      <c r="G44" s="114"/>
      <c r="H44" s="115"/>
      <c r="I44" s="196">
        <f>'Rider Rates'!$B$91</f>
        <v>17.53</v>
      </c>
      <c r="J44" s="196">
        <f t="shared" si="0"/>
        <v>17.53</v>
      </c>
      <c r="K44" s="104"/>
      <c r="L44" s="105"/>
      <c r="M44" s="105"/>
      <c r="N44" s="105">
        <f>I44</f>
        <v>17.53</v>
      </c>
      <c r="O44" s="105">
        <f t="shared" si="2"/>
        <v>17.53</v>
      </c>
      <c r="P44" s="245">
        <f>'Rider Rates'!$D$91</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122</v>
      </c>
      <c r="F46" s="102" t="s">
        <v>8</v>
      </c>
      <c r="G46" s="114"/>
      <c r="H46" s="115"/>
      <c r="I46" s="120">
        <f>'Rider Rates'!$B$105</f>
        <v>0.2363101</v>
      </c>
      <c r="J46" s="120">
        <f t="shared" si="0"/>
        <v>0.2363101</v>
      </c>
      <c r="K46" s="104"/>
      <c r="L46" s="105"/>
      <c r="M46" s="105"/>
      <c r="N46" s="105">
        <f>ROUND(D46*I46,2)</f>
        <v>2.2200000000000002</v>
      </c>
      <c r="O46" s="105">
        <f t="shared" si="2"/>
        <v>2.2200000000000002</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Rates'!$B$109</f>
        <v>0</v>
      </c>
      <c r="J47" s="196">
        <f t="shared" si="0"/>
        <v>0</v>
      </c>
      <c r="K47" s="104"/>
      <c r="L47" s="105"/>
      <c r="M47" s="105"/>
      <c r="N47" s="105">
        <f>I47</f>
        <v>0</v>
      </c>
      <c r="O47" s="105">
        <f t="shared" si="2"/>
        <v>0</v>
      </c>
      <c r="P47" s="245">
        <f>'Rider Rates'!$D$109</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Rates'!B122</f>
        <v>4.84</v>
      </c>
      <c r="J48" s="196">
        <f t="shared" si="0"/>
        <v>4.84</v>
      </c>
      <c r="K48" s="104"/>
      <c r="L48" s="105"/>
      <c r="M48" s="105"/>
      <c r="N48" s="260">
        <f>I48</f>
        <v>4.84</v>
      </c>
      <c r="O48" s="105">
        <f t="shared" si="2"/>
        <v>4.84</v>
      </c>
      <c r="P48" s="245">
        <f>'Rider Rates'!D122</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f>'Rider Rates'!$B$112</f>
        <v>3.8972999999999998E-3</v>
      </c>
      <c r="H49" s="103"/>
      <c r="I49" s="120"/>
      <c r="J49" s="237">
        <f>SUM(G49:H49)</f>
        <v>3.8972999999999998E-3</v>
      </c>
      <c r="K49" s="104" t="s">
        <v>42</v>
      </c>
      <c r="L49" s="105">
        <f>ROUND(D49*G49,2)</f>
        <v>0</v>
      </c>
      <c r="M49" s="105"/>
      <c r="N49" s="105"/>
      <c r="O49" s="105">
        <f t="shared" si="2"/>
        <v>0</v>
      </c>
      <c r="P49" s="245">
        <f>'Rider Rates'!$D$112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208</v>
      </c>
      <c r="B50" s="78"/>
      <c r="C50" s="78"/>
      <c r="D50" s="100">
        <f>IF($C$15&lt;1,0,$C$15)</f>
        <v>0</v>
      </c>
      <c r="E50" s="101" t="s">
        <v>41</v>
      </c>
      <c r="F50" s="249" t="s">
        <v>8</v>
      </c>
      <c r="G50" s="165"/>
      <c r="H50" s="165"/>
      <c r="I50" s="251">
        <f>'Rider Rates'!B118</f>
        <v>0</v>
      </c>
      <c r="J50" s="251">
        <f>SUM(G50:I50)</f>
        <v>0</v>
      </c>
      <c r="K50" s="104" t="s">
        <v>42</v>
      </c>
      <c r="L50" s="105"/>
      <c r="M50" s="105"/>
      <c r="N50" s="105">
        <f>D50*J50</f>
        <v>0</v>
      </c>
      <c r="O50" s="105">
        <f>SUM(L50:N50)</f>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233</v>
      </c>
      <c r="B51" s="78"/>
      <c r="C51" s="78"/>
      <c r="D51" s="100">
        <f>IF(C15&lt;0,0,IF(C15&gt;833000,833000,C15))</f>
        <v>0</v>
      </c>
      <c r="E51" s="101" t="s">
        <v>41</v>
      </c>
      <c r="F51" s="102" t="s">
        <v>8</v>
      </c>
      <c r="G51" s="265"/>
      <c r="H51" s="265"/>
      <c r="I51" s="265">
        <f>'Rider Rates'!$B$126</f>
        <v>2.9050000000000001E-4</v>
      </c>
      <c r="J51" s="265">
        <f>SUM(G51:I51)</f>
        <v>2.9050000000000001E-4</v>
      </c>
      <c r="K51" s="104" t="s">
        <v>42</v>
      </c>
      <c r="L51" s="266"/>
      <c r="M51" s="266"/>
      <c r="N51" s="266">
        <f>IF(D51*J51&gt;'Rider Rates'!$C$126,'Rider Rates'!$C$126,D51*J51)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234</v>
      </c>
      <c r="B52" s="78"/>
      <c r="C52" s="78"/>
      <c r="D52" s="123">
        <f>IF(C15&gt;833000,C15-833000,0)</f>
        <v>0</v>
      </c>
      <c r="E52" s="101" t="s">
        <v>41</v>
      </c>
      <c r="F52" s="102" t="s">
        <v>8</v>
      </c>
      <c r="G52" s="265"/>
      <c r="H52" s="265"/>
      <c r="I52" s="265">
        <f>'Rider Rates'!$B$127</f>
        <v>0</v>
      </c>
      <c r="J52" s="265">
        <f>SUM(G52:I52)</f>
        <v>0</v>
      </c>
      <c r="K52" s="104" t="s">
        <v>42</v>
      </c>
      <c r="L52" s="266"/>
      <c r="M52" s="266"/>
      <c r="N52" s="266">
        <f>D52*J52</f>
        <v>0</v>
      </c>
      <c r="O52" s="266">
        <f>SUM(L52:N52)</f>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242</v>
      </c>
      <c r="B53" s="78"/>
      <c r="C53" s="78"/>
      <c r="D53" s="100">
        <f>C15</f>
        <v>0</v>
      </c>
      <c r="E53" s="101" t="s">
        <v>41</v>
      </c>
      <c r="F53" s="249" t="s">
        <v>8</v>
      </c>
      <c r="G53" s="103"/>
      <c r="H53" s="103"/>
      <c r="I53" s="103">
        <f>'Rider Rates'!$B$131</f>
        <v>0</v>
      </c>
      <c r="J53" s="237">
        <f>SUM(G53:I53)</f>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241</v>
      </c>
      <c r="B54" s="78"/>
      <c r="C54" s="78"/>
      <c r="D54" s="100"/>
      <c r="E54" s="101" t="s">
        <v>115</v>
      </c>
      <c r="F54" s="102" t="s">
        <v>8</v>
      </c>
      <c r="G54" s="263"/>
      <c r="H54" s="263"/>
      <c r="I54" s="263">
        <f>'Rider Rates'!$B$138</f>
        <v>0</v>
      </c>
      <c r="J54" s="263">
        <f>SUM(G54:I54)</f>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71</v>
      </c>
      <c r="B56" s="148"/>
      <c r="C56" s="148"/>
      <c r="D56" s="180"/>
      <c r="E56" s="181"/>
      <c r="F56" s="182"/>
      <c r="G56" s="182"/>
      <c r="H56" s="182"/>
      <c r="I56" s="182"/>
      <c r="J56" s="182"/>
      <c r="K56" s="183"/>
      <c r="L56" s="169">
        <f>SUM(L27:L55)</f>
        <v>0</v>
      </c>
      <c r="M56" s="169">
        <f t="shared" ref="M56:O56" si="3">SUM(M27:M55)</f>
        <v>0</v>
      </c>
      <c r="N56" s="169">
        <f t="shared" si="3"/>
        <v>25.68</v>
      </c>
      <c r="O56" s="169">
        <f t="shared" si="3"/>
        <v>25.68</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94</v>
      </c>
      <c r="B58" s="170"/>
      <c r="C58" s="170"/>
      <c r="D58" s="170"/>
      <c r="E58" s="170"/>
      <c r="F58" s="170"/>
      <c r="G58" s="170"/>
      <c r="H58" s="170"/>
      <c r="I58" s="170"/>
      <c r="J58" s="170"/>
      <c r="K58" s="170"/>
      <c r="L58" s="186">
        <f>L23+L56</f>
        <v>0</v>
      </c>
      <c r="M58" s="186">
        <f>M23+M56</f>
        <v>0</v>
      </c>
      <c r="N58" s="186">
        <f>N23+N56</f>
        <v>35.08</v>
      </c>
      <c r="O58" s="187">
        <f>O23+O56</f>
        <v>35.08</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93</v>
      </c>
      <c r="B61" s="78"/>
      <c r="C61" s="78"/>
      <c r="D61" s="78"/>
      <c r="E61" s="78"/>
      <c r="F61" s="78"/>
      <c r="G61" s="78"/>
      <c r="H61" s="78"/>
      <c r="I61" s="78"/>
      <c r="J61" s="78"/>
      <c r="K61" s="78"/>
      <c r="L61" s="78"/>
      <c r="M61" s="78"/>
      <c r="N61" s="78"/>
      <c r="O61" s="109">
        <f>O21+O56</f>
        <v>35.08</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117</v>
      </c>
      <c r="B63" s="151"/>
      <c r="C63" s="151"/>
      <c r="D63" s="151"/>
      <c r="E63" s="151"/>
      <c r="F63" s="151"/>
      <c r="G63" s="151"/>
      <c r="H63" s="151"/>
      <c r="I63" s="151"/>
      <c r="J63" s="151"/>
      <c r="K63" s="151"/>
      <c r="L63" s="151"/>
      <c r="M63" s="151"/>
      <c r="N63" s="151"/>
      <c r="O63" s="190">
        <f>IF($D$17&lt;0,O58,IF(O58&gt;O61,O58,O61))</f>
        <v>35.08</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121</v>
      </c>
      <c r="J65" s="166"/>
      <c r="K65" s="166"/>
      <c r="L65" s="191"/>
      <c r="M65" s="191"/>
      <c r="N65" s="191"/>
      <c r="O65" s="191">
        <f>ROUND(IF($C$15&lt;1,0,O58/($C$15*100)*10000),2)</f>
        <v>0</v>
      </c>
      <c r="P65" s="37" t="s">
        <v>87</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190</v>
      </c>
      <c r="J66" s="78"/>
      <c r="K66" s="78"/>
      <c r="L66" s="78"/>
      <c r="M66" s="78"/>
      <c r="N66" s="78"/>
      <c r="O66" s="243">
        <f>ROUND(IF($C$15&lt;1,0,(L58)/($C$15*100)*10000),2)</f>
        <v>0</v>
      </c>
      <c r="P66" s="25" t="s">
        <v>87</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y6w9QxuYBj2expW71aA3G1FrsR1nxGesHecmc2YQFwiv4Vmw+wOyYXsixEOhRfzU+E/ET+6zqQuJWsOHEelPmQ==" saltValue="bcTK6fsbtWnnW03V9ZDAd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Button 1">
              <controlPr defaultSize="0" print="0" autoFill="0" autoPict="0" macro="[0]!Info">
                <anchor moveWithCells="1">
                  <from>
                    <xdr:col>0</xdr:col>
                    <xdr:colOff>68580</xdr:colOff>
                    <xdr:row>0</xdr:row>
                    <xdr:rowOff>38100</xdr:rowOff>
                  </from>
                  <to>
                    <xdr:col>0</xdr:col>
                    <xdr:colOff>571500</xdr:colOff>
                    <xdr:row>0</xdr:row>
                    <xdr:rowOff>259080</xdr:rowOff>
                  </to>
                </anchor>
              </controlPr>
            </control>
          </mc:Choice>
        </mc:AlternateContent>
        <mc:AlternateContent xmlns:mc="http://schemas.openxmlformats.org/markup-compatibility/2006">
          <mc:Choice Requires="x14">
            <control shapeId="128002" r:id="rId5"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28003"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8004"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8005"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8006"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V88"/>
  <sheetViews>
    <sheetView showGridLines="0" topLeftCell="A25" zoomScale="80" zoomScaleNormal="80" workbookViewId="0">
      <selection activeCell="A41" sqref="A41:XFD41"/>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275</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267">
        <f ca="1">TODAY()</f>
        <v>45657</v>
      </c>
      <c r="B6" s="210" t="s">
        <v>274</v>
      </c>
      <c r="C6" s="267"/>
      <c r="D6" s="267"/>
      <c r="E6" s="267"/>
      <c r="F6" s="267"/>
      <c r="G6" s="267"/>
      <c r="H6" s="267"/>
      <c r="I6" s="267"/>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ROUND(C14*C17,1)</f>
        <v>0</v>
      </c>
      <c r="E14" s="29" t="s">
        <v>45</v>
      </c>
      <c r="F14" s="30"/>
      <c r="G14" s="29" t="s">
        <v>15</v>
      </c>
      <c r="I14" s="53" t="s">
        <v>15</v>
      </c>
      <c r="J14" s="29"/>
      <c r="K14" s="29"/>
      <c r="L14" s="29"/>
      <c r="M14" s="29"/>
      <c r="N14" s="29"/>
    </row>
    <row r="15" spans="1:256" x14ac:dyDescent="0.25">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5">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07" t="s">
        <v>15</v>
      </c>
      <c r="E18" s="507"/>
      <c r="F18" s="507"/>
      <c r="G18" s="507"/>
      <c r="H18" s="507"/>
      <c r="K18" s="31"/>
      <c r="L18" s="31"/>
      <c r="M18" s="31"/>
      <c r="N18" s="31"/>
      <c r="O18" s="50"/>
    </row>
    <row r="19" spans="1:30" x14ac:dyDescent="0.25">
      <c r="A19" s="31" t="s">
        <v>15</v>
      </c>
      <c r="B19" s="31"/>
      <c r="C19" s="82" t="s">
        <v>15</v>
      </c>
      <c r="D19" s="507" t="s">
        <v>15</v>
      </c>
      <c r="E19" s="507"/>
      <c r="F19" s="507"/>
      <c r="G19" s="507"/>
      <c r="H19" s="507"/>
      <c r="I19" s="23"/>
      <c r="J19" s="23"/>
      <c r="K19" s="31"/>
      <c r="L19" s="31"/>
      <c r="M19" s="31"/>
      <c r="N19" s="31"/>
      <c r="O19" s="50"/>
    </row>
    <row r="20" spans="1:30" x14ac:dyDescent="0.25">
      <c r="A20" s="31"/>
      <c r="B20" s="31"/>
      <c r="C20" s="33"/>
      <c r="D20" s="33"/>
      <c r="E20" s="33"/>
      <c r="F20" s="33"/>
      <c r="G20" s="23"/>
      <c r="H20" s="23"/>
      <c r="I20" s="23"/>
      <c r="J20" s="23"/>
      <c r="K20" s="31"/>
      <c r="L20" s="31"/>
      <c r="M20" s="31"/>
      <c r="N20" s="31"/>
      <c r="O20" s="31"/>
    </row>
    <row r="21" spans="1:30" x14ac:dyDescent="0.25">
      <c r="A21" s="28" t="s">
        <v>31</v>
      </c>
      <c r="B21" s="22"/>
      <c r="C21" s="22"/>
      <c r="D21" s="22"/>
      <c r="E21" s="22"/>
      <c r="F21" s="22"/>
      <c r="G21" s="489" t="s">
        <v>68</v>
      </c>
      <c r="H21" s="490"/>
      <c r="I21" s="490"/>
      <c r="J21" s="491"/>
      <c r="K21" s="22"/>
      <c r="L21" s="492" t="s">
        <v>69</v>
      </c>
      <c r="M21" s="492"/>
      <c r="N21" s="492"/>
      <c r="O21" s="492"/>
    </row>
    <row r="22" spans="1:30" x14ac:dyDescent="0.25">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5">
      <c r="A23" t="s">
        <v>32</v>
      </c>
      <c r="G23" s="86"/>
      <c r="H23" s="86"/>
      <c r="I23" s="86">
        <v>9.4</v>
      </c>
      <c r="J23" s="86">
        <f>SUM(G23:I23)</f>
        <v>9.4</v>
      </c>
      <c r="L23" s="88"/>
      <c r="M23" s="88"/>
      <c r="N23" s="88">
        <f>I23</f>
        <v>9.4</v>
      </c>
      <c r="O23" s="209">
        <f>SUM(L23:N23)</f>
        <v>9.4</v>
      </c>
      <c r="P23" s="245">
        <v>44531</v>
      </c>
    </row>
    <row r="24" spans="1:30" x14ac:dyDescent="0.25">
      <c r="A24" t="s">
        <v>132</v>
      </c>
      <c r="D24" s="1">
        <f>D16</f>
        <v>0</v>
      </c>
      <c r="E24" s="101" t="s">
        <v>41</v>
      </c>
      <c r="F24" s="102" t="s">
        <v>8</v>
      </c>
      <c r="G24" s="84"/>
      <c r="H24" s="86"/>
      <c r="I24" s="279">
        <v>2.05802E-2</v>
      </c>
      <c r="J24" s="279">
        <f>SUM(G24:I24)</f>
        <v>2.05802E-2</v>
      </c>
      <c r="K24" s="104" t="s">
        <v>42</v>
      </c>
      <c r="L24" s="87"/>
      <c r="M24" s="88"/>
      <c r="N24" s="280">
        <f>D24*J24</f>
        <v>0</v>
      </c>
      <c r="O24" s="209">
        <f>N24</f>
        <v>0</v>
      </c>
      <c r="P24" s="245"/>
    </row>
    <row r="25" spans="1:30" x14ac:dyDescent="0.25">
      <c r="A25" s="37" t="s">
        <v>50</v>
      </c>
      <c r="B25" s="37"/>
      <c r="C25" s="37"/>
      <c r="D25" s="38"/>
      <c r="E25" s="38"/>
      <c r="F25" s="37"/>
      <c r="G25" s="37"/>
      <c r="H25" s="37"/>
      <c r="I25" s="37"/>
      <c r="J25" s="37"/>
      <c r="K25" s="39"/>
      <c r="L25" s="40"/>
      <c r="M25" s="40"/>
      <c r="N25" s="40">
        <f>SUM(N23:N24)</f>
        <v>9.4</v>
      </c>
      <c r="O25" s="40">
        <f>SUM(O23:O24)</f>
        <v>9.4</v>
      </c>
    </row>
    <row r="26" spans="1:30" x14ac:dyDescent="0.25">
      <c r="A26" s="89"/>
      <c r="B26" s="89"/>
      <c r="C26" s="90"/>
      <c r="D26" s="90"/>
      <c r="E26" s="90"/>
      <c r="F26" s="90"/>
      <c r="G26" s="91"/>
      <c r="H26" s="91"/>
      <c r="I26" s="91"/>
      <c r="J26" s="91"/>
      <c r="K26" s="89"/>
      <c r="L26" s="89"/>
      <c r="M26" s="89"/>
      <c r="N26" s="89"/>
      <c r="O26" s="89"/>
      <c r="P26" s="89"/>
    </row>
    <row r="27" spans="1:30" x14ac:dyDescent="0.25">
      <c r="A27" s="41" t="s">
        <v>70</v>
      </c>
      <c r="D27" s="1"/>
      <c r="E27" s="1"/>
      <c r="K27" s="36"/>
      <c r="L27" s="36"/>
      <c r="M27" s="36"/>
      <c r="N27" s="36"/>
      <c r="O27" s="34"/>
      <c r="P27" s="34"/>
    </row>
    <row r="28" spans="1:30" x14ac:dyDescent="0.25">
      <c r="A28" s="37"/>
      <c r="D28" s="1"/>
      <c r="E28" s="1"/>
      <c r="K28" s="36"/>
      <c r="L28" s="36"/>
      <c r="M28" s="36"/>
      <c r="N28" s="36"/>
      <c r="O28" s="34"/>
    </row>
    <row r="29" spans="1:30" x14ac:dyDescent="0.25">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5">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5">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5">
      <c r="A34" s="241" t="s">
        <v>237</v>
      </c>
      <c r="B34" s="78"/>
      <c r="C34" s="78"/>
      <c r="D34" s="208">
        <f>$N$25</f>
        <v>9.4</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186</v>
      </c>
      <c r="B35" s="78"/>
      <c r="C35" s="78"/>
      <c r="D35" s="100">
        <f>'Customer Info'!$B$21+'Customer Info'!$B$22-'Customer Info'!$B$23</f>
        <v>0</v>
      </c>
      <c r="E35" s="101" t="s">
        <v>41</v>
      </c>
      <c r="F35" s="102" t="s">
        <v>8</v>
      </c>
      <c r="G35" s="103">
        <f>'Rider Rates'!B23</f>
        <v>7.0209999999999995E-2</v>
      </c>
      <c r="H35" s="103"/>
      <c r="I35" s="103"/>
      <c r="J35" s="237">
        <f>SUM(G35:H35)</f>
        <v>7.0209999999999995E-2</v>
      </c>
      <c r="K35" s="104" t="s">
        <v>42</v>
      </c>
      <c r="L35" s="105">
        <f>ROUND(D35*G35,2)</f>
        <v>0</v>
      </c>
      <c r="M35" s="105"/>
      <c r="N35" s="105"/>
      <c r="O35" s="105">
        <f t="shared" si="0"/>
        <v>0</v>
      </c>
      <c r="P35" s="245">
        <f>'Rider Rates'!$D$23</f>
        <v>45444</v>
      </c>
    </row>
    <row r="36" spans="1:221" x14ac:dyDescent="0.25">
      <c r="A36" s="241" t="s">
        <v>161</v>
      </c>
      <c r="B36" s="78"/>
      <c r="C36" s="78"/>
      <c r="D36" s="100">
        <f>'Customer Info'!$B$21+'Customer Info'!$B$22-'Customer Info'!$B$23</f>
        <v>0</v>
      </c>
      <c r="E36" s="101" t="s">
        <v>41</v>
      </c>
      <c r="F36" s="102" t="s">
        <v>8</v>
      </c>
      <c r="G36" s="103">
        <f>'Rider Rates'!B34</f>
        <v>2.65E-3</v>
      </c>
      <c r="H36" s="103"/>
      <c r="I36" s="103"/>
      <c r="J36" s="237">
        <f>SUM(G36:H36)</f>
        <v>2.65E-3</v>
      </c>
      <c r="K36" s="104" t="s">
        <v>42</v>
      </c>
      <c r="L36" s="105">
        <f>ROUND(D36*G36,2)</f>
        <v>0</v>
      </c>
      <c r="M36" s="105"/>
      <c r="N36" s="105"/>
      <c r="O36" s="105">
        <f t="shared" si="0"/>
        <v>0</v>
      </c>
      <c r="P36" s="245">
        <f>'Rider Rates'!$D$34</f>
        <v>45444</v>
      </c>
    </row>
    <row r="37" spans="1:221" x14ac:dyDescent="0.25">
      <c r="A37" s="210" t="s">
        <v>193</v>
      </c>
      <c r="B37" s="78"/>
      <c r="C37" s="78"/>
      <c r="D37" s="100">
        <f>'Customer Info'!$B$21+'Customer Info'!$B$22-'Customer Info'!$B$23</f>
        <v>0</v>
      </c>
      <c r="E37" s="101" t="s">
        <v>41</v>
      </c>
      <c r="F37" s="102" t="s">
        <v>8</v>
      </c>
      <c r="G37" s="103">
        <f>'Rider Rates'!$B$45</f>
        <v>4.5009999999999999E-4</v>
      </c>
      <c r="H37" s="103"/>
      <c r="I37" s="103"/>
      <c r="J37" s="237">
        <f>SUM(G37:H37)</f>
        <v>4.5009999999999999E-4</v>
      </c>
      <c r="K37" s="104" t="s">
        <v>42</v>
      </c>
      <c r="L37" s="105">
        <f>ROUND(D37*G37,2)</f>
        <v>0</v>
      </c>
      <c r="M37" s="105"/>
      <c r="N37" s="105"/>
      <c r="O37" s="105">
        <f t="shared" si="0"/>
        <v>0</v>
      </c>
      <c r="P37" s="245">
        <f>'Rider Rates'!$D$45</f>
        <v>45657</v>
      </c>
    </row>
    <row r="38" spans="1:221" x14ac:dyDescent="0.25">
      <c r="A38" s="241" t="s">
        <v>210</v>
      </c>
      <c r="B38" s="78"/>
      <c r="C38" s="78"/>
      <c r="D38" s="1">
        <f>IF($C$16&lt;0,0,IF($C$16&gt;833000,833000,$C$16))</f>
        <v>0</v>
      </c>
      <c r="E38" s="101" t="s">
        <v>41</v>
      </c>
      <c r="F38" s="102" t="s">
        <v>8</v>
      </c>
      <c r="G38" s="103"/>
      <c r="H38" s="103"/>
      <c r="I38" s="103">
        <f>'Rider Rates'!D49</f>
        <v>1.8006999999999999E-3</v>
      </c>
      <c r="J38" s="103">
        <f>SUM(G38:I38)</f>
        <v>1.8006999999999999E-3</v>
      </c>
      <c r="K38" s="104" t="s">
        <v>42</v>
      </c>
      <c r="L38" s="105"/>
      <c r="M38" s="105"/>
      <c r="N38" s="87">
        <f>D38*J38</f>
        <v>0</v>
      </c>
      <c r="O38" s="105">
        <f t="shared" si="0"/>
        <v>0</v>
      </c>
      <c r="P38" s="245">
        <f>'Rider Rates'!E49</f>
        <v>45658</v>
      </c>
    </row>
    <row r="39" spans="1:221" x14ac:dyDescent="0.25">
      <c r="A39" s="210" t="s">
        <v>189</v>
      </c>
      <c r="B39" s="78"/>
      <c r="C39" s="78"/>
      <c r="D39" s="1">
        <f>IF($C$16&lt;0,0,$C$16)</f>
        <v>0</v>
      </c>
      <c r="E39" s="113" t="s">
        <v>41</v>
      </c>
      <c r="F39" s="102" t="s">
        <v>8</v>
      </c>
      <c r="G39" s="103"/>
      <c r="H39" s="103">
        <f>'Rider Rates'!G55</f>
        <v>2.3467399999999999E-2</v>
      </c>
      <c r="I39" s="103"/>
      <c r="J39" s="103">
        <f>SUM(G39:I39)</f>
        <v>2.3467399999999999E-2</v>
      </c>
      <c r="K39" s="104" t="s">
        <v>42</v>
      </c>
      <c r="L39" s="105"/>
      <c r="M39" s="105">
        <f>ROUND(D39*H39,2)</f>
        <v>0</v>
      </c>
      <c r="N39" s="205"/>
      <c r="O39" s="105">
        <f t="shared" si="0"/>
        <v>0</v>
      </c>
      <c r="P39" s="245">
        <f>'Rider Rates'!H55</f>
        <v>45383</v>
      </c>
    </row>
    <row r="40" spans="1:221" x14ac:dyDescent="0.25">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5">
      <c r="A41" s="99" t="s">
        <v>81</v>
      </c>
      <c r="B41" s="78"/>
      <c r="C41" s="78"/>
      <c r="D41" s="208">
        <f>$N$25</f>
        <v>9.4</v>
      </c>
      <c r="E41" s="101" t="s">
        <v>122</v>
      </c>
      <c r="F41" s="102" t="s">
        <v>8</v>
      </c>
      <c r="G41" s="111"/>
      <c r="H41" s="112"/>
      <c r="I41" s="120">
        <f>'Rider Rates'!$B$85</f>
        <v>4.94232E-2</v>
      </c>
      <c r="J41" s="120">
        <f>SUM(H41:I41)</f>
        <v>4.94232E-2</v>
      </c>
      <c r="K41" s="104"/>
      <c r="L41" s="105"/>
      <c r="M41" s="105"/>
      <c r="N41" s="105">
        <f>ROUND(N$25*I41,2)</f>
        <v>0.46</v>
      </c>
      <c r="O41" s="209">
        <f t="shared" si="0"/>
        <v>0.46</v>
      </c>
      <c r="P41" s="245">
        <f>'Rider Rates'!$D$85</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5">
      <c r="A42" s="99" t="s">
        <v>82</v>
      </c>
      <c r="B42" s="78"/>
      <c r="C42" s="78"/>
      <c r="D42" s="208">
        <f>$N$25</f>
        <v>9.4</v>
      </c>
      <c r="E42" s="101" t="s">
        <v>122</v>
      </c>
      <c r="F42" s="102" t="s">
        <v>8</v>
      </c>
      <c r="G42" s="114"/>
      <c r="H42" s="115"/>
      <c r="I42" s="120">
        <f>'Rider Rates'!$B$87</f>
        <v>6.6985699999999995E-2</v>
      </c>
      <c r="J42" s="120">
        <f>SUM(H42:I42)</f>
        <v>6.6985699999999995E-2</v>
      </c>
      <c r="K42" s="104"/>
      <c r="L42" s="105"/>
      <c r="M42" s="105"/>
      <c r="N42" s="105">
        <f>ROUND(N$25*I42,2)</f>
        <v>0.63</v>
      </c>
      <c r="O42" s="209">
        <f t="shared" si="0"/>
        <v>0.63</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210" t="s">
        <v>206</v>
      </c>
      <c r="B43" s="78"/>
      <c r="C43" s="78"/>
      <c r="D43" s="195"/>
      <c r="E43" s="113" t="s">
        <v>115</v>
      </c>
      <c r="F43" s="106"/>
      <c r="G43" s="114"/>
      <c r="H43" s="115"/>
      <c r="I43" s="196">
        <f>'Rider Rates'!$B$91</f>
        <v>17.53</v>
      </c>
      <c r="J43" s="196">
        <f>SUM(G43:I43)</f>
        <v>17.53</v>
      </c>
      <c r="K43" s="104"/>
      <c r="L43" s="105"/>
      <c r="M43" s="105"/>
      <c r="N43" s="105">
        <f>I43</f>
        <v>17.53</v>
      </c>
      <c r="O43" s="105">
        <f>SUM(L43:N43)</f>
        <v>17.53</v>
      </c>
      <c r="P43" s="245">
        <f>'Rider Rates'!$D$91</f>
        <v>45657</v>
      </c>
    </row>
    <row r="44" spans="1:221" x14ac:dyDescent="0.25">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208">
        <f>$N$25</f>
        <v>9.4</v>
      </c>
      <c r="E46" s="101" t="s">
        <v>122</v>
      </c>
      <c r="F46" s="102" t="s">
        <v>8</v>
      </c>
      <c r="G46" s="114"/>
      <c r="H46" s="115"/>
      <c r="I46" s="120">
        <f>'Rider Rates'!$B$105</f>
        <v>0.2363101</v>
      </c>
      <c r="J46" s="120">
        <f>SUM(H46:I46)</f>
        <v>0.2363101</v>
      </c>
      <c r="K46" s="104"/>
      <c r="L46" s="105"/>
      <c r="M46" s="105"/>
      <c r="N46" s="105">
        <f>ROUND(N$25*I46,2)</f>
        <v>2.2200000000000002</v>
      </c>
      <c r="O46" s="105">
        <f t="shared" si="0"/>
        <v>2.2200000000000002</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Rates'!$B$109</f>
        <v>0</v>
      </c>
      <c r="J47" s="196">
        <f>SUM(G47:I47)</f>
        <v>0</v>
      </c>
      <c r="K47" s="104"/>
      <c r="L47" s="105"/>
      <c r="M47" s="105"/>
      <c r="N47" s="105">
        <f>I47</f>
        <v>0</v>
      </c>
      <c r="O47" s="105">
        <f t="shared" ref="O47:O52" si="1">SUM(L47:N47)</f>
        <v>0</v>
      </c>
      <c r="P47" s="245">
        <f>'Rider Rates'!$D$109</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Rates'!B122</f>
        <v>4.84</v>
      </c>
      <c r="J48" s="196">
        <f>SUM(G48:I48)</f>
        <v>4.84</v>
      </c>
      <c r="K48" s="104"/>
      <c r="L48" s="105"/>
      <c r="M48" s="105"/>
      <c r="N48" s="260">
        <f>I48</f>
        <v>4.84</v>
      </c>
      <c r="O48" s="105">
        <f t="shared" si="1"/>
        <v>4.84</v>
      </c>
      <c r="P48" s="245">
        <f>'Rider Rates'!D122</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99" t="s">
        <v>157</v>
      </c>
      <c r="B49" s="78"/>
      <c r="C49" s="78"/>
      <c r="D49" s="100">
        <f>'Customer Info'!$B$21+'Customer Info'!$B$22-'Customer Info'!$B$23</f>
        <v>0</v>
      </c>
      <c r="E49" s="101" t="s">
        <v>41</v>
      </c>
      <c r="F49" s="102" t="s">
        <v>8</v>
      </c>
      <c r="G49" s="103">
        <f>'Rider Rates'!$B$112</f>
        <v>3.8972999999999998E-3</v>
      </c>
      <c r="H49" s="103"/>
      <c r="I49" s="120"/>
      <c r="J49" s="237">
        <f>SUM(G49:H49)</f>
        <v>3.8972999999999998E-3</v>
      </c>
      <c r="K49" s="104" t="s">
        <v>42</v>
      </c>
      <c r="L49" s="105">
        <f>ROUND(D49*G49,2)</f>
        <v>0</v>
      </c>
      <c r="M49" s="105"/>
      <c r="N49" s="105"/>
      <c r="O49" s="105">
        <f t="shared" si="1"/>
        <v>0</v>
      </c>
      <c r="P49" s="245">
        <f>'Rider Rates'!$D$112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SUM(G50:I50)</f>
        <v>0</v>
      </c>
      <c r="K50" s="104" t="s">
        <v>42</v>
      </c>
      <c r="L50" s="105"/>
      <c r="M50" s="105"/>
      <c r="N50" s="105">
        <f>D50*I50</f>
        <v>0</v>
      </c>
      <c r="O50" s="105">
        <f t="shared" si="1"/>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Rates'!$B$126</f>
        <v>2.9050000000000001E-4</v>
      </c>
      <c r="J51" s="265">
        <f>SUM(G51:I51)</f>
        <v>2.9050000000000001E-4</v>
      </c>
      <c r="K51" s="104" t="s">
        <v>42</v>
      </c>
      <c r="L51" s="266"/>
      <c r="M51" s="266"/>
      <c r="N51" s="266">
        <f>IF(D51*J51&gt;'Rider Rates'!$C$126,'Rider Rates'!$C$126,D51*J51)</f>
        <v>0</v>
      </c>
      <c r="O51" s="266">
        <f t="shared" si="1"/>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Rates'!$B$127</f>
        <v>0</v>
      </c>
      <c r="J52" s="265">
        <f>SUM(G52:I52)</f>
        <v>0</v>
      </c>
      <c r="K52" s="104" t="s">
        <v>42</v>
      </c>
      <c r="L52" s="266"/>
      <c r="M52" s="266"/>
      <c r="N52" s="266">
        <f>D52*J52</f>
        <v>0</v>
      </c>
      <c r="O52" s="266">
        <f t="shared" si="1"/>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Rates'!$B$131</f>
        <v>0</v>
      </c>
      <c r="J53" s="237">
        <f>SUM(G53:I53)</f>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Rates'!$B$138</f>
        <v>0</v>
      </c>
      <c r="J54" s="263">
        <f>SUM(G54:I54)</f>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71</v>
      </c>
      <c r="B56" s="148"/>
      <c r="C56" s="148"/>
      <c r="D56" s="180"/>
      <c r="E56" s="181"/>
      <c r="F56" s="182"/>
      <c r="G56" s="182"/>
      <c r="H56" s="182"/>
      <c r="I56" s="182"/>
      <c r="J56" s="182"/>
      <c r="K56" s="183"/>
      <c r="L56" s="169">
        <f>SUM(L29:L55)</f>
        <v>0</v>
      </c>
      <c r="M56" s="169">
        <f t="shared" ref="M56:O56" si="2">SUM(M29:M55)</f>
        <v>0</v>
      </c>
      <c r="N56" s="169">
        <f t="shared" si="2"/>
        <v>25.68</v>
      </c>
      <c r="O56" s="169">
        <f t="shared" si="2"/>
        <v>25.68</v>
      </c>
      <c r="P56" s="184"/>
    </row>
    <row r="57" spans="1:221" x14ac:dyDescent="0.25">
      <c r="A57" s="37"/>
      <c r="D57" s="1"/>
      <c r="E57" s="35"/>
      <c r="F57" s="4"/>
      <c r="G57" s="42"/>
      <c r="H57" s="42"/>
      <c r="I57" s="42"/>
      <c r="J57" s="42"/>
      <c r="K57" s="36"/>
      <c r="L57" s="36"/>
      <c r="M57" s="36"/>
      <c r="N57" s="36"/>
      <c r="O57" s="34"/>
      <c r="P57" s="36"/>
    </row>
    <row r="58" spans="1:221" x14ac:dyDescent="0.25">
      <c r="A58" s="269" t="s">
        <v>72</v>
      </c>
      <c r="B58" s="92"/>
      <c r="C58" s="92"/>
      <c r="D58" s="92"/>
      <c r="E58" s="92"/>
      <c r="F58" s="92"/>
      <c r="G58" s="92"/>
      <c r="H58" s="92"/>
      <c r="I58" s="92"/>
      <c r="J58" s="92"/>
      <c r="K58" s="92"/>
      <c r="L58" s="98">
        <f>L25+L56</f>
        <v>0</v>
      </c>
      <c r="M58" s="98">
        <f>M25+M56</f>
        <v>0</v>
      </c>
      <c r="N58" s="98">
        <f>N25+N56</f>
        <v>35.08</v>
      </c>
      <c r="O58" s="98">
        <f>O25+O56</f>
        <v>35.08</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O23+O56</f>
        <v>35.08</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117</v>
      </c>
      <c r="B62" s="37"/>
      <c r="C62" s="37"/>
      <c r="D62" s="37"/>
      <c r="E62" s="37"/>
      <c r="F62" s="37"/>
      <c r="G62" s="46"/>
      <c r="H62" s="46"/>
      <c r="I62" s="46"/>
      <c r="J62" s="46"/>
      <c r="K62" s="36"/>
      <c r="L62" s="36"/>
      <c r="M62" s="36"/>
      <c r="N62" s="36"/>
      <c r="O62" s="138">
        <f>MAX($O$58,$O$60)</f>
        <v>35.08</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86</v>
      </c>
      <c r="H64" s="46"/>
      <c r="I64" s="37"/>
      <c r="J64" s="46"/>
      <c r="K64" s="36"/>
      <c r="L64" s="191"/>
      <c r="M64" s="191"/>
      <c r="N64" s="191"/>
      <c r="O64" s="191">
        <f>ROUND(IF($C$16&lt;1,0,$O$62/($C$16*100)*10000),2)</f>
        <v>0</v>
      </c>
      <c r="P64" s="37" t="s">
        <v>87</v>
      </c>
    </row>
    <row r="65" spans="1:16" x14ac:dyDescent="0.25">
      <c r="A65" s="37"/>
      <c r="B65" s="37"/>
      <c r="C65" s="37"/>
      <c r="D65" s="37"/>
      <c r="E65" s="37"/>
      <c r="F65" s="37"/>
      <c r="G65" s="242" t="s">
        <v>190</v>
      </c>
      <c r="H65" s="136"/>
      <c r="I65" s="133"/>
      <c r="J65" s="136"/>
      <c r="K65" s="137"/>
      <c r="L65" s="78"/>
      <c r="M65" s="78"/>
      <c r="N65" s="78"/>
      <c r="O65" s="243">
        <f>ROUND(IF($C$16&lt;1,0,(L58)/($C$16*100)*10000),2)</f>
        <v>0</v>
      </c>
      <c r="P65" s="25" t="s">
        <v>87</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477"/>
    </row>
    <row r="75" spans="1:16" x14ac:dyDescent="0.25">
      <c r="A75" s="477"/>
    </row>
    <row r="76" spans="1:16" x14ac:dyDescent="0.25">
      <c r="A76" s="477"/>
    </row>
    <row r="77" spans="1:16" x14ac:dyDescent="0.25">
      <c r="A77" s="477"/>
    </row>
    <row r="78" spans="1:16" x14ac:dyDescent="0.25">
      <c r="A78" s="477"/>
    </row>
    <row r="79" spans="1:16" x14ac:dyDescent="0.25">
      <c r="A79" s="477"/>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sheetData>
  <sheetProtection algorithmName="SHA-512" hashValue="mv1Zcwu7iOmGTqoDpUTz1Wr8Qm+SMFTFhAFTzDWe2poykJOJz3+JlfjJO9pFmhGUUVjAbWU5p+TbD23Teu22jA==" saltValue="kQe6uaqOU6fOtuD+n7Htxg==" spinCount="100000" sheet="1" objects="1" scenarios="1"/>
  <mergeCells count="26">
    <mergeCell ref="A74:A88"/>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93186" r:id="rId5" name="Button 2">
              <controlPr defaultSize="0" print="0" autoFill="0" autoPict="0" macro="[0]!Info">
                <anchor moveWithCells="1">
                  <from>
                    <xdr:col>15</xdr:col>
                    <xdr:colOff>411480</xdr:colOff>
                    <xdr:row>82</xdr:row>
                    <xdr:rowOff>76200</xdr:rowOff>
                  </from>
                  <to>
                    <xdr:col>16</xdr:col>
                    <xdr:colOff>38100</xdr:colOff>
                    <xdr:row>83</xdr:row>
                    <xdr:rowOff>144780</xdr:rowOff>
                  </to>
                </anchor>
              </controlPr>
            </control>
          </mc:Choice>
        </mc:AlternateContent>
        <mc:AlternateContent xmlns:mc="http://schemas.openxmlformats.org/markup-compatibility/2006">
          <mc:Choice Requires="x14">
            <control shapeId="93187"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3188"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3189"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3190"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3191"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3192"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3193"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3194"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3195"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3196"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3197"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3198"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3199"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3200"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3201"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3202"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3203"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3204"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3205"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3206"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3207"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3208"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3209"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3210"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3211"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3212"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3213"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3214"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3215"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3216"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3217"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3218"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3219"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3220"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3221"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3222"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3223"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3224"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3225"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3226"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3227"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3228"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3229"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3230"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3231"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3232"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3233"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3234"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3235"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3236"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3237"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3238"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3239"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3240"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3241"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3242"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IV88"/>
  <sheetViews>
    <sheetView showGridLines="0" topLeftCell="A19" zoomScale="80" zoomScaleNormal="80" workbookViewId="0">
      <selection activeCell="P41" sqref="P41"/>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262</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267">
        <f ca="1">TODAY()</f>
        <v>45657</v>
      </c>
      <c r="B6" s="210" t="s">
        <v>261</v>
      </c>
      <c r="C6" s="274"/>
      <c r="D6" s="274"/>
      <c r="E6" s="274"/>
      <c r="F6" s="274"/>
      <c r="G6" s="274"/>
      <c r="H6" s="274"/>
      <c r="I6" s="274"/>
      <c r="J6" s="274"/>
      <c r="K6" s="274"/>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ROUND(C14*C17,1)</f>
        <v>0</v>
      </c>
      <c r="E14" s="29" t="s">
        <v>45</v>
      </c>
      <c r="F14" s="30"/>
      <c r="G14" s="29" t="s">
        <v>15</v>
      </c>
      <c r="I14" s="53" t="s">
        <v>15</v>
      </c>
      <c r="J14" s="29"/>
      <c r="K14" s="29"/>
      <c r="L14" s="29"/>
      <c r="M14" s="29"/>
      <c r="N14" s="29"/>
    </row>
    <row r="15" spans="1:256" x14ac:dyDescent="0.25">
      <c r="A15" s="31" t="s">
        <v>29</v>
      </c>
      <c r="B15" s="31"/>
      <c r="C15" s="44">
        <f>'Customer Info'!B19</f>
        <v>0</v>
      </c>
      <c r="D15" s="44">
        <f>C15*C17</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C16*C17</f>
        <v>0</v>
      </c>
      <c r="E16" s="31" t="s">
        <v>41</v>
      </c>
      <c r="F16" s="33"/>
      <c r="G16" s="31"/>
      <c r="H16" s="31"/>
      <c r="I16" s="31"/>
      <c r="J16" s="31"/>
      <c r="K16" s="31"/>
      <c r="L16" s="31"/>
      <c r="M16" s="31"/>
      <c r="N16" s="31"/>
      <c r="O16" s="31"/>
    </row>
    <row r="17" spans="1:30" x14ac:dyDescent="0.25">
      <c r="A17" s="31" t="s">
        <v>54</v>
      </c>
      <c r="B17" s="31"/>
      <c r="C17" s="58">
        <f>+'Customer Info'!E18</f>
        <v>1</v>
      </c>
      <c r="D17" s="31"/>
      <c r="E17" s="31"/>
      <c r="F17" s="33"/>
      <c r="G17" s="23"/>
      <c r="H17" s="23"/>
      <c r="I17" s="23"/>
      <c r="J17" s="23"/>
      <c r="K17" s="31"/>
      <c r="L17" s="31"/>
      <c r="M17" s="31"/>
      <c r="N17" s="31"/>
      <c r="S17" s="207"/>
      <c r="T17" s="207"/>
      <c r="U17" s="207"/>
      <c r="V17" s="207"/>
      <c r="W17" s="207"/>
      <c r="X17" s="207"/>
      <c r="Y17" s="207"/>
      <c r="Z17" s="207"/>
      <c r="AA17" s="207"/>
      <c r="AB17" s="207"/>
      <c r="AC17" s="207"/>
      <c r="AD17" s="207"/>
    </row>
    <row r="18" spans="1:30" x14ac:dyDescent="0.25">
      <c r="A18" s="31" t="s">
        <v>15</v>
      </c>
      <c r="B18" s="31"/>
      <c r="C18" s="82" t="s">
        <v>15</v>
      </c>
      <c r="D18" s="507" t="s">
        <v>15</v>
      </c>
      <c r="E18" s="507"/>
      <c r="F18" s="507"/>
      <c r="G18" s="507"/>
      <c r="H18" s="507"/>
      <c r="K18" s="31"/>
      <c r="L18" s="31"/>
      <c r="M18" s="31"/>
      <c r="N18" s="31"/>
      <c r="O18" s="50"/>
    </row>
    <row r="19" spans="1:30" x14ac:dyDescent="0.25">
      <c r="A19" s="31" t="s">
        <v>15</v>
      </c>
      <c r="B19" s="31"/>
      <c r="C19" s="82" t="s">
        <v>15</v>
      </c>
      <c r="D19" s="507" t="s">
        <v>15</v>
      </c>
      <c r="E19" s="507"/>
      <c r="F19" s="507"/>
      <c r="G19" s="507"/>
      <c r="H19" s="507"/>
      <c r="I19" s="23"/>
      <c r="J19" s="23"/>
      <c r="K19" s="31"/>
      <c r="L19" s="31"/>
      <c r="M19" s="31"/>
      <c r="N19" s="31"/>
      <c r="O19" s="50"/>
    </row>
    <row r="20" spans="1:30" x14ac:dyDescent="0.25">
      <c r="A20" s="31"/>
      <c r="B20" s="31"/>
      <c r="C20" s="33"/>
      <c r="D20" s="33"/>
      <c r="E20" s="33"/>
      <c r="F20" s="33"/>
      <c r="G20" s="23"/>
      <c r="H20" s="23"/>
      <c r="I20" s="23"/>
      <c r="J20" s="23"/>
      <c r="K20" s="31"/>
      <c r="L20" s="31"/>
      <c r="M20" s="31"/>
      <c r="N20" s="31"/>
      <c r="O20" s="31"/>
    </row>
    <row r="21" spans="1:30" x14ac:dyDescent="0.25">
      <c r="A21" s="28" t="s">
        <v>31</v>
      </c>
      <c r="B21" s="22"/>
      <c r="C21" s="22"/>
      <c r="D21" s="22"/>
      <c r="E21" s="22"/>
      <c r="F21" s="22"/>
      <c r="G21" s="489" t="s">
        <v>68</v>
      </c>
      <c r="H21" s="490"/>
      <c r="I21" s="490"/>
      <c r="J21" s="491"/>
      <c r="K21" s="22"/>
      <c r="L21" s="492" t="s">
        <v>69</v>
      </c>
      <c r="M21" s="492"/>
      <c r="N21" s="492"/>
      <c r="O21" s="492"/>
    </row>
    <row r="22" spans="1:30" x14ac:dyDescent="0.25">
      <c r="A22" s="18"/>
      <c r="B22" s="18"/>
      <c r="C22" s="18"/>
      <c r="D22" s="18"/>
      <c r="E22" s="18"/>
      <c r="F22" s="18"/>
      <c r="G22" s="8" t="s">
        <v>65</v>
      </c>
      <c r="H22" s="8" t="s">
        <v>66</v>
      </c>
      <c r="I22" s="8" t="s">
        <v>67</v>
      </c>
      <c r="J22" s="112" t="s">
        <v>34</v>
      </c>
      <c r="K22" s="18"/>
      <c r="L22" s="268" t="s">
        <v>65</v>
      </c>
      <c r="M22" s="268" t="s">
        <v>66</v>
      </c>
      <c r="N22" s="268" t="s">
        <v>67</v>
      </c>
      <c r="O22" s="132" t="s">
        <v>34</v>
      </c>
      <c r="P22" s="43" t="s">
        <v>57</v>
      </c>
    </row>
    <row r="23" spans="1:30" x14ac:dyDescent="0.25">
      <c r="A23" t="s">
        <v>32</v>
      </c>
      <c r="G23" s="86"/>
      <c r="H23" s="86"/>
      <c r="I23" s="86">
        <v>138.5</v>
      </c>
      <c r="J23" s="86">
        <f>SUM(G23:I23)</f>
        <v>138.5</v>
      </c>
      <c r="L23" s="88"/>
      <c r="M23" s="88"/>
      <c r="N23" s="88">
        <f>I23</f>
        <v>138.5</v>
      </c>
      <c r="O23" s="209">
        <f>SUM(L23:N23)</f>
        <v>138.5</v>
      </c>
      <c r="P23" s="245">
        <v>44531</v>
      </c>
    </row>
    <row r="24" spans="1:30" x14ac:dyDescent="0.25">
      <c r="A24" t="s">
        <v>132</v>
      </c>
      <c r="D24" s="1">
        <f>D16</f>
        <v>0</v>
      </c>
      <c r="E24" s="101" t="s">
        <v>41</v>
      </c>
      <c r="F24" s="102" t="s">
        <v>8</v>
      </c>
      <c r="G24" s="84"/>
      <c r="H24" s="86"/>
      <c r="I24" s="84">
        <v>1.37173E-2</v>
      </c>
      <c r="J24" s="84">
        <f>I24</f>
        <v>1.37173E-2</v>
      </c>
      <c r="K24" s="104" t="s">
        <v>42</v>
      </c>
      <c r="L24" s="87"/>
      <c r="M24" s="88"/>
      <c r="N24" s="87">
        <f>D24*J24</f>
        <v>0</v>
      </c>
      <c r="O24" s="209">
        <f>SUM(L24:N24)</f>
        <v>0</v>
      </c>
      <c r="P24" s="245"/>
    </row>
    <row r="25" spans="1:30" x14ac:dyDescent="0.25">
      <c r="A25" s="37" t="s">
        <v>50</v>
      </c>
      <c r="B25" s="37"/>
      <c r="C25" s="37"/>
      <c r="D25" s="38"/>
      <c r="E25" s="38"/>
      <c r="F25" s="37"/>
      <c r="G25" s="37"/>
      <c r="H25" s="37"/>
      <c r="I25" s="37"/>
      <c r="J25" s="37"/>
      <c r="K25" s="39"/>
      <c r="L25" s="40"/>
      <c r="M25" s="40"/>
      <c r="N25" s="40">
        <f>SUM(N23:N24)</f>
        <v>138.5</v>
      </c>
      <c r="O25" s="40">
        <f>SUM(O23:O24)</f>
        <v>138.5</v>
      </c>
    </row>
    <row r="26" spans="1:30" x14ac:dyDescent="0.25">
      <c r="A26" s="89"/>
      <c r="B26" s="89"/>
      <c r="C26" s="90"/>
      <c r="D26" s="90"/>
      <c r="E26" s="90"/>
      <c r="F26" s="90"/>
      <c r="G26" s="91"/>
      <c r="H26" s="91"/>
      <c r="I26" s="91"/>
      <c r="J26" s="91"/>
      <c r="K26" s="89"/>
      <c r="L26" s="89"/>
      <c r="M26" s="89"/>
      <c r="N26" s="89"/>
      <c r="O26" s="89"/>
      <c r="P26" s="89"/>
    </row>
    <row r="27" spans="1:30" x14ac:dyDescent="0.25">
      <c r="A27" s="41" t="s">
        <v>70</v>
      </c>
      <c r="D27" s="1"/>
      <c r="E27" s="1"/>
      <c r="K27" s="36"/>
      <c r="L27" s="36"/>
      <c r="M27" s="36"/>
      <c r="N27" s="36"/>
      <c r="O27" s="34"/>
      <c r="P27" s="34"/>
    </row>
    <row r="28" spans="1:30" x14ac:dyDescent="0.25">
      <c r="A28" s="37"/>
      <c r="D28" s="1"/>
      <c r="E28" s="1"/>
      <c r="K28" s="36"/>
      <c r="L28" s="36"/>
      <c r="M28" s="36"/>
      <c r="N28" s="36"/>
      <c r="O28" s="34"/>
    </row>
    <row r="29" spans="1:30" x14ac:dyDescent="0.25">
      <c r="A29" s="78" t="s">
        <v>79</v>
      </c>
      <c r="D29" s="1">
        <f>IF($C$16&lt;0,0,IF($C$16&gt;833000,833000,$C$16))</f>
        <v>0</v>
      </c>
      <c r="E29" s="35" t="s">
        <v>41</v>
      </c>
      <c r="F29" s="4" t="s">
        <v>8</v>
      </c>
      <c r="G29" s="83"/>
      <c r="H29" s="84"/>
      <c r="I29" s="103">
        <f>'Rider Rates'!$B$4</f>
        <v>4.6278999999999999E-3</v>
      </c>
      <c r="J29" s="6">
        <f>SUM(G29:I29)</f>
        <v>4.6278999999999999E-3</v>
      </c>
      <c r="K29" s="36" t="s">
        <v>42</v>
      </c>
      <c r="L29" s="87"/>
      <c r="M29" s="87"/>
      <c r="N29" s="87">
        <f>ROUND($D29*I29,2)</f>
        <v>0</v>
      </c>
      <c r="O29" s="87">
        <f>SUM(L29:N29)</f>
        <v>0</v>
      </c>
      <c r="P29" s="245">
        <f>'Rider Rates'!$D$4</f>
        <v>45657</v>
      </c>
    </row>
    <row r="30" spans="1:30" x14ac:dyDescent="0.25">
      <c r="A30" s="78" t="s">
        <v>80</v>
      </c>
      <c r="D30" s="1">
        <f>IF($C$16-833000&gt;0,$C$16-D29,0)</f>
        <v>0</v>
      </c>
      <c r="E30" s="35" t="s">
        <v>41</v>
      </c>
      <c r="F30" s="4" t="s">
        <v>8</v>
      </c>
      <c r="G30" s="83"/>
      <c r="H30" s="84"/>
      <c r="I30" s="103">
        <f>'Rider Rates'!$B$5</f>
        <v>1.7560000000000001E-4</v>
      </c>
      <c r="J30" s="118">
        <f>SUM(G30:I30)</f>
        <v>1.7560000000000001E-4</v>
      </c>
      <c r="K30" s="36" t="s">
        <v>42</v>
      </c>
      <c r="L30" s="87"/>
      <c r="M30" s="87"/>
      <c r="N30" s="87">
        <f>ROUND($D30*I30,2)</f>
        <v>0</v>
      </c>
      <c r="O30" s="87">
        <f>SUM(L30:N30)</f>
        <v>0</v>
      </c>
      <c r="P30" s="245">
        <f>'Rider Rates'!$D$4</f>
        <v>45657</v>
      </c>
    </row>
    <row r="31" spans="1:30" x14ac:dyDescent="0.25">
      <c r="A31" s="78" t="s">
        <v>47</v>
      </c>
      <c r="B31" t="s">
        <v>15</v>
      </c>
      <c r="D31" s="1">
        <f>IF('Customer Info'!$C$32=TRUE,0,IF(C16&lt;0,0,IF(C16&gt;2000,2000,C16)))</f>
        <v>0</v>
      </c>
      <c r="E31" s="35" t="s">
        <v>41</v>
      </c>
      <c r="F31" s="4" t="s">
        <v>8</v>
      </c>
      <c r="G31" s="83"/>
      <c r="H31" s="84"/>
      <c r="I31" s="177">
        <f>'Rider Rates'!$B$8</f>
        <v>4.6499999999999996E-3</v>
      </c>
      <c r="J31" s="117">
        <f>SUM(G31:I31)</f>
        <v>4.6499999999999996E-3</v>
      </c>
      <c r="K31" s="36" t="s">
        <v>42</v>
      </c>
      <c r="L31" s="87"/>
      <c r="M31" s="87"/>
      <c r="N31" s="87">
        <f>ROUND($D31*I31,2)</f>
        <v>0</v>
      </c>
      <c r="O31" s="87">
        <f>SUM(L31:N31)</f>
        <v>0</v>
      </c>
      <c r="P31" s="245">
        <f>'Rider Rates'!$D$7</f>
        <v>44531</v>
      </c>
    </row>
    <row r="32" spans="1:30" x14ac:dyDescent="0.25">
      <c r="A32" s="78" t="s">
        <v>48</v>
      </c>
      <c r="B32" t="s">
        <v>15</v>
      </c>
      <c r="D32" s="1">
        <f>IF('Customer Info'!$C$32=TRUE,0,IF(C16&gt;15000,13000,IF(C16&gt;2000,C16-2000,0)))</f>
        <v>0</v>
      </c>
      <c r="E32" s="35" t="s">
        <v>41</v>
      </c>
      <c r="F32" s="4" t="s">
        <v>8</v>
      </c>
      <c r="G32" s="83"/>
      <c r="H32" s="84"/>
      <c r="I32" s="177">
        <f>'Rider Rates'!$B$9</f>
        <v>4.1900000000000001E-3</v>
      </c>
      <c r="J32" s="117">
        <f>SUM(G32:I32)</f>
        <v>4.1900000000000001E-3</v>
      </c>
      <c r="K32" s="36" t="s">
        <v>42</v>
      </c>
      <c r="L32" s="87"/>
      <c r="M32" s="87"/>
      <c r="N32" s="87">
        <f>ROUND($D32*I32,2)</f>
        <v>0</v>
      </c>
      <c r="O32" s="87">
        <f>SUM(L32:N32)</f>
        <v>0</v>
      </c>
      <c r="P32" s="245">
        <f>'Rider Rates'!$D$7</f>
        <v>44531</v>
      </c>
    </row>
    <row r="33" spans="1:221" x14ac:dyDescent="0.25">
      <c r="A33" s="78" t="s">
        <v>49</v>
      </c>
      <c r="B33" t="s">
        <v>15</v>
      </c>
      <c r="D33" s="1">
        <f>IF('Customer Info'!$C$32=TRUE,0,IF(C16-D31-D32&gt;0,C16-D31-D32,0))</f>
        <v>0</v>
      </c>
      <c r="E33" s="35" t="s">
        <v>41</v>
      </c>
      <c r="F33" s="4" t="s">
        <v>8</v>
      </c>
      <c r="G33" s="83"/>
      <c r="H33" s="84"/>
      <c r="I33" s="177">
        <f>'Rider Rates'!$B$10</f>
        <v>3.63E-3</v>
      </c>
      <c r="J33" s="117">
        <f>SUM(G33:I33)</f>
        <v>3.63E-3</v>
      </c>
      <c r="K33" s="36" t="s">
        <v>42</v>
      </c>
      <c r="L33" s="87"/>
      <c r="M33" s="87"/>
      <c r="N33" s="87">
        <f>ROUND($D33*I33,2)</f>
        <v>0</v>
      </c>
      <c r="O33" s="87">
        <f>SUM(L33:N33)</f>
        <v>0</v>
      </c>
      <c r="P33" s="245">
        <f>'Rider Rates'!$D$7</f>
        <v>44531</v>
      </c>
    </row>
    <row r="34" spans="1:221" x14ac:dyDescent="0.25">
      <c r="A34" s="241" t="s">
        <v>237</v>
      </c>
      <c r="B34" s="78"/>
      <c r="C34" s="78"/>
      <c r="D34" s="208">
        <f>$N$25</f>
        <v>138.5</v>
      </c>
      <c r="E34" s="101" t="s">
        <v>122</v>
      </c>
      <c r="F34" s="102" t="s">
        <v>8</v>
      </c>
      <c r="G34" s="103"/>
      <c r="H34" s="103"/>
      <c r="I34" s="178">
        <f>'Rider Rates'!$B$18+'Rider Rates'!$E$18</f>
        <v>0</v>
      </c>
      <c r="J34" s="120">
        <f>SUM(H34:I34)</f>
        <v>0</v>
      </c>
      <c r="K34" s="104"/>
      <c r="L34" s="105"/>
      <c r="M34" s="105"/>
      <c r="N34" s="105">
        <f>ROUND($D$34*'Rider Rates'!$B$18,2)+ROUND($D$34*'Rider Rates'!$E$18,2)</f>
        <v>0</v>
      </c>
      <c r="O34" s="105">
        <f t="shared" ref="O34:O46" si="0">SUM(L34:N34)</f>
        <v>0</v>
      </c>
      <c r="P34" s="245">
        <f>MAX('Rider Rates'!$D$18,'Rider Rates'!$F$18)</f>
        <v>44531</v>
      </c>
    </row>
    <row r="35" spans="1:221" x14ac:dyDescent="0.25">
      <c r="A35" s="210" t="s">
        <v>186</v>
      </c>
      <c r="B35" s="78"/>
      <c r="C35" s="78"/>
      <c r="D35" s="100">
        <f>'Customer Info'!$B$21+'Customer Info'!$B$22-'Customer Info'!$B$23</f>
        <v>0</v>
      </c>
      <c r="E35" s="101" t="s">
        <v>41</v>
      </c>
      <c r="F35" s="102" t="s">
        <v>8</v>
      </c>
      <c r="G35" s="103">
        <f>'Rider Rates'!B24</f>
        <v>6.7849999999999994E-2</v>
      </c>
      <c r="H35" s="103"/>
      <c r="I35" s="103"/>
      <c r="J35" s="237">
        <f>SUM(G35:H35)</f>
        <v>6.7849999999999994E-2</v>
      </c>
      <c r="K35" s="104" t="s">
        <v>42</v>
      </c>
      <c r="L35" s="105">
        <f>ROUND(D35*G35,2)</f>
        <v>0</v>
      </c>
      <c r="M35" s="105"/>
      <c r="N35" s="105"/>
      <c r="O35" s="105">
        <f t="shared" si="0"/>
        <v>0</v>
      </c>
      <c r="P35" s="245">
        <f>'Rider Rates'!$D$23</f>
        <v>45444</v>
      </c>
    </row>
    <row r="36" spans="1:221" x14ac:dyDescent="0.25">
      <c r="A36" s="241" t="s">
        <v>161</v>
      </c>
      <c r="B36" s="78"/>
      <c r="C36" s="78"/>
      <c r="D36" s="100">
        <f>'Customer Info'!$B$21+'Customer Info'!$B$22-'Customer Info'!$B$23</f>
        <v>0</v>
      </c>
      <c r="E36" s="101" t="s">
        <v>41</v>
      </c>
      <c r="F36" s="102" t="s">
        <v>8</v>
      </c>
      <c r="G36" s="103">
        <f>'Rider Rates'!$B$37</f>
        <v>2.14E-3</v>
      </c>
      <c r="H36" s="103"/>
      <c r="I36" s="103"/>
      <c r="J36" s="237">
        <f>SUM(G36:H36)</f>
        <v>2.14E-3</v>
      </c>
      <c r="K36" s="104" t="s">
        <v>42</v>
      </c>
      <c r="L36" s="105">
        <f>ROUND(D36*G36,2)</f>
        <v>0</v>
      </c>
      <c r="M36" s="105"/>
      <c r="N36" s="105"/>
      <c r="O36" s="105">
        <f t="shared" si="0"/>
        <v>0</v>
      </c>
      <c r="P36" s="245">
        <f>'Rider Rates'!$D$37</f>
        <v>45444</v>
      </c>
    </row>
    <row r="37" spans="1:221" x14ac:dyDescent="0.25">
      <c r="A37" s="210" t="s">
        <v>193</v>
      </c>
      <c r="B37" s="78"/>
      <c r="C37" s="78"/>
      <c r="D37" s="100">
        <f>'Customer Info'!$B$21+'Customer Info'!$B$22-'Customer Info'!$B$23</f>
        <v>0</v>
      </c>
      <c r="E37" s="101" t="s">
        <v>41</v>
      </c>
      <c r="F37" s="102" t="s">
        <v>8</v>
      </c>
      <c r="G37" s="103">
        <f>'Rider Rates'!$B$45</f>
        <v>4.5009999999999999E-4</v>
      </c>
      <c r="H37" s="103"/>
      <c r="I37" s="103"/>
      <c r="J37" s="237">
        <f>SUM(G37:H37)</f>
        <v>4.5009999999999999E-4</v>
      </c>
      <c r="K37" s="104" t="s">
        <v>42</v>
      </c>
      <c r="L37" s="105">
        <f>ROUND(D37*G37,2)</f>
        <v>0</v>
      </c>
      <c r="M37" s="105"/>
      <c r="N37" s="105"/>
      <c r="O37" s="105">
        <f t="shared" si="0"/>
        <v>0</v>
      </c>
      <c r="P37" s="245">
        <f>'Rider Rates'!$D$45</f>
        <v>45657</v>
      </c>
    </row>
    <row r="38" spans="1:221" x14ac:dyDescent="0.25">
      <c r="A38" s="241" t="s">
        <v>210</v>
      </c>
      <c r="B38" s="78"/>
      <c r="C38" s="78"/>
      <c r="D38" s="100">
        <f>'Customer Info'!$B$21+'Customer Info'!$B$22-'Customer Info'!$B$23</f>
        <v>0</v>
      </c>
      <c r="E38" s="101" t="s">
        <v>41</v>
      </c>
      <c r="F38" s="102" t="s">
        <v>8</v>
      </c>
      <c r="G38" s="103"/>
      <c r="H38" s="103"/>
      <c r="I38" s="103">
        <f>'Rider Rates'!D49</f>
        <v>1.8006999999999999E-3</v>
      </c>
      <c r="J38" s="103">
        <f>SUM(G38:I38)</f>
        <v>1.8006999999999999E-3</v>
      </c>
      <c r="K38" s="104" t="s">
        <v>42</v>
      </c>
      <c r="L38" s="105"/>
      <c r="M38" s="105"/>
      <c r="N38" s="87">
        <f>D38*J38</f>
        <v>0</v>
      </c>
      <c r="O38" s="105">
        <f t="shared" si="0"/>
        <v>0</v>
      </c>
      <c r="P38" s="245">
        <f>'Rider Rates'!E49</f>
        <v>45658</v>
      </c>
    </row>
    <row r="39" spans="1:221" x14ac:dyDescent="0.25">
      <c r="A39" s="210" t="s">
        <v>189</v>
      </c>
      <c r="B39" s="78"/>
      <c r="C39" s="78"/>
      <c r="D39" s="1">
        <f>IF($C$16&lt;0,0,$C$16)</f>
        <v>0</v>
      </c>
      <c r="E39" s="113" t="s">
        <v>41</v>
      </c>
      <c r="F39" s="102" t="s">
        <v>8</v>
      </c>
      <c r="G39" s="103"/>
      <c r="H39" s="103">
        <f>'Rider Rates'!G56</f>
        <v>3.2698999999999999E-2</v>
      </c>
      <c r="I39" s="103"/>
      <c r="J39" s="103">
        <f>SUM(G39:I39)</f>
        <v>3.2698999999999999E-2</v>
      </c>
      <c r="K39" s="104" t="s">
        <v>42</v>
      </c>
      <c r="L39" s="105"/>
      <c r="M39" s="105">
        <f>ROUND(D39*H39,2)</f>
        <v>0</v>
      </c>
      <c r="N39" s="205"/>
      <c r="O39" s="105">
        <f t="shared" si="0"/>
        <v>0</v>
      </c>
      <c r="P39" s="245">
        <f>'Rider Rates'!H56</f>
        <v>45383</v>
      </c>
    </row>
    <row r="40" spans="1:221" x14ac:dyDescent="0.25">
      <c r="A40" s="99" t="s">
        <v>83</v>
      </c>
      <c r="B40" s="78"/>
      <c r="C40" s="78"/>
      <c r="D40" s="1">
        <f>IF('Customer Info'!C34=TRUE,0,IF($C$16&lt;0,0,$C$16))</f>
        <v>0</v>
      </c>
      <c r="E40" s="101" t="s">
        <v>41</v>
      </c>
      <c r="F40" s="102" t="s">
        <v>8</v>
      </c>
      <c r="G40" s="103"/>
      <c r="H40" s="103"/>
      <c r="I40" s="103">
        <f>'Rider Rates'!$B$71+'Rider Rates'!$C$71</f>
        <v>0</v>
      </c>
      <c r="J40" s="103">
        <f>SUM(G40:I40)</f>
        <v>0</v>
      </c>
      <c r="K40" s="104" t="s">
        <v>42</v>
      </c>
      <c r="L40" s="105"/>
      <c r="M40" s="105"/>
      <c r="N40" s="87">
        <f>ROUND($D$40*'Rider Rates'!$B$71,2)+ROUND($D$40*'Rider Rates'!$C$71,2)</f>
        <v>0</v>
      </c>
      <c r="O40" s="209">
        <f t="shared" si="0"/>
        <v>0</v>
      </c>
      <c r="P40" s="245">
        <f>'Rider Rates'!$D$71</f>
        <v>45444</v>
      </c>
      <c r="Q40" s="107"/>
      <c r="R40" s="108"/>
      <c r="S40" s="109"/>
      <c r="T40" s="78"/>
      <c r="U40" s="110"/>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row>
    <row r="41" spans="1:221" x14ac:dyDescent="0.25">
      <c r="A41" s="99" t="s">
        <v>81</v>
      </c>
      <c r="B41" s="78"/>
      <c r="C41" s="78"/>
      <c r="D41" s="208">
        <f>$N$25</f>
        <v>138.5</v>
      </c>
      <c r="E41" s="101" t="s">
        <v>122</v>
      </c>
      <c r="F41" s="102" t="s">
        <v>8</v>
      </c>
      <c r="G41" s="111"/>
      <c r="H41" s="112"/>
      <c r="I41" s="120">
        <f>'Rider Rates'!$B$85</f>
        <v>4.94232E-2</v>
      </c>
      <c r="J41" s="120">
        <f>SUM(H41:I41)</f>
        <v>4.94232E-2</v>
      </c>
      <c r="K41" s="104"/>
      <c r="L41" s="105"/>
      <c r="M41" s="105"/>
      <c r="N41" s="105">
        <f>ROUND(N$25*I41,2)</f>
        <v>6.85</v>
      </c>
      <c r="O41" s="209">
        <f t="shared" si="0"/>
        <v>6.85</v>
      </c>
      <c r="P41" s="245">
        <f>'Rider Rates'!$D$85</f>
        <v>45562</v>
      </c>
      <c r="Q41" s="107"/>
      <c r="R41" s="108"/>
      <c r="S41" s="109"/>
      <c r="T41" s="78"/>
      <c r="U41" s="110"/>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row>
    <row r="42" spans="1:221" x14ac:dyDescent="0.25">
      <c r="A42" s="99" t="s">
        <v>82</v>
      </c>
      <c r="B42" s="78"/>
      <c r="C42" s="78"/>
      <c r="D42" s="208">
        <f>$N$25</f>
        <v>138.5</v>
      </c>
      <c r="E42" s="101" t="s">
        <v>122</v>
      </c>
      <c r="F42" s="102" t="s">
        <v>8</v>
      </c>
      <c r="G42" s="114"/>
      <c r="H42" s="115"/>
      <c r="I42" s="120">
        <f>'Rider Rates'!$B$87</f>
        <v>6.6985699999999995E-2</v>
      </c>
      <c r="J42" s="120">
        <f>SUM(H42:I42)</f>
        <v>6.6985699999999995E-2</v>
      </c>
      <c r="K42" s="104"/>
      <c r="L42" s="105"/>
      <c r="M42" s="105"/>
      <c r="N42" s="105">
        <f>ROUND(N$25*I42,2)</f>
        <v>9.2799999999999994</v>
      </c>
      <c r="O42" s="209">
        <f t="shared" si="0"/>
        <v>9.2799999999999994</v>
      </c>
      <c r="P42" s="245">
        <f>'Rider Rates'!$D$87</f>
        <v>45167</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210" t="s">
        <v>206</v>
      </c>
      <c r="B43" s="78"/>
      <c r="C43" s="78"/>
      <c r="D43" s="195"/>
      <c r="E43" s="113" t="s">
        <v>115</v>
      </c>
      <c r="F43" s="106"/>
      <c r="G43" s="114"/>
      <c r="H43" s="115"/>
      <c r="I43" s="196">
        <f>'Rider Rates'!$B$91</f>
        <v>17.53</v>
      </c>
      <c r="J43" s="196">
        <f>SUM(G43:I43)</f>
        <v>17.53</v>
      </c>
      <c r="K43" s="104"/>
      <c r="L43" s="105"/>
      <c r="M43" s="105"/>
      <c r="N43" s="105">
        <f>I43</f>
        <v>17.53</v>
      </c>
      <c r="O43" s="105">
        <f>SUM(L43:N43)</f>
        <v>17.53</v>
      </c>
      <c r="P43" s="245">
        <f>'Rider Rates'!$D$91</f>
        <v>45657</v>
      </c>
    </row>
    <row r="44" spans="1:221" x14ac:dyDescent="0.25">
      <c r="A44" s="241" t="s">
        <v>251</v>
      </c>
      <c r="B44" s="78"/>
      <c r="C44" s="78"/>
      <c r="D44" s="1">
        <f>$D$29</f>
        <v>0</v>
      </c>
      <c r="E44" s="101" t="s">
        <v>41</v>
      </c>
      <c r="F44" s="102" t="s">
        <v>8</v>
      </c>
      <c r="G44" s="103"/>
      <c r="H44" s="103"/>
      <c r="I44" s="103"/>
      <c r="J44" s="103">
        <f>'Rider Rates'!$B$96</f>
        <v>0</v>
      </c>
      <c r="K44" s="104" t="s">
        <v>42</v>
      </c>
      <c r="L44" s="105"/>
      <c r="M44" s="105"/>
      <c r="N44" s="87"/>
      <c r="O44" s="105">
        <f>ROUND($D44*('Rider Rates'!B$96),2)</f>
        <v>0</v>
      </c>
      <c r="P44" s="245">
        <f>'Rider Rates'!$D$96</f>
        <v>44531</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252</v>
      </c>
      <c r="B45" s="78"/>
      <c r="C45" s="78"/>
      <c r="D45" s="1">
        <f>$D$30</f>
        <v>0</v>
      </c>
      <c r="E45" s="101" t="s">
        <v>41</v>
      </c>
      <c r="F45" s="102" t="s">
        <v>8</v>
      </c>
      <c r="G45" s="103"/>
      <c r="H45" s="103"/>
      <c r="I45" s="103"/>
      <c r="J45" s="103">
        <f>'Rider Rates'!$B$97</f>
        <v>0</v>
      </c>
      <c r="K45" s="104" t="s">
        <v>42</v>
      </c>
      <c r="L45" s="105"/>
      <c r="M45" s="105"/>
      <c r="N45" s="87"/>
      <c r="O45" s="105">
        <f>ROUND($D45*('Rider Rates'!B$97),2)</f>
        <v>0</v>
      </c>
      <c r="P45" s="245">
        <f>'Rider Rates'!$D$97</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208">
        <f>$N$25</f>
        <v>138.5</v>
      </c>
      <c r="E46" s="101" t="s">
        <v>122</v>
      </c>
      <c r="F46" s="102" t="s">
        <v>8</v>
      </c>
      <c r="G46" s="114"/>
      <c r="H46" s="115"/>
      <c r="I46" s="120">
        <f>'Rider Rates'!$B$105</f>
        <v>0.2363101</v>
      </c>
      <c r="J46" s="120">
        <f>SUM(H46:I46)</f>
        <v>0.2363101</v>
      </c>
      <c r="K46" s="104"/>
      <c r="L46" s="105"/>
      <c r="M46" s="105"/>
      <c r="N46" s="105">
        <f>ROUND(N$25*I46,2)</f>
        <v>32.729999999999997</v>
      </c>
      <c r="O46" s="105">
        <f t="shared" si="0"/>
        <v>32.729999999999997</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Rates'!$B$109</f>
        <v>0</v>
      </c>
      <c r="J47" s="196">
        <f>SUM(G47:I47)</f>
        <v>0</v>
      </c>
      <c r="K47" s="104"/>
      <c r="L47" s="105"/>
      <c r="M47" s="105"/>
      <c r="N47" s="105">
        <f>I47</f>
        <v>0</v>
      </c>
      <c r="O47" s="105">
        <f t="shared" ref="O47:O52" si="1">SUM(L47:N47)</f>
        <v>0</v>
      </c>
      <c r="P47" s="245">
        <f>'Rider Rates'!$D$109</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Rates'!B122</f>
        <v>4.84</v>
      </c>
      <c r="J48" s="196">
        <f>SUM(G48:I48)</f>
        <v>4.84</v>
      </c>
      <c r="K48" s="104"/>
      <c r="L48" s="105"/>
      <c r="M48" s="105"/>
      <c r="N48" s="260">
        <f>I48</f>
        <v>4.84</v>
      </c>
      <c r="O48" s="105">
        <f t="shared" si="1"/>
        <v>4.84</v>
      </c>
      <c r="P48" s="245">
        <f>'Rider Rates'!D122</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99" t="s">
        <v>157</v>
      </c>
      <c r="B49" s="78"/>
      <c r="C49" s="78"/>
      <c r="D49" s="100">
        <f>'Customer Info'!$B$21+'Customer Info'!$B$22-'Customer Info'!$B$23</f>
        <v>0</v>
      </c>
      <c r="E49" s="101" t="s">
        <v>41</v>
      </c>
      <c r="F49" s="102" t="s">
        <v>8</v>
      </c>
      <c r="G49" s="103">
        <f>'Rider Rates'!$B$113</f>
        <v>3.7618E-3</v>
      </c>
      <c r="H49" s="103"/>
      <c r="I49" s="120"/>
      <c r="J49" s="237">
        <f>SUM(G49:H49)</f>
        <v>3.7618E-3</v>
      </c>
      <c r="K49" s="104" t="s">
        <v>42</v>
      </c>
      <c r="L49" s="105">
        <f>ROUND(D49*G49,2)</f>
        <v>0</v>
      </c>
      <c r="M49" s="105"/>
      <c r="N49" s="105"/>
      <c r="O49" s="105">
        <f t="shared" si="1"/>
        <v>0</v>
      </c>
      <c r="P49" s="245">
        <f>'Rider Rates'!$D$113</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SUM(G50:I50)</f>
        <v>0</v>
      </c>
      <c r="K50" s="104" t="s">
        <v>42</v>
      </c>
      <c r="L50" s="105"/>
      <c r="M50" s="105"/>
      <c r="N50" s="105">
        <f>D50*I50</f>
        <v>0</v>
      </c>
      <c r="O50" s="105">
        <f t="shared" si="1"/>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Rates'!$B$126</f>
        <v>2.9050000000000001E-4</v>
      </c>
      <c r="J51" s="265">
        <f>SUM(G51:I51)</f>
        <v>2.9050000000000001E-4</v>
      </c>
      <c r="K51" s="104" t="s">
        <v>42</v>
      </c>
      <c r="L51" s="266"/>
      <c r="M51" s="266"/>
      <c r="N51" s="266">
        <f>IF(D51*J51&gt;'Rider Rates'!$C$126,'Rider Rates'!$C$126,D51*J51)</f>
        <v>0</v>
      </c>
      <c r="O51" s="266">
        <f t="shared" si="1"/>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Rates'!$B$127</f>
        <v>0</v>
      </c>
      <c r="J52" s="265">
        <f>SUM(G52:I52)</f>
        <v>0</v>
      </c>
      <c r="K52" s="104" t="s">
        <v>42</v>
      </c>
      <c r="L52" s="266"/>
      <c r="M52" s="266"/>
      <c r="N52" s="266">
        <f>D52*J52</f>
        <v>0</v>
      </c>
      <c r="O52" s="266">
        <f t="shared" si="1"/>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Rates'!$B$133</f>
        <v>0</v>
      </c>
      <c r="J53" s="237">
        <f>SUM(G53:I53)</f>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Rates'!$B$138</f>
        <v>0</v>
      </c>
      <c r="J54" s="263">
        <f>SUM(G54:I54)</f>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71</v>
      </c>
      <c r="B56" s="148"/>
      <c r="C56" s="148"/>
      <c r="D56" s="180"/>
      <c r="E56" s="181"/>
      <c r="F56" s="182"/>
      <c r="G56" s="182"/>
      <c r="H56" s="182"/>
      <c r="I56" s="182"/>
      <c r="J56" s="182"/>
      <c r="K56" s="183"/>
      <c r="L56" s="169">
        <f>SUM(L29:L55)</f>
        <v>0</v>
      </c>
      <c r="M56" s="169">
        <f t="shared" ref="M56:O56" si="2">SUM(M29:M55)</f>
        <v>0</v>
      </c>
      <c r="N56" s="169">
        <f t="shared" si="2"/>
        <v>71.22999999999999</v>
      </c>
      <c r="O56" s="169">
        <f t="shared" si="2"/>
        <v>71.22999999999999</v>
      </c>
      <c r="P56" s="184"/>
    </row>
    <row r="57" spans="1:221" x14ac:dyDescent="0.25">
      <c r="A57" s="37"/>
      <c r="D57" s="1"/>
      <c r="E57" s="35"/>
      <c r="F57" s="4"/>
      <c r="G57" s="42"/>
      <c r="H57" s="42"/>
      <c r="I57" s="42"/>
      <c r="J57" s="42"/>
      <c r="K57" s="36"/>
      <c r="L57" s="36"/>
      <c r="M57" s="36"/>
      <c r="N57" s="36"/>
      <c r="O57" s="34"/>
      <c r="P57" s="36"/>
    </row>
    <row r="58" spans="1:221" x14ac:dyDescent="0.25">
      <c r="A58" s="269" t="s">
        <v>72</v>
      </c>
      <c r="B58" s="92"/>
      <c r="C58" s="92"/>
      <c r="D58" s="92"/>
      <c r="E58" s="92"/>
      <c r="F58" s="92"/>
      <c r="G58" s="92"/>
      <c r="H58" s="92"/>
      <c r="I58" s="92"/>
      <c r="J58" s="92"/>
      <c r="K58" s="92"/>
      <c r="L58" s="98">
        <f>L25+L56</f>
        <v>0</v>
      </c>
      <c r="M58" s="98">
        <f>M25+M56</f>
        <v>0</v>
      </c>
      <c r="N58" s="98">
        <f>N25+N56</f>
        <v>209.73</v>
      </c>
      <c r="O58" s="98">
        <f>O25+O56</f>
        <v>209.73</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O23+O56</f>
        <v>209.73</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117</v>
      </c>
      <c r="B62" s="37"/>
      <c r="C62" s="37"/>
      <c r="D62" s="37"/>
      <c r="E62" s="37"/>
      <c r="F62" s="37"/>
      <c r="G62" s="46"/>
      <c r="H62" s="46"/>
      <c r="I62" s="46"/>
      <c r="J62" s="46"/>
      <c r="K62" s="36"/>
      <c r="L62" s="36"/>
      <c r="M62" s="36"/>
      <c r="N62" s="36"/>
      <c r="O62" s="138">
        <f>MAX($O$58,$O$60)</f>
        <v>209.73</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86</v>
      </c>
      <c r="H64" s="46"/>
      <c r="I64" s="37"/>
      <c r="J64" s="46"/>
      <c r="K64" s="36"/>
      <c r="L64" s="191"/>
      <c r="M64" s="191"/>
      <c r="N64" s="191"/>
      <c r="O64" s="191">
        <f>ROUND(IF($C$16&lt;1,0,$O$62/($C$16*100)*10000),2)</f>
        <v>0</v>
      </c>
      <c r="P64" s="37" t="s">
        <v>87</v>
      </c>
    </row>
    <row r="65" spans="1:16" x14ac:dyDescent="0.25">
      <c r="A65" s="37"/>
      <c r="B65" s="37"/>
      <c r="C65" s="37"/>
      <c r="D65" s="37"/>
      <c r="E65" s="37"/>
      <c r="F65" s="37"/>
      <c r="G65" s="242" t="s">
        <v>190</v>
      </c>
      <c r="H65" s="136"/>
      <c r="I65" s="133"/>
      <c r="J65" s="136"/>
      <c r="K65" s="137"/>
      <c r="L65" s="78"/>
      <c r="M65" s="78"/>
      <c r="N65" s="78"/>
      <c r="O65" s="243">
        <f>ROUND(IF($C$16&lt;1,0,(L58)/($C$16*100)*10000),2)</f>
        <v>0</v>
      </c>
      <c r="P65" s="25" t="s">
        <v>87</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477"/>
    </row>
    <row r="75" spans="1:16" x14ac:dyDescent="0.25">
      <c r="A75" s="477"/>
    </row>
    <row r="76" spans="1:16" x14ac:dyDescent="0.25">
      <c r="A76" s="477"/>
    </row>
    <row r="77" spans="1:16" x14ac:dyDescent="0.25">
      <c r="A77" s="477"/>
    </row>
    <row r="78" spans="1:16" x14ac:dyDescent="0.25">
      <c r="A78" s="477"/>
    </row>
    <row r="79" spans="1:16" x14ac:dyDescent="0.25">
      <c r="A79" s="477"/>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sheetData>
  <sheetProtection password="D7E1" sheet="1" objects="1" scenarios="1"/>
  <mergeCells count="26">
    <mergeCell ref="A74:A88"/>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4209"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94210" r:id="rId5" name="Button 2">
              <controlPr defaultSize="0" print="0" autoFill="0" autoPict="0" macro="[0]!Info">
                <anchor moveWithCells="1">
                  <from>
                    <xdr:col>15</xdr:col>
                    <xdr:colOff>411480</xdr:colOff>
                    <xdr:row>82</xdr:row>
                    <xdr:rowOff>76200</xdr:rowOff>
                  </from>
                  <to>
                    <xdr:col>16</xdr:col>
                    <xdr:colOff>38100</xdr:colOff>
                    <xdr:row>83</xdr:row>
                    <xdr:rowOff>144780</xdr:rowOff>
                  </to>
                </anchor>
              </controlPr>
            </control>
          </mc:Choice>
        </mc:AlternateContent>
        <mc:AlternateContent xmlns:mc="http://schemas.openxmlformats.org/markup-compatibility/2006">
          <mc:Choice Requires="x14">
            <control shapeId="94211"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4212"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4213"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4214"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94215"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4216"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4217"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4218"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94219"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4220"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4221"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4222"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94223"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4224"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4225"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4226"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94227"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4228"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4229"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4230"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94231"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4232"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4233"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4234"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94235"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4236"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4237"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4238"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94239"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4240"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4241"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4242"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94243"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4244"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4245"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4246"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94247"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4248"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4249"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4250"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94251"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4252"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4253"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4254"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94255"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4256"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4257"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4258"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94259"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4260"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4261"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4262"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94263"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4264"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4265"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94266"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2ED4F-97D5-4E66-B99A-0DCE89F3FEDD}">
  <sheetPr codeName="Sheet10"/>
  <dimension ref="A1:IB66"/>
  <sheetViews>
    <sheetView topLeftCell="A11" zoomScale="85" zoomScaleNormal="85" workbookViewId="0">
      <selection activeCell="G42" sqref="G42"/>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325</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326</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ht="14.4" customHeight="1"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357" t="s">
        <v>65</v>
      </c>
      <c r="M20" s="357" t="s">
        <v>66</v>
      </c>
      <c r="N20" s="357" t="s">
        <v>67</v>
      </c>
      <c r="O20" s="357" t="s">
        <v>34</v>
      </c>
      <c r="P20" s="358" t="s">
        <v>57</v>
      </c>
    </row>
    <row r="21" spans="1:221" x14ac:dyDescent="0.25">
      <c r="A21" s="332" t="s">
        <v>32</v>
      </c>
      <c r="G21" s="432"/>
      <c r="H21" s="432"/>
      <c r="I21" s="432">
        <f>'Rider Rates'!B144</f>
        <v>9.4</v>
      </c>
      <c r="J21" s="432">
        <f>SUM(G21:I21)</f>
        <v>9.4</v>
      </c>
      <c r="L21" s="433"/>
      <c r="M21" s="433"/>
      <c r="N21" s="433">
        <f>I21</f>
        <v>9.4</v>
      </c>
      <c r="O21" s="408">
        <f>SUM(L21:N21)</f>
        <v>9.4</v>
      </c>
      <c r="P21" s="361">
        <v>44531</v>
      </c>
    </row>
    <row r="22" spans="1:221" x14ac:dyDescent="0.25">
      <c r="A22" s="434" t="s">
        <v>132</v>
      </c>
      <c r="D22" s="363">
        <f>C15</f>
        <v>0</v>
      </c>
      <c r="E22" s="364" t="s">
        <v>41</v>
      </c>
      <c r="F22" s="365" t="s">
        <v>8</v>
      </c>
      <c r="G22" s="407"/>
      <c r="H22" s="407"/>
      <c r="I22" s="407">
        <f>'Rider Rates'!C144</f>
        <v>2.0634799999999998E-2</v>
      </c>
      <c r="J22" s="407">
        <f>SUM(G22:I22)</f>
        <v>2.0634799999999998E-2</v>
      </c>
      <c r="K22" s="367" t="s">
        <v>42</v>
      </c>
      <c r="L22" s="408"/>
      <c r="M22" s="408"/>
      <c r="N22" s="408">
        <f>IF(C15&lt;0,0,ROUND($D22*I22,2))</f>
        <v>0</v>
      </c>
      <c r="O22" s="408">
        <f>SUM(L22:N22)</f>
        <v>0</v>
      </c>
      <c r="P22" s="361">
        <f>'Rider Rates'!H145</f>
        <v>45444</v>
      </c>
    </row>
    <row r="23" spans="1:221" x14ac:dyDescent="0.25">
      <c r="A23" s="370" t="s">
        <v>50</v>
      </c>
      <c r="B23" s="370"/>
      <c r="C23" s="370"/>
      <c r="D23" s="371"/>
      <c r="E23" s="371"/>
      <c r="F23" s="370"/>
      <c r="G23" s="370"/>
      <c r="H23" s="370"/>
      <c r="I23" s="370"/>
      <c r="J23" s="370"/>
      <c r="K23" s="373"/>
      <c r="L23" s="372"/>
      <c r="M23" s="372"/>
      <c r="N23" s="372">
        <f>SUM(N21:N22)</f>
        <v>9.4</v>
      </c>
      <c r="O23" s="372">
        <f>SUM(O21:O22)</f>
        <v>9.4</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9.4</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100">
        <f>'Customer Info'!$B$21+'Customer Info'!$B$22-'Customer Info'!$B$23</f>
        <v>0</v>
      </c>
      <c r="E34" s="364" t="s">
        <v>41</v>
      </c>
      <c r="F34" s="365" t="s">
        <v>8</v>
      </c>
      <c r="G34" s="389">
        <f>'Rider Rates'!B22</f>
        <v>7.0209999999999995E-2</v>
      </c>
      <c r="H34" s="389"/>
      <c r="I34" s="389"/>
      <c r="J34" s="396">
        <f>SUM(G34:H34)</f>
        <v>7.0209999999999995E-2</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C16</f>
        <v>0</v>
      </c>
      <c r="E35" s="364" t="s">
        <v>41</v>
      </c>
      <c r="F35" s="365" t="s">
        <v>8</v>
      </c>
      <c r="G35" s="389">
        <f>'Rider Rates'!B41</f>
        <v>3.0709000000000001E-3</v>
      </c>
      <c r="H35" s="389"/>
      <c r="I35" s="389"/>
      <c r="J35" s="396">
        <f>SUM(G35:H35)</f>
        <v>3.0709000000000001E-3</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C17</f>
        <v>0</v>
      </c>
      <c r="E36" s="364" t="s">
        <v>41</v>
      </c>
      <c r="F36" s="358" t="s">
        <v>8</v>
      </c>
      <c r="G36" s="389">
        <f>'Rider Rates'!C41</f>
        <v>1.325E-3</v>
      </c>
      <c r="H36" s="389"/>
      <c r="I36" s="389"/>
      <c r="J36" s="396">
        <f>SUM(G36:H36)</f>
        <v>1.325E-3</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f>'Rider Rates'!$B$45</f>
        <v>4.5009999999999999E-4</v>
      </c>
      <c r="H37" s="389"/>
      <c r="I37" s="389"/>
      <c r="J37" s="396">
        <f>SUM(G37:H37)</f>
        <v>4.5009999999999999E-4</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439">
        <f>$N$23</f>
        <v>9.4</v>
      </c>
      <c r="E42" s="364" t="s">
        <v>122</v>
      </c>
      <c r="F42" s="365" t="s">
        <v>8</v>
      </c>
      <c r="G42" s="400"/>
      <c r="H42" s="356"/>
      <c r="I42" s="401">
        <f>'Rider Rates'!$B$85</f>
        <v>4.94232E-2</v>
      </c>
      <c r="J42" s="401">
        <f t="shared" si="0"/>
        <v>4.94232E-2</v>
      </c>
      <c r="K42" s="367"/>
      <c r="L42" s="250"/>
      <c r="M42" s="250"/>
      <c r="N42" s="250">
        <f>ROUND(D42*I42,2)</f>
        <v>0.46</v>
      </c>
      <c r="O42" s="250">
        <f t="shared" si="2"/>
        <v>0.46</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9.4</v>
      </c>
      <c r="E43" s="364" t="s">
        <v>122</v>
      </c>
      <c r="F43" s="365" t="s">
        <v>8</v>
      </c>
      <c r="G43" s="402"/>
      <c r="H43" s="356"/>
      <c r="I43" s="401">
        <f>'Rider Rates'!$B$87</f>
        <v>6.6985699999999995E-2</v>
      </c>
      <c r="J43" s="401">
        <f t="shared" si="0"/>
        <v>6.6985699999999995E-2</v>
      </c>
      <c r="K43" s="367"/>
      <c r="L43" s="250"/>
      <c r="M43" s="250"/>
      <c r="N43" s="250">
        <f>ROUND(D43*I43,2)</f>
        <v>0.63</v>
      </c>
      <c r="O43" s="250">
        <f t="shared" si="2"/>
        <v>0.63</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9.4</v>
      </c>
      <c r="E46" s="364" t="s">
        <v>122</v>
      </c>
      <c r="F46" s="365" t="s">
        <v>8</v>
      </c>
      <c r="G46" s="402"/>
      <c r="H46" s="356"/>
      <c r="I46" s="401">
        <f>'Rider Rates'!$B$105</f>
        <v>0.2363101</v>
      </c>
      <c r="J46" s="401">
        <f t="shared" si="0"/>
        <v>0.2363101</v>
      </c>
      <c r="K46" s="367"/>
      <c r="L46" s="250"/>
      <c r="M46" s="250"/>
      <c r="N46" s="250">
        <f>ROUND(D46*I46,2)</f>
        <v>2.2200000000000002</v>
      </c>
      <c r="O46" s="250">
        <f t="shared" si="2"/>
        <v>2.2200000000000002</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f>'Rider Rates'!$B$112</f>
        <v>3.8972999999999998E-3</v>
      </c>
      <c r="H49" s="389"/>
      <c r="I49" s="401"/>
      <c r="J49" s="396">
        <f>SUM(G49:H49)</f>
        <v>3.8972999999999998E-3</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3">SUM(M27:M55)</f>
        <v>0</v>
      </c>
      <c r="N56" s="415">
        <f t="shared" si="3"/>
        <v>25.68</v>
      </c>
      <c r="O56" s="415">
        <f t="shared" si="3"/>
        <v>25.68</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2" t="s">
        <v>94</v>
      </c>
      <c r="B58" s="380"/>
      <c r="C58" s="380"/>
      <c r="D58" s="380"/>
      <c r="E58" s="380"/>
      <c r="F58" s="380"/>
      <c r="G58" s="380"/>
      <c r="H58" s="380"/>
      <c r="I58" s="380"/>
      <c r="J58" s="380"/>
      <c r="K58" s="380"/>
      <c r="L58" s="419">
        <f>L23+L56</f>
        <v>0</v>
      </c>
      <c r="M58" s="419">
        <f>M23+M56</f>
        <v>0</v>
      </c>
      <c r="N58" s="419">
        <f>N23+N56</f>
        <v>35.08</v>
      </c>
      <c r="O58" s="420">
        <f>O23+O56</f>
        <v>35.08</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35.08</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35.08</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QjyIjHUnq2vHLU+NNzifEyv9WRm5mlqLhZPROWeJI8BMub8tnZyfieU1QPKcpQVC8ik9AusUtpm78i41+Xqsiw==" saltValue="yLVmBH3MaUo0TvT7gIrhW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5409" r:id="rId3" name="Button 1">
              <controlPr defaultSize="0" print="0" autoFill="0" autoPict="0" macro="[0]!Info">
                <anchor moveWithCells="1">
                  <from>
                    <xdr:col>0</xdr:col>
                    <xdr:colOff>68580</xdr:colOff>
                    <xdr:row>0</xdr:row>
                    <xdr:rowOff>38100</xdr:rowOff>
                  </from>
                  <to>
                    <xdr:col>0</xdr:col>
                    <xdr:colOff>571500</xdr:colOff>
                    <xdr:row>1</xdr:row>
                    <xdr:rowOff>83820</xdr:rowOff>
                  </to>
                </anchor>
              </controlPr>
            </control>
          </mc:Choice>
        </mc:AlternateContent>
        <mc:AlternateContent xmlns:mc="http://schemas.openxmlformats.org/markup-compatibility/2006">
          <mc:Choice Requires="x14">
            <control shapeId="145410"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45411" r:id="rId5" name="Button 3">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45412" r:id="rId6" name="Button 4">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45413" r:id="rId7" name="Button 5">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45414" r:id="rId8" name="Button 6">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5B5CE-CAC8-4267-8438-3A926DEA98BC}">
  <sheetPr codeName="Sheet11"/>
  <dimension ref="A1:IB66"/>
  <sheetViews>
    <sheetView topLeftCell="A18" zoomScale="85" zoomScaleNormal="85" workbookViewId="0">
      <selection activeCell="H59" sqref="H59"/>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329</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327</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357" t="s">
        <v>65</v>
      </c>
      <c r="M20" s="357" t="s">
        <v>66</v>
      </c>
      <c r="N20" s="357" t="s">
        <v>67</v>
      </c>
      <c r="O20" s="357" t="s">
        <v>34</v>
      </c>
      <c r="P20" s="358" t="s">
        <v>57</v>
      </c>
    </row>
    <row r="21" spans="1:221" x14ac:dyDescent="0.25">
      <c r="A21" s="332" t="s">
        <v>32</v>
      </c>
      <c r="G21" s="432"/>
      <c r="H21" s="432"/>
      <c r="I21" s="432">
        <f>'Rider Rates'!B145</f>
        <v>138.5</v>
      </c>
      <c r="J21" s="432">
        <f>SUM(G21:I21)</f>
        <v>138.5</v>
      </c>
      <c r="L21" s="433"/>
      <c r="M21" s="433"/>
      <c r="N21" s="433">
        <f>I21</f>
        <v>138.5</v>
      </c>
      <c r="O21" s="408">
        <f>SUM(L21:N21)</f>
        <v>138.5</v>
      </c>
      <c r="P21" s="361">
        <v>44531</v>
      </c>
    </row>
    <row r="22" spans="1:221" x14ac:dyDescent="0.25">
      <c r="A22" s="434" t="s">
        <v>132</v>
      </c>
      <c r="D22" s="363">
        <f>C15</f>
        <v>0</v>
      </c>
      <c r="E22" s="364" t="s">
        <v>41</v>
      </c>
      <c r="F22" s="365" t="s">
        <v>8</v>
      </c>
      <c r="G22" s="407"/>
      <c r="H22" s="407"/>
      <c r="I22" s="445">
        <f>'Rider Rates'!C145</f>
        <v>1.3832199999999999E-2</v>
      </c>
      <c r="J22" s="407">
        <f>SUM(G22:I22)</f>
        <v>1.3832199999999999E-2</v>
      </c>
      <c r="K22" s="367" t="s">
        <v>42</v>
      </c>
      <c r="L22" s="408"/>
      <c r="M22" s="408"/>
      <c r="N22" s="408">
        <f>IF(C15&lt;0,0,ROUND($D22*I22,2))</f>
        <v>0</v>
      </c>
      <c r="O22" s="408">
        <f>SUM(L22:N22)</f>
        <v>0</v>
      </c>
      <c r="P22" s="361">
        <f>'Rider Rates'!H145</f>
        <v>45444</v>
      </c>
    </row>
    <row r="23" spans="1:221" x14ac:dyDescent="0.25">
      <c r="A23" s="370" t="s">
        <v>50</v>
      </c>
      <c r="B23" s="370"/>
      <c r="C23" s="370"/>
      <c r="D23" s="371"/>
      <c r="E23" s="371"/>
      <c r="F23" s="370"/>
      <c r="G23" s="370"/>
      <c r="H23" s="370"/>
      <c r="I23" s="370"/>
      <c r="J23" s="370"/>
      <c r="K23" s="373"/>
      <c r="L23" s="372"/>
      <c r="M23" s="372"/>
      <c r="N23" s="372">
        <f>SUM(N21:N22)</f>
        <v>138.5</v>
      </c>
      <c r="O23" s="372">
        <f>SUM(O21:O22)</f>
        <v>138.5</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138.5</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363">
        <f>C15</f>
        <v>0</v>
      </c>
      <c r="E34" s="364" t="s">
        <v>41</v>
      </c>
      <c r="F34" s="365" t="s">
        <v>8</v>
      </c>
      <c r="G34" s="389">
        <f>'Rider Rates'!B24</f>
        <v>6.7849999999999994E-2</v>
      </c>
      <c r="H34" s="389"/>
      <c r="I34" s="389"/>
      <c r="J34" s="396">
        <f>SUM(G34:H34)</f>
        <v>6.7849999999999994E-2</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 t="shared" ref="D35:D36" si="3">C16</f>
        <v>0</v>
      </c>
      <c r="E35" s="364" t="s">
        <v>41</v>
      </c>
      <c r="F35" s="365" t="s">
        <v>8</v>
      </c>
      <c r="G35" s="389">
        <f>'Rider Rates'!B42</f>
        <v>2.5335000000000002E-3</v>
      </c>
      <c r="H35" s="389"/>
      <c r="I35" s="389"/>
      <c r="J35" s="396">
        <f>SUM(G35:H35)</f>
        <v>2.5335000000000002E-3</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 t="shared" si="3"/>
        <v>0</v>
      </c>
      <c r="E36" s="364" t="s">
        <v>41</v>
      </c>
      <c r="F36" s="358" t="s">
        <v>8</v>
      </c>
      <c r="G36" s="389">
        <f>'Rider Rates'!C42</f>
        <v>1.07E-3</v>
      </c>
      <c r="H36" s="389"/>
      <c r="I36" s="389"/>
      <c r="J36" s="396">
        <f>SUM(G36:H36)</f>
        <v>1.07E-3</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f>'Rider Rates'!$B$45</f>
        <v>4.5009999999999999E-4</v>
      </c>
      <c r="H37" s="389"/>
      <c r="I37" s="389"/>
      <c r="J37" s="396">
        <f>SUM(G37:H37)</f>
        <v>4.5009999999999999E-4</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393">
        <f>$N$23</f>
        <v>138.5</v>
      </c>
      <c r="E42" s="364" t="s">
        <v>122</v>
      </c>
      <c r="F42" s="365" t="s">
        <v>8</v>
      </c>
      <c r="G42" s="400"/>
      <c r="H42" s="356"/>
      <c r="I42" s="401">
        <f>'Rider Rates'!$B$85</f>
        <v>4.94232E-2</v>
      </c>
      <c r="J42" s="401">
        <f t="shared" si="0"/>
        <v>4.94232E-2</v>
      </c>
      <c r="K42" s="367"/>
      <c r="L42" s="250"/>
      <c r="M42" s="250"/>
      <c r="N42" s="250">
        <f>ROUND(D42*I42,2)</f>
        <v>6.85</v>
      </c>
      <c r="O42" s="250">
        <f t="shared" si="2"/>
        <v>6.85</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138.5</v>
      </c>
      <c r="E43" s="364" t="s">
        <v>122</v>
      </c>
      <c r="F43" s="365" t="s">
        <v>8</v>
      </c>
      <c r="G43" s="402"/>
      <c r="H43" s="356"/>
      <c r="I43" s="401">
        <f>'Rider Rates'!$B$87</f>
        <v>6.6985699999999995E-2</v>
      </c>
      <c r="J43" s="401">
        <f t="shared" si="0"/>
        <v>6.6985699999999995E-2</v>
      </c>
      <c r="K43" s="367"/>
      <c r="L43" s="250"/>
      <c r="M43" s="250"/>
      <c r="N43" s="250">
        <f>ROUND(D43*I43,2)</f>
        <v>9.2799999999999994</v>
      </c>
      <c r="O43" s="250">
        <f t="shared" si="2"/>
        <v>9.2799999999999994</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138.5</v>
      </c>
      <c r="E46" s="364" t="s">
        <v>122</v>
      </c>
      <c r="F46" s="365" t="s">
        <v>8</v>
      </c>
      <c r="G46" s="402"/>
      <c r="H46" s="356"/>
      <c r="I46" s="401">
        <f>'Rider Rates'!$B$105</f>
        <v>0.2363101</v>
      </c>
      <c r="J46" s="401">
        <f t="shared" si="0"/>
        <v>0.2363101</v>
      </c>
      <c r="K46" s="367"/>
      <c r="L46" s="250"/>
      <c r="M46" s="250"/>
      <c r="N46" s="250">
        <f>ROUND(D46*I46,2)</f>
        <v>32.729999999999997</v>
      </c>
      <c r="O46" s="250">
        <f t="shared" si="2"/>
        <v>32.729999999999997</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f>'Rider Rates'!B113</f>
        <v>3.7618E-3</v>
      </c>
      <c r="H49" s="389"/>
      <c r="I49" s="401"/>
      <c r="J49" s="396">
        <f>SUM(G49:H49)</f>
        <v>3.7618E-3</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4">SUM(M27:M55)</f>
        <v>0</v>
      </c>
      <c r="N56" s="415">
        <f t="shared" si="4"/>
        <v>71.22999999999999</v>
      </c>
      <c r="O56" s="415">
        <f t="shared" si="4"/>
        <v>71.22999999999999</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2" t="s">
        <v>94</v>
      </c>
      <c r="B58" s="380"/>
      <c r="C58" s="380"/>
      <c r="D58" s="380"/>
      <c r="E58" s="380"/>
      <c r="F58" s="380"/>
      <c r="G58" s="380"/>
      <c r="H58" s="380"/>
      <c r="I58" s="380"/>
      <c r="J58" s="380"/>
      <c r="K58" s="380"/>
      <c r="L58" s="419">
        <f>L23+L56</f>
        <v>0</v>
      </c>
      <c r="M58" s="419">
        <f>M23+M56</f>
        <v>0</v>
      </c>
      <c r="N58" s="419">
        <f>N23+N56</f>
        <v>209.73</v>
      </c>
      <c r="O58" s="420">
        <f>O23+O56</f>
        <v>209.73</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209.73</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209.73</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dYNs0Ul8d2KRpn2hmzE9AtfFpyflweuSAOg42pt8V/vetVLdRz0Cb+cI/XTsQ6aChI0/nTXBVGEF68d1tCb7kg==" saltValue="/X8RCTqQUXbo4B+40/AUd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6433" r:id="rId3" name="Button 1">
              <controlPr defaultSize="0" print="0" autoFill="0" autoPict="0" macro="[0]!Info">
                <anchor moveWithCells="1">
                  <from>
                    <xdr:col>0</xdr:col>
                    <xdr:colOff>68580</xdr:colOff>
                    <xdr:row>0</xdr:row>
                    <xdr:rowOff>38100</xdr:rowOff>
                  </from>
                  <to>
                    <xdr:col>0</xdr:col>
                    <xdr:colOff>571500</xdr:colOff>
                    <xdr:row>2</xdr:row>
                    <xdr:rowOff>30480</xdr:rowOff>
                  </to>
                </anchor>
              </controlPr>
            </control>
          </mc:Choice>
        </mc:AlternateContent>
        <mc:AlternateContent xmlns:mc="http://schemas.openxmlformats.org/markup-compatibility/2006">
          <mc:Choice Requires="x14">
            <control shapeId="146434"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46435" r:id="rId5" name="Button 3">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46436" r:id="rId6" name="Button 4">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46437" r:id="rId7" name="Button 5">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46438" r:id="rId8" name="Button 6">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96D3-84FF-428D-AF49-46E29B0B3E91}">
  <sheetPr codeName="Sheet12"/>
  <dimension ref="A1:IB66"/>
  <sheetViews>
    <sheetView topLeftCell="A15" zoomScale="85" zoomScaleNormal="85" workbookViewId="0">
      <selection activeCell="P44" sqref="P44"/>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328</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330</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357" t="s">
        <v>65</v>
      </c>
      <c r="M20" s="357" t="s">
        <v>66</v>
      </c>
      <c r="N20" s="357" t="s">
        <v>67</v>
      </c>
      <c r="O20" s="357" t="s">
        <v>34</v>
      </c>
      <c r="P20" s="358" t="s">
        <v>57</v>
      </c>
    </row>
    <row r="21" spans="1:221" x14ac:dyDescent="0.25">
      <c r="A21" s="332" t="s">
        <v>32</v>
      </c>
      <c r="G21" s="432"/>
      <c r="H21" s="432"/>
      <c r="I21" s="432">
        <f>'Rider Rates'!B146</f>
        <v>825</v>
      </c>
      <c r="J21" s="432">
        <f>SUM(G21:I21)</f>
        <v>825</v>
      </c>
      <c r="L21" s="433"/>
      <c r="M21" s="433"/>
      <c r="N21" s="433">
        <f>I21</f>
        <v>825</v>
      </c>
      <c r="O21" s="408">
        <f>SUM(L21:N21)</f>
        <v>825</v>
      </c>
      <c r="P21" s="361">
        <v>44531</v>
      </c>
    </row>
    <row r="22" spans="1:221" x14ac:dyDescent="0.25">
      <c r="A22" s="434" t="s">
        <v>132</v>
      </c>
      <c r="D22" s="363">
        <f>C15</f>
        <v>0</v>
      </c>
      <c r="E22" s="364" t="s">
        <v>41</v>
      </c>
      <c r="F22" s="365" t="s">
        <v>8</v>
      </c>
      <c r="G22" s="407"/>
      <c r="H22" s="407"/>
      <c r="I22" s="445">
        <f>'Rider Rates'!C146</f>
        <v>5.9799999999999997E-5</v>
      </c>
      <c r="J22" s="407">
        <f>SUM(G22:I22)</f>
        <v>5.9799999999999997E-5</v>
      </c>
      <c r="K22" s="367" t="s">
        <v>42</v>
      </c>
      <c r="L22" s="408"/>
      <c r="M22" s="408"/>
      <c r="N22" s="408">
        <f>IF(C15&lt;0,0,ROUND($D22*I22,2))</f>
        <v>0</v>
      </c>
      <c r="O22" s="408">
        <f>SUM(L22:N22)</f>
        <v>0</v>
      </c>
      <c r="P22" s="361">
        <f>'Rider Rates'!H146</f>
        <v>45444</v>
      </c>
    </row>
    <row r="23" spans="1:221" x14ac:dyDescent="0.25">
      <c r="A23" s="370" t="s">
        <v>50</v>
      </c>
      <c r="B23" s="370"/>
      <c r="C23" s="370"/>
      <c r="D23" s="371"/>
      <c r="E23" s="371"/>
      <c r="F23" s="370"/>
      <c r="G23" s="370"/>
      <c r="H23" s="370"/>
      <c r="I23" s="370"/>
      <c r="J23" s="370"/>
      <c r="K23" s="373"/>
      <c r="L23" s="372"/>
      <c r="M23" s="372"/>
      <c r="N23" s="372">
        <f>SUM(N21:N22)</f>
        <v>825</v>
      </c>
      <c r="O23" s="372">
        <f>SUM(O21:O22)</f>
        <v>825</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825</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363">
        <f>C15</f>
        <v>0</v>
      </c>
      <c r="E34" s="364" t="s">
        <v>41</v>
      </c>
      <c r="F34" s="365" t="s">
        <v>8</v>
      </c>
      <c r="G34" s="389">
        <f>'Rider Rates'!B25</f>
        <v>6.6629999999999995E-2</v>
      </c>
      <c r="H34" s="389"/>
      <c r="I34" s="389"/>
      <c r="J34" s="396">
        <f>SUM(G34:H34)</f>
        <v>6.6629999999999995E-2</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 t="shared" ref="D35:D36" si="3">C16</f>
        <v>0</v>
      </c>
      <c r="E35" s="364" t="s">
        <v>41</v>
      </c>
      <c r="F35" s="365" t="s">
        <v>8</v>
      </c>
      <c r="G35" s="389">
        <f>'Rider Rates'!B43</f>
        <v>2.0022E-3</v>
      </c>
      <c r="H35" s="389"/>
      <c r="I35" s="389"/>
      <c r="J35" s="396">
        <f>SUM(G35:H35)</f>
        <v>2.0022E-3</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 t="shared" si="3"/>
        <v>0</v>
      </c>
      <c r="E36" s="364" t="s">
        <v>41</v>
      </c>
      <c r="F36" s="358" t="s">
        <v>8</v>
      </c>
      <c r="G36" s="389">
        <f>'Rider Rates'!C43</f>
        <v>8.3000000000000001E-4</v>
      </c>
      <c r="H36" s="389"/>
      <c r="I36" s="389"/>
      <c r="J36" s="396">
        <f>SUM(G36:H36)</f>
        <v>8.3000000000000001E-4</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f>'Rider Rates'!$B$45</f>
        <v>4.5009999999999999E-4</v>
      </c>
      <c r="H37" s="389"/>
      <c r="I37" s="389"/>
      <c r="J37" s="396">
        <f>SUM(G37:H37)</f>
        <v>4.5009999999999999E-4</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393">
        <f>$N$23</f>
        <v>825</v>
      </c>
      <c r="E42" s="364" t="s">
        <v>122</v>
      </c>
      <c r="F42" s="365" t="s">
        <v>8</v>
      </c>
      <c r="G42" s="400"/>
      <c r="H42" s="356"/>
      <c r="I42" s="401">
        <f>'Rider Rates'!$B$85</f>
        <v>4.94232E-2</v>
      </c>
      <c r="J42" s="401">
        <f t="shared" si="0"/>
        <v>4.94232E-2</v>
      </c>
      <c r="K42" s="367"/>
      <c r="L42" s="250"/>
      <c r="M42" s="250"/>
      <c r="N42" s="250">
        <f>ROUND(D42*I42,2)</f>
        <v>40.770000000000003</v>
      </c>
      <c r="O42" s="250">
        <f t="shared" si="2"/>
        <v>40.770000000000003</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825</v>
      </c>
      <c r="E43" s="364" t="s">
        <v>122</v>
      </c>
      <c r="F43" s="365" t="s">
        <v>8</v>
      </c>
      <c r="G43" s="402"/>
      <c r="H43" s="356"/>
      <c r="I43" s="401">
        <f>'Rider Rates'!$B$87</f>
        <v>6.6985699999999995E-2</v>
      </c>
      <c r="J43" s="401">
        <f t="shared" si="0"/>
        <v>6.6985699999999995E-2</v>
      </c>
      <c r="K43" s="367"/>
      <c r="L43" s="250"/>
      <c r="M43" s="250"/>
      <c r="N43" s="250">
        <f>ROUND(D43*I43,2)</f>
        <v>55.26</v>
      </c>
      <c r="O43" s="250">
        <f t="shared" si="2"/>
        <v>55.26</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825</v>
      </c>
      <c r="E46" s="364" t="s">
        <v>122</v>
      </c>
      <c r="F46" s="365" t="s">
        <v>8</v>
      </c>
      <c r="G46" s="402"/>
      <c r="H46" s="356"/>
      <c r="I46" s="401">
        <f>'Rider Rates'!$B$105</f>
        <v>0.2363101</v>
      </c>
      <c r="J46" s="401">
        <f t="shared" si="0"/>
        <v>0.2363101</v>
      </c>
      <c r="K46" s="367"/>
      <c r="L46" s="250"/>
      <c r="M46" s="250"/>
      <c r="N46" s="250">
        <f>ROUND(D46*I46,2)</f>
        <v>194.96</v>
      </c>
      <c r="O46" s="250">
        <f t="shared" si="2"/>
        <v>194.96</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f>'Rider Rates'!B114</f>
        <v>3.6865999999999999E-3</v>
      </c>
      <c r="H49" s="389"/>
      <c r="I49" s="401"/>
      <c r="J49" s="396">
        <f>SUM(G49:H49)</f>
        <v>3.6865999999999999E-3</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4">SUM(M27:M55)</f>
        <v>0</v>
      </c>
      <c r="N56" s="415">
        <f t="shared" si="4"/>
        <v>313.35999999999996</v>
      </c>
      <c r="O56" s="415">
        <f t="shared" si="4"/>
        <v>313.35999999999996</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2" t="s">
        <v>94</v>
      </c>
      <c r="B58" s="380"/>
      <c r="C58" s="380"/>
      <c r="D58" s="380"/>
      <c r="E58" s="380"/>
      <c r="F58" s="380"/>
      <c r="G58" s="380"/>
      <c r="H58" s="380"/>
      <c r="I58" s="380"/>
      <c r="J58" s="380"/>
      <c r="K58" s="380"/>
      <c r="L58" s="419">
        <f>L23+L56</f>
        <v>0</v>
      </c>
      <c r="M58" s="419">
        <f>M23+M56</f>
        <v>0</v>
      </c>
      <c r="N58" s="419">
        <f>N23+N56</f>
        <v>1138.3599999999999</v>
      </c>
      <c r="O58" s="420">
        <f>O23+O56</f>
        <v>1138.3599999999999</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1138.3599999999999</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1138.3599999999999</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dM5Ws8thyZGM7RDDJOXGD493bOCzNdRIEBSz9p2/METjECoqbQ2rbzt7YLGtY1s9kaKxUo12op/POFCSIBkUDg==" saltValue="aXzjB0Vr2bpV7xcIxqxSw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7457" r:id="rId3" name="Button 1">
              <controlPr defaultSize="0" print="0" autoFill="0" autoPict="0" macro="[0]!Info">
                <anchor moveWithCells="1">
                  <from>
                    <xdr:col>0</xdr:col>
                    <xdr:colOff>68580</xdr:colOff>
                    <xdr:row>0</xdr:row>
                    <xdr:rowOff>38100</xdr:rowOff>
                  </from>
                  <to>
                    <xdr:col>0</xdr:col>
                    <xdr:colOff>571500</xdr:colOff>
                    <xdr:row>3</xdr:row>
                    <xdr:rowOff>45720</xdr:rowOff>
                  </to>
                </anchor>
              </controlPr>
            </control>
          </mc:Choice>
        </mc:AlternateContent>
        <mc:AlternateContent xmlns:mc="http://schemas.openxmlformats.org/markup-compatibility/2006">
          <mc:Choice Requires="x14">
            <control shapeId="147458"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47459" r:id="rId5" name="Button 3">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47460" r:id="rId6" name="Button 4">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47461" r:id="rId7" name="Button 5">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47462" r:id="rId8" name="Button 6">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IV95"/>
  <sheetViews>
    <sheetView showGridLines="0" topLeftCell="A22" zoomScale="80" zoomScaleNormal="80" workbookViewId="0">
      <selection activeCell="N50" sqref="J50:N50"/>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257</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76">
        <f ca="1">TODAY()</f>
        <v>45657</v>
      </c>
      <c r="B6" s="210" t="s">
        <v>254</v>
      </c>
      <c r="C6" s="76"/>
      <c r="D6" s="76"/>
      <c r="E6" s="76"/>
      <c r="F6" s="76"/>
      <c r="G6" s="76"/>
      <c r="H6" s="76"/>
      <c r="I6" s="76"/>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284</v>
      </c>
      <c r="B17" s="31"/>
      <c r="C17" s="32">
        <f>'Customer Info'!$B$27</f>
        <v>0</v>
      </c>
      <c r="D17" s="32">
        <f>$C$17*$C$20</f>
        <v>0</v>
      </c>
      <c r="E17" s="31" t="s">
        <v>287</v>
      </c>
      <c r="F17" s="33"/>
      <c r="G17" s="31"/>
      <c r="H17" s="31"/>
      <c r="I17" s="31"/>
      <c r="J17" s="31"/>
      <c r="K17" s="31"/>
      <c r="L17" s="31"/>
      <c r="M17" s="31"/>
      <c r="N17" s="31"/>
      <c r="O17" s="31"/>
    </row>
    <row r="18" spans="1:30" x14ac:dyDescent="0.25">
      <c r="A18" s="31" t="s">
        <v>285</v>
      </c>
      <c r="B18" s="31"/>
      <c r="C18" s="285">
        <f>IF('Customer Info'!$B$18=0,0,ROUND(MAX(ROUND('Customer Info'!$B$18*'GS SEC'!C20,1),ROUND('Customer Info'!$B$19*'GS SEC'!C20,1))/'Customer Info'!$D$29,1))</f>
        <v>0</v>
      </c>
      <c r="D18" s="285">
        <f>$C$18</f>
        <v>0</v>
      </c>
      <c r="E18" s="31" t="s">
        <v>288</v>
      </c>
      <c r="F18" s="33"/>
      <c r="G18" s="31"/>
      <c r="H18" s="31"/>
      <c r="I18" s="31"/>
      <c r="J18" s="31"/>
      <c r="K18" s="31"/>
      <c r="L18" s="31"/>
      <c r="M18" s="31"/>
      <c r="N18" s="31"/>
      <c r="O18" s="31"/>
    </row>
    <row r="19" spans="1:30" x14ac:dyDescent="0.25">
      <c r="A19" s="31" t="s">
        <v>286</v>
      </c>
      <c r="B19" s="31"/>
      <c r="C19" s="32"/>
      <c r="D19" s="285">
        <f>MAX(100,ROUND(1.15*(MAX('Customer Info'!$B$18*'GS SEC'!C20,'Customer Info'!$B$19*'GS SEC'!C20)),1))</f>
        <v>100</v>
      </c>
      <c r="E19" s="31" t="s">
        <v>288</v>
      </c>
      <c r="F19" s="33"/>
      <c r="G19" s="31"/>
      <c r="H19" s="31"/>
      <c r="I19" s="31"/>
      <c r="J19" s="31"/>
      <c r="K19" s="31"/>
      <c r="L19" s="31"/>
      <c r="M19" s="31"/>
      <c r="N19" s="31"/>
      <c r="O19" s="31"/>
    </row>
    <row r="20" spans="1:30" x14ac:dyDescent="0.25">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07" t="s">
        <v>15</v>
      </c>
      <c r="E21" s="507"/>
      <c r="F21" s="507"/>
      <c r="G21" s="507"/>
      <c r="H21" s="507"/>
      <c r="K21" s="31"/>
      <c r="L21" s="31"/>
      <c r="M21" s="31"/>
      <c r="N21" s="31"/>
      <c r="O21" s="50"/>
    </row>
    <row r="22" spans="1:30" x14ac:dyDescent="0.25">
      <c r="A22" s="31" t="s">
        <v>15</v>
      </c>
      <c r="B22" s="31"/>
      <c r="C22" s="82" t="s">
        <v>15</v>
      </c>
      <c r="D22" s="507" t="s">
        <v>15</v>
      </c>
      <c r="E22" s="507"/>
      <c r="F22" s="507"/>
      <c r="G22" s="507"/>
      <c r="H22" s="507"/>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489" t="s">
        <v>68</v>
      </c>
      <c r="H24" s="490"/>
      <c r="I24" s="490"/>
      <c r="J24" s="491"/>
      <c r="K24" s="22"/>
      <c r="L24" s="492" t="s">
        <v>69</v>
      </c>
      <c r="M24" s="492"/>
      <c r="N24" s="492"/>
      <c r="O24" s="492"/>
    </row>
    <row r="25" spans="1:30" x14ac:dyDescent="0.25">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9.4</v>
      </c>
      <c r="O30" s="40">
        <f>SUM(O26:O29)</f>
        <v>9.4</v>
      </c>
    </row>
    <row r="31" spans="1:30" x14ac:dyDescent="0.25">
      <c r="A31" s="89"/>
      <c r="B31" s="89"/>
      <c r="C31" s="90"/>
      <c r="D31" s="90"/>
      <c r="E31" s="90"/>
      <c r="F31" s="90"/>
      <c r="G31" s="91"/>
      <c r="H31" s="91"/>
      <c r="I31" s="91"/>
      <c r="J31" s="91"/>
      <c r="K31" s="89"/>
      <c r="L31" s="89"/>
      <c r="M31" s="89"/>
      <c r="N31" s="89"/>
      <c r="O31" s="89"/>
      <c r="P31" s="89"/>
    </row>
    <row r="32" spans="1:30" x14ac:dyDescent="0.25">
      <c r="A32" s="41" t="s">
        <v>70</v>
      </c>
      <c r="D32" s="1"/>
      <c r="E32" s="1"/>
      <c r="K32" s="36"/>
      <c r="L32" s="36"/>
      <c r="M32" s="36"/>
      <c r="N32" s="36"/>
      <c r="O32" s="34"/>
      <c r="P32" s="34"/>
    </row>
    <row r="33" spans="1:220" x14ac:dyDescent="0.25">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5">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Rates'!B23</f>
        <v>7.0209999999999995E-2</v>
      </c>
      <c r="H40" s="103"/>
      <c r="I40" s="103"/>
      <c r="J40" s="237">
        <f>SUM(G40:H40)</f>
        <v>7.0209999999999995E-2</v>
      </c>
      <c r="K40" s="104" t="s">
        <v>42</v>
      </c>
      <c r="L40" s="105">
        <f>ROUND(D40*G40,2)</f>
        <v>0</v>
      </c>
      <c r="M40" s="105"/>
      <c r="N40" s="105"/>
      <c r="O40" s="105">
        <f t="shared" si="0"/>
        <v>0</v>
      </c>
      <c r="P40" s="245">
        <f>'Rider Rates'!$D$23</f>
        <v>45444</v>
      </c>
    </row>
    <row r="41" spans="1:220" x14ac:dyDescent="0.25">
      <c r="A41" s="241" t="s">
        <v>161</v>
      </c>
      <c r="B41" s="78"/>
      <c r="C41" s="78"/>
      <c r="D41" s="100">
        <f>'Customer Info'!$B$21+'Customer Info'!$B$22-'Customer Info'!$B$23</f>
        <v>0</v>
      </c>
      <c r="E41" s="101" t="s">
        <v>41</v>
      </c>
      <c r="F41" s="102" t="s">
        <v>8</v>
      </c>
      <c r="G41" s="103">
        <f>'Rider Rates'!B34</f>
        <v>2.65E-3</v>
      </c>
      <c r="H41" s="103"/>
      <c r="I41" s="103"/>
      <c r="J41" s="237">
        <f>SUM(G41:H41)</f>
        <v>2.65E-3</v>
      </c>
      <c r="K41" s="104" t="s">
        <v>42</v>
      </c>
      <c r="L41" s="105">
        <f>ROUND(D41*G41,2)</f>
        <v>0</v>
      </c>
      <c r="M41" s="105"/>
      <c r="N41" s="105"/>
      <c r="O41" s="105">
        <f t="shared" si="0"/>
        <v>0</v>
      </c>
      <c r="P41" s="245">
        <f>'Rider Rates'!$D$34</f>
        <v>45444</v>
      </c>
    </row>
    <row r="42" spans="1:220" x14ac:dyDescent="0.25">
      <c r="A42" s="210" t="s">
        <v>193</v>
      </c>
      <c r="B42" s="78"/>
      <c r="C42" s="78"/>
      <c r="D42" s="100">
        <f>'Customer Info'!$B$21+'Customer Info'!$B$22-'Customer Info'!$B$23</f>
        <v>0</v>
      </c>
      <c r="E42" s="101" t="s">
        <v>41</v>
      </c>
      <c r="F42" s="102" t="s">
        <v>8</v>
      </c>
      <c r="G42" s="103">
        <f>'Rider Rates'!$B$45</f>
        <v>4.5009999999999999E-4</v>
      </c>
      <c r="H42" s="103"/>
      <c r="I42" s="103"/>
      <c r="J42" s="237">
        <f>SUM(G42:H42)</f>
        <v>4.5009999999999999E-4</v>
      </c>
      <c r="K42" s="104" t="s">
        <v>42</v>
      </c>
      <c r="L42" s="105">
        <f>ROUND(D42*G42,2)</f>
        <v>0</v>
      </c>
      <c r="M42" s="105"/>
      <c r="N42" s="105"/>
      <c r="O42" s="105">
        <f t="shared" si="0"/>
        <v>0</v>
      </c>
      <c r="P42" s="245">
        <f>'Rider Rates'!$D$45</f>
        <v>45657</v>
      </c>
    </row>
    <row r="43" spans="1:220" x14ac:dyDescent="0.25">
      <c r="A43" s="241" t="s">
        <v>210</v>
      </c>
      <c r="B43" s="78"/>
      <c r="C43" s="78"/>
      <c r="D43" s="1">
        <f>IF($C$16&lt;0,0,IF($C$16&gt;833000,833000,$C$16))</f>
        <v>0</v>
      </c>
      <c r="E43" s="101" t="s">
        <v>41</v>
      </c>
      <c r="F43" s="102" t="s">
        <v>8</v>
      </c>
      <c r="G43" s="103"/>
      <c r="H43" s="103"/>
      <c r="I43" s="103">
        <f>'Rider Rates'!D49</f>
        <v>1.8006999999999999E-3</v>
      </c>
      <c r="J43" s="103">
        <f>SUM(G43:I43)</f>
        <v>1.8006999999999999E-3</v>
      </c>
      <c r="K43" s="104" t="s">
        <v>42</v>
      </c>
      <c r="L43" s="105"/>
      <c r="M43" s="105"/>
      <c r="N43" s="87">
        <f>D43*J43</f>
        <v>0</v>
      </c>
      <c r="O43" s="105">
        <f t="shared" si="0"/>
        <v>0</v>
      </c>
      <c r="P43" s="245">
        <f>'Rider Rates'!E49</f>
        <v>45658</v>
      </c>
    </row>
    <row r="44" spans="1:220" x14ac:dyDescent="0.25">
      <c r="A44" s="210" t="s">
        <v>189</v>
      </c>
      <c r="B44" s="78"/>
      <c r="C44" s="78"/>
      <c r="D44" s="1">
        <f>IF($C$16&lt;0,0,$C$16)</f>
        <v>0</v>
      </c>
      <c r="E44" s="113" t="s">
        <v>41</v>
      </c>
      <c r="F44" s="102" t="s">
        <v>8</v>
      </c>
      <c r="G44" s="103"/>
      <c r="H44" s="103">
        <f>'Rider Rates'!$B$57</f>
        <v>6.0079999999999997E-4</v>
      </c>
      <c r="I44" s="103"/>
      <c r="J44" s="103">
        <f>SUM(G44:I44)</f>
        <v>6.0079999999999997E-4</v>
      </c>
      <c r="K44" s="104" t="s">
        <v>42</v>
      </c>
      <c r="L44" s="105"/>
      <c r="M44" s="105">
        <f>ROUND(D44*H44,2)</f>
        <v>0</v>
      </c>
      <c r="N44" s="205"/>
      <c r="O44" s="105">
        <f t="shared" si="0"/>
        <v>0</v>
      </c>
      <c r="P44" s="245">
        <f>'Rider Rates'!$D$57</f>
        <v>45383</v>
      </c>
    </row>
    <row r="45" spans="1:220" x14ac:dyDescent="0.25">
      <c r="A45" s="210" t="s">
        <v>189</v>
      </c>
      <c r="B45" s="78"/>
      <c r="C45" s="78"/>
      <c r="D45" s="49">
        <f>C14</f>
        <v>0</v>
      </c>
      <c r="E45" s="35" t="s">
        <v>64</v>
      </c>
      <c r="F45" s="4" t="s">
        <v>8</v>
      </c>
      <c r="G45" s="103"/>
      <c r="H45" s="239">
        <f>'Rider Rates'!$B$62</f>
        <v>6.73</v>
      </c>
      <c r="I45" s="103"/>
      <c r="J45" s="239">
        <f>SUM(G45:I45)</f>
        <v>6.73</v>
      </c>
      <c r="K45" s="104" t="s">
        <v>44</v>
      </c>
      <c r="L45" s="105"/>
      <c r="M45" s="105">
        <f>ROUND(D45*H45,2)</f>
        <v>0</v>
      </c>
      <c r="N45" s="205"/>
      <c r="O45" s="105">
        <f t="shared" si="0"/>
        <v>0</v>
      </c>
      <c r="P45" s="245">
        <f>'Rider Rates'!$D$62</f>
        <v>45383</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5">
      <c r="A48" s="99" t="s">
        <v>81</v>
      </c>
      <c r="B48" s="78"/>
      <c r="C48" s="78"/>
      <c r="D48" s="208">
        <f>$N$30</f>
        <v>9.4</v>
      </c>
      <c r="E48" s="101" t="s">
        <v>122</v>
      </c>
      <c r="F48" s="102" t="s">
        <v>8</v>
      </c>
      <c r="G48" s="111"/>
      <c r="H48" s="112"/>
      <c r="I48" s="120">
        <f>'Rider Rates'!$B$85</f>
        <v>4.94232E-2</v>
      </c>
      <c r="J48" s="120">
        <f>SUM(H48:I48)</f>
        <v>4.94232E-2</v>
      </c>
      <c r="K48" s="104"/>
      <c r="L48" s="105"/>
      <c r="M48" s="105"/>
      <c r="N48" s="105">
        <f>ROUND(N$30*I48,2)</f>
        <v>0.46</v>
      </c>
      <c r="O48" s="209">
        <f t="shared" si="1"/>
        <v>0.46</v>
      </c>
      <c r="P48" s="245">
        <f>'Rider Rates'!$D$85</f>
        <v>45562</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5">
      <c r="A49" s="99" t="s">
        <v>82</v>
      </c>
      <c r="B49" s="78"/>
      <c r="C49" s="78"/>
      <c r="D49" s="208">
        <f>$N$30</f>
        <v>9.4</v>
      </c>
      <c r="E49" s="101" t="s">
        <v>122</v>
      </c>
      <c r="F49" s="102" t="s">
        <v>8</v>
      </c>
      <c r="G49" s="114"/>
      <c r="H49" s="115"/>
      <c r="I49" s="120">
        <f>'Rider Rates'!$B$87</f>
        <v>6.6985699999999995E-2</v>
      </c>
      <c r="J49" s="120">
        <f>SUM(H49:I49)</f>
        <v>6.6985699999999995E-2</v>
      </c>
      <c r="K49" s="104"/>
      <c r="L49" s="105"/>
      <c r="M49" s="105"/>
      <c r="N49" s="105">
        <f>ROUND(N$30*I49,2)</f>
        <v>0.63</v>
      </c>
      <c r="O49" s="209">
        <f t="shared" si="1"/>
        <v>0.63</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5">
      <c r="A50" s="210" t="s">
        <v>206</v>
      </c>
      <c r="B50" s="78"/>
      <c r="C50" s="78"/>
      <c r="D50" s="195"/>
      <c r="E50" s="113" t="s">
        <v>115</v>
      </c>
      <c r="F50" s="106"/>
      <c r="G50" s="114"/>
      <c r="H50" s="115"/>
      <c r="I50" s="196">
        <f>'Rider Rates'!$B$91</f>
        <v>17.53</v>
      </c>
      <c r="J50" s="196">
        <f>SUM(G50:I50)</f>
        <v>17.53</v>
      </c>
      <c r="K50" s="104"/>
      <c r="L50" s="105"/>
      <c r="M50" s="105"/>
      <c r="N50" s="105">
        <f>I50</f>
        <v>17.53</v>
      </c>
      <c r="O50" s="105">
        <f>SUM(L50:N50)</f>
        <v>17.53</v>
      </c>
      <c r="P50" s="245">
        <f>'Rider Rates'!$D$91</f>
        <v>45657</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156</v>
      </c>
      <c r="B53" s="78"/>
      <c r="C53" s="78"/>
      <c r="D53" s="208">
        <f>$N$30</f>
        <v>9.4</v>
      </c>
      <c r="E53" s="101" t="s">
        <v>122</v>
      </c>
      <c r="F53" s="102" t="s">
        <v>8</v>
      </c>
      <c r="G53" s="114"/>
      <c r="H53" s="115"/>
      <c r="I53" s="120">
        <f>'Rider Rates'!$B$105</f>
        <v>0.2363101</v>
      </c>
      <c r="J53" s="120">
        <f>SUM(H53:I53)</f>
        <v>0.2363101</v>
      </c>
      <c r="K53" s="104"/>
      <c r="L53" s="105"/>
      <c r="M53" s="105"/>
      <c r="N53" s="105">
        <f>ROUND(N$30*I53,2)</f>
        <v>2.2200000000000002</v>
      </c>
      <c r="O53" s="105">
        <f t="shared" si="1"/>
        <v>2.2200000000000002</v>
      </c>
      <c r="P53" s="245">
        <f>'Rider Rates'!$D$105</f>
        <v>45622</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209</v>
      </c>
      <c r="B54" s="78"/>
      <c r="C54" s="78"/>
      <c r="D54" s="195"/>
      <c r="E54" s="113" t="s">
        <v>115</v>
      </c>
      <c r="F54" s="106"/>
      <c r="G54" s="114"/>
      <c r="H54" s="115"/>
      <c r="I54" s="196">
        <f>'Rider Rates'!$B$109</f>
        <v>0</v>
      </c>
      <c r="J54" s="196">
        <f>SUM(G54:I54)</f>
        <v>0</v>
      </c>
      <c r="K54" s="104"/>
      <c r="L54" s="105"/>
      <c r="M54" s="105"/>
      <c r="N54" s="105">
        <f>I54</f>
        <v>0</v>
      </c>
      <c r="O54" s="105">
        <f t="shared" ref="O54:O59" si="2">SUM(L54:N54)</f>
        <v>0</v>
      </c>
      <c r="P54" s="245">
        <f>'Rider Rates'!$D$109</f>
        <v>44894</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217</v>
      </c>
      <c r="B55" s="78"/>
      <c r="C55" s="78"/>
      <c r="D55" s="195"/>
      <c r="E55" s="113" t="s">
        <v>115</v>
      </c>
      <c r="F55" s="106"/>
      <c r="G55" s="114"/>
      <c r="H55" s="115"/>
      <c r="I55" s="258">
        <f>'Rider Rates'!B122</f>
        <v>4.84</v>
      </c>
      <c r="J55" s="196">
        <f>SUM(G55:I55)</f>
        <v>4.84</v>
      </c>
      <c r="K55" s="104"/>
      <c r="L55" s="105"/>
      <c r="M55" s="105"/>
      <c r="N55" s="260">
        <f>I55</f>
        <v>4.84</v>
      </c>
      <c r="O55" s="105">
        <f t="shared" si="2"/>
        <v>4.84</v>
      </c>
      <c r="P55" s="245">
        <f>'Rider Rates'!D122</f>
        <v>45593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99" t="s">
        <v>157</v>
      </c>
      <c r="B56" s="78"/>
      <c r="C56" s="78"/>
      <c r="D56" s="100">
        <f>IF('Customer Info'!$C$32=TRUE,0,'Customer Info'!$B$21+'Customer Info'!$B$22-'Customer Info'!$B$23)</f>
        <v>0</v>
      </c>
      <c r="E56" s="101" t="s">
        <v>41</v>
      </c>
      <c r="F56" s="102" t="s">
        <v>8</v>
      </c>
      <c r="G56" s="103">
        <f>'Rider Rates'!$B$112</f>
        <v>3.8972999999999998E-3</v>
      </c>
      <c r="H56" s="103"/>
      <c r="I56" s="120"/>
      <c r="J56" s="237">
        <f>SUM(G56:H56)</f>
        <v>3.8972999999999998E-3</v>
      </c>
      <c r="K56" s="104" t="s">
        <v>42</v>
      </c>
      <c r="L56" s="105">
        <f>ROUND(D56*G56,2)</f>
        <v>0</v>
      </c>
      <c r="M56" s="105"/>
      <c r="N56" s="105"/>
      <c r="O56" s="105">
        <f t="shared" si="2"/>
        <v>0</v>
      </c>
      <c r="P56" s="245">
        <f>'Rider Rates'!$D$112</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10" t="s">
        <v>208</v>
      </c>
      <c r="B57" s="78"/>
      <c r="C57" s="78"/>
      <c r="D57" s="1">
        <f>IF($C$16&lt;1,0,$C$16)</f>
        <v>0</v>
      </c>
      <c r="E57" s="101" t="s">
        <v>41</v>
      </c>
      <c r="F57" s="249" t="s">
        <v>8</v>
      </c>
      <c r="G57" s="165"/>
      <c r="H57" s="165"/>
      <c r="I57" s="251">
        <f>'Rider Rates'!B118</f>
        <v>0</v>
      </c>
      <c r="J57" s="251">
        <f>SUM(G57:I57)</f>
        <v>0</v>
      </c>
      <c r="K57" s="104" t="s">
        <v>42</v>
      </c>
      <c r="L57" s="105"/>
      <c r="M57" s="105"/>
      <c r="N57" s="105">
        <f>D57*I57</f>
        <v>0</v>
      </c>
      <c r="O57" s="105">
        <f t="shared" si="2"/>
        <v>0</v>
      </c>
      <c r="P57" s="245">
        <f>'Rider Rates'!D118</f>
        <v>45657</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233</v>
      </c>
      <c r="B58" s="78"/>
      <c r="C58" s="78"/>
      <c r="D58" s="100">
        <f>IF(C16&lt;0,0,IF(C16&gt;833000,833000,C16))</f>
        <v>0</v>
      </c>
      <c r="E58" s="101" t="s">
        <v>41</v>
      </c>
      <c r="F58" s="102" t="s">
        <v>8</v>
      </c>
      <c r="G58" s="265"/>
      <c r="H58" s="265"/>
      <c r="I58" s="265">
        <f>'Rider Rates'!$B$126</f>
        <v>2.9050000000000001E-4</v>
      </c>
      <c r="J58" s="265">
        <f>SUM(G58:I58)</f>
        <v>2.9050000000000001E-4</v>
      </c>
      <c r="K58" s="104" t="s">
        <v>42</v>
      </c>
      <c r="L58" s="266"/>
      <c r="M58" s="266"/>
      <c r="N58" s="266">
        <f>IF(D58*J58&gt;'Rider Rates'!$C$126,'Rider Rates'!$C$126,D58*J58)</f>
        <v>0</v>
      </c>
      <c r="O58" s="266">
        <f t="shared" si="2"/>
        <v>0</v>
      </c>
      <c r="P58" s="264">
        <f>'Rider Rates'!$E$126</f>
        <v>45658</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78" t="s">
        <v>234</v>
      </c>
      <c r="B59" s="78"/>
      <c r="C59" s="78"/>
      <c r="D59" s="123">
        <f>IF(C16&gt;833000,C16-833000,0)</f>
        <v>0</v>
      </c>
      <c r="E59" s="101" t="s">
        <v>41</v>
      </c>
      <c r="F59" s="102" t="s">
        <v>8</v>
      </c>
      <c r="G59" s="265"/>
      <c r="H59" s="265"/>
      <c r="I59" s="265">
        <f>'Rider Rates'!$B$127</f>
        <v>0</v>
      </c>
      <c r="J59" s="265">
        <f>SUM(G59:I59)</f>
        <v>0</v>
      </c>
      <c r="K59" s="104" t="s">
        <v>42</v>
      </c>
      <c r="L59" s="266"/>
      <c r="M59" s="266"/>
      <c r="N59" s="266">
        <f>D59*J59</f>
        <v>0</v>
      </c>
      <c r="O59" s="266">
        <f t="shared" si="2"/>
        <v>0</v>
      </c>
      <c r="P59" s="264">
        <f>'Rider Rates'!$E$127</f>
        <v>45658</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242</v>
      </c>
      <c r="B60" s="78"/>
      <c r="C60" s="78"/>
      <c r="D60" s="100">
        <f>D16</f>
        <v>0</v>
      </c>
      <c r="E60" s="101" t="s">
        <v>41</v>
      </c>
      <c r="F60" s="249" t="s">
        <v>8</v>
      </c>
      <c r="G60" s="103"/>
      <c r="H60" s="103"/>
      <c r="I60" s="103">
        <f>'Rider Rates'!$B$131</f>
        <v>0</v>
      </c>
      <c r="J60" s="237">
        <f>SUM(G60:I60)</f>
        <v>0</v>
      </c>
      <c r="K60" s="104" t="s">
        <v>42</v>
      </c>
      <c r="L60" s="105"/>
      <c r="M60" s="105"/>
      <c r="N60" s="105">
        <f>D60*J60</f>
        <v>0</v>
      </c>
      <c r="O60" s="105">
        <f>SUM(L60:N60)</f>
        <v>0</v>
      </c>
      <c r="P60" s="245">
        <f>'Rider Rates'!$D$131</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241</v>
      </c>
      <c r="B61" s="78"/>
      <c r="C61" s="78"/>
      <c r="D61" s="100"/>
      <c r="E61" s="101" t="s">
        <v>115</v>
      </c>
      <c r="F61" s="102" t="s">
        <v>8</v>
      </c>
      <c r="G61" s="263"/>
      <c r="H61" s="263"/>
      <c r="I61" s="263">
        <f>'Rider Rates'!$B$138</f>
        <v>0</v>
      </c>
      <c r="J61" s="263">
        <f>SUM(G61:I61)</f>
        <v>0</v>
      </c>
      <c r="K61" s="104"/>
      <c r="L61" s="209"/>
      <c r="M61" s="209"/>
      <c r="N61" s="209">
        <f>J61</f>
        <v>0</v>
      </c>
      <c r="O61" s="209">
        <f>SUM(L61:N61)</f>
        <v>0</v>
      </c>
      <c r="P61" s="264">
        <f>'Rider Rates'!$D$138</f>
        <v>44531</v>
      </c>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241" t="s">
        <v>243</v>
      </c>
      <c r="B62" s="78"/>
      <c r="C62" s="78"/>
      <c r="D62" s="100"/>
      <c r="E62" s="101"/>
      <c r="F62" s="102"/>
      <c r="G62" s="263"/>
      <c r="H62" s="263"/>
      <c r="I62" s="263"/>
      <c r="J62" s="263"/>
      <c r="K62" s="104"/>
      <c r="L62" s="209"/>
      <c r="M62" s="209"/>
      <c r="N62" s="209"/>
      <c r="O62" s="209"/>
      <c r="P62" s="264"/>
      <c r="Q62" s="106"/>
      <c r="R62" s="107"/>
      <c r="S62" s="108"/>
      <c r="T62" s="109"/>
      <c r="U62" s="78"/>
      <c r="V62" s="110"/>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179" t="s">
        <v>71</v>
      </c>
      <c r="B63" s="148"/>
      <c r="C63" s="148"/>
      <c r="D63" s="180"/>
      <c r="E63" s="181"/>
      <c r="F63" s="182"/>
      <c r="G63" s="182"/>
      <c r="H63" s="182"/>
      <c r="I63" s="182"/>
      <c r="J63" s="182"/>
      <c r="K63" s="183"/>
      <c r="L63" s="169">
        <f>SUM(L34:L62)</f>
        <v>0</v>
      </c>
      <c r="M63" s="169">
        <f t="shared" ref="M63:O63" si="3">SUM(M34:M62)</f>
        <v>0</v>
      </c>
      <c r="N63" s="169">
        <f t="shared" si="3"/>
        <v>25.68</v>
      </c>
      <c r="O63" s="169">
        <f t="shared" si="3"/>
        <v>25.68</v>
      </c>
      <c r="P63" s="184"/>
    </row>
    <row r="64" spans="1:221" x14ac:dyDescent="0.25">
      <c r="A64" s="37"/>
      <c r="D64" s="1"/>
      <c r="E64" s="35"/>
      <c r="F64" s="4"/>
      <c r="G64" s="42"/>
      <c r="H64" s="42"/>
      <c r="I64" s="42"/>
      <c r="J64" s="42"/>
      <c r="K64" s="36"/>
      <c r="L64" s="36"/>
      <c r="M64" s="36"/>
      <c r="N64" s="36"/>
      <c r="O64" s="34"/>
      <c r="P64" s="36"/>
    </row>
    <row r="65" spans="1:16" x14ac:dyDescent="0.25">
      <c r="A65" s="81" t="s">
        <v>72</v>
      </c>
      <c r="B65" s="92"/>
      <c r="C65" s="92"/>
      <c r="D65" s="92"/>
      <c r="E65" s="92"/>
      <c r="F65" s="92"/>
      <c r="G65" s="92"/>
      <c r="H65" s="92"/>
      <c r="I65" s="92"/>
      <c r="J65" s="92"/>
      <c r="K65" s="92"/>
      <c r="L65" s="98">
        <f>L30+L63</f>
        <v>0</v>
      </c>
      <c r="M65" s="98">
        <f>M30+M63</f>
        <v>0</v>
      </c>
      <c r="N65" s="98">
        <f>N30+N63</f>
        <v>35.08</v>
      </c>
      <c r="O65" s="98">
        <f>O30+O63</f>
        <v>35.08</v>
      </c>
      <c r="P65" s="98"/>
    </row>
    <row r="66" spans="1:16" x14ac:dyDescent="0.25">
      <c r="A66" s="37"/>
      <c r="B66" s="37"/>
      <c r="C66" s="37"/>
      <c r="D66" s="37"/>
      <c r="E66" s="37"/>
      <c r="F66" s="37"/>
      <c r="G66" s="37"/>
      <c r="H66" s="37"/>
      <c r="I66" s="37"/>
      <c r="J66" s="37"/>
      <c r="K66" s="37"/>
      <c r="L66" s="37"/>
      <c r="M66" s="37"/>
      <c r="N66" s="37"/>
      <c r="O66" s="40"/>
      <c r="P66" s="40"/>
    </row>
    <row r="67" spans="1:16" x14ac:dyDescent="0.25">
      <c r="A67" s="37" t="s">
        <v>37</v>
      </c>
      <c r="B67" s="37"/>
      <c r="C67" s="37"/>
      <c r="D67" s="37"/>
      <c r="E67" s="37"/>
      <c r="F67" s="37"/>
      <c r="G67" s="37"/>
      <c r="H67" s="37"/>
      <c r="I67" s="37"/>
      <c r="J67" s="37"/>
      <c r="K67" s="37"/>
      <c r="L67" s="37"/>
      <c r="M67" s="37"/>
      <c r="N67" s="37"/>
      <c r="O67" s="45">
        <f>O26+O28+O63</f>
        <v>35.08</v>
      </c>
      <c r="P67" s="245">
        <v>40967</v>
      </c>
    </row>
    <row r="68" spans="1:16" x14ac:dyDescent="0.25">
      <c r="A68" s="37"/>
      <c r="B68" s="37"/>
      <c r="C68" s="37"/>
      <c r="D68" s="37"/>
      <c r="E68" s="37"/>
      <c r="F68" s="37"/>
      <c r="G68" s="46"/>
      <c r="H68" s="46"/>
      <c r="I68" s="46"/>
      <c r="J68" s="46"/>
      <c r="K68" s="36"/>
      <c r="L68" s="36"/>
      <c r="M68" s="36"/>
      <c r="N68" s="36"/>
      <c r="O68" s="40"/>
    </row>
    <row r="69" spans="1:16" x14ac:dyDescent="0.25">
      <c r="A69" s="41" t="s">
        <v>117</v>
      </c>
      <c r="B69" s="37"/>
      <c r="C69" s="37"/>
      <c r="D69" s="37"/>
      <c r="E69" s="37"/>
      <c r="F69" s="37"/>
      <c r="G69" s="46"/>
      <c r="H69" s="46"/>
      <c r="I69" s="46"/>
      <c r="J69" s="46"/>
      <c r="K69" s="36"/>
      <c r="L69" s="36"/>
      <c r="M69" s="36"/>
      <c r="N69" s="36"/>
      <c r="O69" s="138">
        <f>MAX($O$65,$O$67)</f>
        <v>35.08</v>
      </c>
    </row>
    <row r="70" spans="1:16" x14ac:dyDescent="0.25">
      <c r="A70" s="37"/>
      <c r="B70" s="37"/>
      <c r="C70" s="37"/>
      <c r="D70" s="37"/>
      <c r="E70" s="37"/>
      <c r="F70" s="37"/>
      <c r="G70" s="46"/>
      <c r="H70" s="46"/>
      <c r="I70" s="46"/>
      <c r="J70" s="46"/>
      <c r="K70" s="36"/>
      <c r="L70" s="36"/>
      <c r="M70" s="36"/>
      <c r="N70" s="36"/>
      <c r="O70" s="40"/>
    </row>
    <row r="71" spans="1:16" x14ac:dyDescent="0.25">
      <c r="A71" s="37"/>
      <c r="B71" s="37"/>
      <c r="C71" s="37"/>
      <c r="D71" s="37"/>
      <c r="E71" s="37"/>
      <c r="F71" s="37"/>
      <c r="G71" s="96" t="s">
        <v>86</v>
      </c>
      <c r="H71" s="46"/>
      <c r="I71" s="37"/>
      <c r="J71" s="46"/>
      <c r="K71" s="36"/>
      <c r="L71" s="191"/>
      <c r="M71" s="191"/>
      <c r="N71" s="191"/>
      <c r="O71" s="191">
        <f>ROUND(IF($C$16&lt;1,0,$O$69/($C$16*100)*10000),2)</f>
        <v>0</v>
      </c>
      <c r="P71" s="37" t="s">
        <v>87</v>
      </c>
    </row>
    <row r="72" spans="1:16" x14ac:dyDescent="0.25">
      <c r="A72" s="37"/>
      <c r="B72" s="37"/>
      <c r="C72" s="37"/>
      <c r="D72" s="37"/>
      <c r="E72" s="37"/>
      <c r="F72" s="37"/>
      <c r="G72" s="242" t="s">
        <v>190</v>
      </c>
      <c r="H72" s="136"/>
      <c r="I72" s="133"/>
      <c r="J72" s="136"/>
      <c r="K72" s="137"/>
      <c r="L72" s="78"/>
      <c r="M72" s="78"/>
      <c r="N72" s="78"/>
      <c r="O72" s="243">
        <f>ROUND(IF($C$16&lt;1,0,(L65)/($C$16*100)*10000),2)</f>
        <v>0</v>
      </c>
      <c r="P72" s="25" t="s">
        <v>87</v>
      </c>
    </row>
    <row r="73" spans="1:16" x14ac:dyDescent="0.25">
      <c r="A73" s="37"/>
      <c r="B73" s="37"/>
      <c r="C73" s="37"/>
      <c r="D73" s="37"/>
      <c r="E73" s="37"/>
      <c r="F73" s="37"/>
      <c r="G73" s="96"/>
      <c r="H73" s="46"/>
      <c r="I73" s="96"/>
      <c r="J73" s="46"/>
      <c r="K73" s="36"/>
      <c r="L73" s="36"/>
      <c r="M73" s="36"/>
      <c r="N73" s="36"/>
      <c r="O73" s="130"/>
      <c r="P73" s="37"/>
    </row>
    <row r="74" spans="1:16" ht="20.25" customHeight="1" x14ac:dyDescent="0.4">
      <c r="A74" s="3"/>
      <c r="B74" s="37"/>
      <c r="C74" s="37"/>
      <c r="D74" s="228" t="str">
        <f>IF('Customer Info'!$C$32=TRUE,"Notice: Billing Charge does not include Self Assessed KWH Tax"," ")</f>
        <v xml:space="preserve"> </v>
      </c>
      <c r="E74" s="3"/>
      <c r="F74" s="4"/>
      <c r="G74" s="121"/>
      <c r="H74" s="55"/>
      <c r="I74" s="34"/>
      <c r="J74" s="55"/>
      <c r="K74" s="37"/>
      <c r="L74" s="37"/>
      <c r="M74" s="37"/>
      <c r="N74" s="34"/>
    </row>
    <row r="75" spans="1:16" x14ac:dyDescent="0.25">
      <c r="A75" s="37"/>
      <c r="B75" s="37"/>
      <c r="C75" s="37"/>
      <c r="D75" s="54"/>
      <c r="E75" s="3"/>
      <c r="F75" s="4"/>
      <c r="G75" s="55"/>
      <c r="H75" s="55"/>
      <c r="I75" s="93"/>
      <c r="J75" s="55"/>
      <c r="K75" s="37"/>
      <c r="L75" s="37"/>
      <c r="M75" s="37"/>
      <c r="N75" s="37"/>
      <c r="O75" s="40"/>
    </row>
    <row r="76" spans="1:16" x14ac:dyDescent="0.25">
      <c r="A76" s="37"/>
      <c r="B76" s="37"/>
      <c r="C76" s="37"/>
      <c r="D76" s="54"/>
      <c r="E76" s="3"/>
      <c r="F76" s="4"/>
      <c r="G76" s="55"/>
      <c r="H76" s="55"/>
      <c r="I76" s="55"/>
      <c r="J76" s="55"/>
      <c r="K76" s="37"/>
      <c r="L76" s="37"/>
      <c r="M76" s="37"/>
      <c r="N76" s="37"/>
      <c r="O76" s="40"/>
    </row>
    <row r="77" spans="1:16" x14ac:dyDescent="0.25">
      <c r="A77" s="41"/>
      <c r="B77" s="37"/>
      <c r="C77" s="37"/>
      <c r="D77" s="37"/>
      <c r="E77" s="37"/>
      <c r="F77" s="37"/>
      <c r="G77" s="37"/>
      <c r="H77" s="37"/>
      <c r="J77" s="37"/>
      <c r="K77" s="37"/>
      <c r="L77" s="40"/>
      <c r="M77" s="40"/>
      <c r="N77" s="40"/>
      <c r="O77" s="138"/>
    </row>
    <row r="78" spans="1:16" x14ac:dyDescent="0.25">
      <c r="B78" s="37"/>
      <c r="C78" s="37"/>
      <c r="D78" s="37"/>
      <c r="E78" s="37"/>
      <c r="F78" s="37"/>
      <c r="G78" s="96"/>
      <c r="H78" s="37"/>
      <c r="I78" s="37"/>
      <c r="J78" s="37"/>
      <c r="K78" s="37"/>
      <c r="L78" s="60"/>
      <c r="M78" s="60"/>
      <c r="N78" s="60"/>
      <c r="O78" s="130"/>
      <c r="P78" s="37"/>
    </row>
    <row r="79" spans="1:16" x14ac:dyDescent="0.25">
      <c r="G79" s="133"/>
      <c r="H79" s="56"/>
      <c r="I79" s="133"/>
      <c r="J79" s="56"/>
      <c r="K79" s="56"/>
      <c r="L79" s="134"/>
      <c r="M79" s="134"/>
      <c r="N79" s="134"/>
      <c r="O79" s="135"/>
      <c r="P79" s="25"/>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row r="95" spans="1:1" x14ac:dyDescent="0.25">
      <c r="A95" s="477"/>
    </row>
  </sheetData>
  <sheetProtection algorithmName="SHA-512" hashValue="Y2AAm/7GIqj6V+RcvTRgTtGiCKIj2zHmDBS1FEgRPlLkV6fX+DqGvknp3qooObefnaC9zqp7Mi7sasjlPYdPyw==" saltValue="hkMsyriaWjewo11mLiF4BQ==" spinCount="100000" sheet="1" objects="1" scenarios="1"/>
  <mergeCells count="26">
    <mergeCell ref="A81:A95"/>
    <mergeCell ref="D22:H22"/>
    <mergeCell ref="G24:J24"/>
    <mergeCell ref="A2:P2"/>
    <mergeCell ref="A1:P1"/>
    <mergeCell ref="A3:P3"/>
    <mergeCell ref="A4:P4"/>
    <mergeCell ref="L24:O24"/>
    <mergeCell ref="A11:I11"/>
    <mergeCell ref="D21:H21"/>
    <mergeCell ref="HA2:HP2"/>
    <mergeCell ref="HQ2:IF2"/>
    <mergeCell ref="IG2:IV2"/>
    <mergeCell ref="A7:P7"/>
    <mergeCell ref="EO2:FD2"/>
    <mergeCell ref="FE2:FT2"/>
    <mergeCell ref="FU2:GJ2"/>
    <mergeCell ref="GK2:GZ2"/>
    <mergeCell ref="CC2:CR2"/>
    <mergeCell ref="CS2:DH2"/>
    <mergeCell ref="DI2:DX2"/>
    <mergeCell ref="DY2:EN2"/>
    <mergeCell ref="Q2:AF2"/>
    <mergeCell ref="AG2:AV2"/>
    <mergeCell ref="AW2:BL2"/>
    <mergeCell ref="BM2:CB2"/>
  </mergeCells>
  <phoneticPr fontId="0" type="noConversion"/>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27666" r:id="rId5" name="Button 18">
              <controlPr defaultSize="0" print="0" autoFill="0" autoPict="0" macro="[0]!Info">
                <anchor moveWithCells="1">
                  <from>
                    <xdr:col>15</xdr:col>
                    <xdr:colOff>411480</xdr:colOff>
                    <xdr:row>89</xdr:row>
                    <xdr:rowOff>76200</xdr:rowOff>
                  </from>
                  <to>
                    <xdr:col>16</xdr:col>
                    <xdr:colOff>38100</xdr:colOff>
                    <xdr:row>90</xdr:row>
                    <xdr:rowOff>144780</xdr:rowOff>
                  </to>
                </anchor>
              </controlPr>
            </control>
          </mc:Choice>
        </mc:AlternateContent>
        <mc:AlternateContent xmlns:mc="http://schemas.openxmlformats.org/markup-compatibility/2006">
          <mc:Choice Requires="x14">
            <control shapeId="27667" r:id="rId6" name="Button 19">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7668" r:id="rId7" name="Button 20">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7669" r:id="rId8" name="Button 2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7670" r:id="rId9" name="Button 22">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27679" r:id="rId10" name="Button 31">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27680" r:id="rId11" name="Button 32">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27681" r:id="rId12" name="Button 33">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27682" r:id="rId13" name="Button 34">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27683" r:id="rId14" name="Button 35">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27684" r:id="rId15" name="Button 36">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27685" r:id="rId16" name="Button 37">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27686" r:id="rId17" name="Button 38">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27687" r:id="rId18" name="Button 39">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27688" r:id="rId19" name="Button 40">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27689" r:id="rId20" name="Button 41">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27690" r:id="rId21" name="Button 42">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27691" r:id="rId22" name="Button 43">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27692" r:id="rId23" name="Button 44">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27693" r:id="rId24" name="Button 45">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27694" r:id="rId25" name="Button 46">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27695" r:id="rId26" name="Button 47">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27696" r:id="rId27" name="Button 48">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27697" r:id="rId28" name="Button 49">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27698" r:id="rId29" name="Button 50">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27699" r:id="rId30" name="Button 51">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27700" r:id="rId31" name="Button 52">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27701" r:id="rId32" name="Button 53">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27702" r:id="rId33" name="Button 54">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27703" r:id="rId34" name="Button 55">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27704" r:id="rId35" name="Button 56">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27705" r:id="rId36" name="Button 57">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27706" r:id="rId37" name="Button 58">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27707" r:id="rId38" name="Button 59">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27708" r:id="rId39" name="Button 60">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27709" r:id="rId40" name="Button 61">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27710" r:id="rId41" name="Button 62">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27711" r:id="rId42" name="Button 63">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27712" r:id="rId43" name="Button 64">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27713" r:id="rId44" name="Button 65">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27714" r:id="rId45" name="Button 66">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27715" r:id="rId46" name="Button 67">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27716" r:id="rId47" name="Button 68">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27717" r:id="rId48" name="Button 69">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27718" r:id="rId49" name="Button 70">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27719" r:id="rId50" name="Button 71">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27720" r:id="rId51" name="Button 72">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27721" r:id="rId52" name="Button 73">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27722" r:id="rId53" name="Button 74">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27723" r:id="rId54" name="Button 75">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27724" r:id="rId55" name="Button 76">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27725" r:id="rId56" name="Button 77">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27726" r:id="rId57" name="Button 78">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27727" r:id="rId58" name="Button 79">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27728" r:id="rId59" name="Button 80">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27729" r:id="rId60" name="Button 81">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27730" r:id="rId61" name="Button 82">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pageSetUpPr fitToPage="1"/>
  </sheetPr>
  <dimension ref="A1:IV95"/>
  <sheetViews>
    <sheetView showGridLines="0" topLeftCell="A20" zoomScale="80" zoomScaleNormal="80" workbookViewId="0">
      <selection activeCell="P29" sqref="P29"/>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262</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76">
        <f ca="1">TODAY()</f>
        <v>45657</v>
      </c>
      <c r="B6" s="210" t="s">
        <v>261</v>
      </c>
      <c r="C6" s="274"/>
      <c r="D6" s="274"/>
      <c r="E6" s="274"/>
      <c r="F6" s="274"/>
      <c r="G6" s="274"/>
      <c r="H6" s="274"/>
      <c r="I6" s="274"/>
      <c r="J6" s="274"/>
      <c r="K6" s="274"/>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284</v>
      </c>
      <c r="B17" s="31"/>
      <c r="C17" s="32">
        <f>'Customer Info'!$B$27</f>
        <v>0</v>
      </c>
      <c r="D17" s="32">
        <f>$C$17*$C$20</f>
        <v>0</v>
      </c>
      <c r="E17" s="31" t="s">
        <v>287</v>
      </c>
      <c r="F17" s="33"/>
      <c r="G17" s="31"/>
      <c r="H17" s="31"/>
      <c r="I17" s="31"/>
      <c r="J17" s="31"/>
      <c r="K17" s="31"/>
      <c r="L17" s="31"/>
      <c r="M17" s="31"/>
      <c r="N17" s="31"/>
      <c r="O17" s="31"/>
    </row>
    <row r="18" spans="1:30" x14ac:dyDescent="0.25">
      <c r="A18" s="31" t="s">
        <v>285</v>
      </c>
      <c r="B18" s="31"/>
      <c r="C18" s="285">
        <f>IF('Customer Info'!$B$18=0,0,ROUND(MAX(ROUND('Customer Info'!$B$18*$C$20,1),ROUND('Customer Info'!$B$19*$C$20,1))/'Customer Info'!$D$29,1))</f>
        <v>0</v>
      </c>
      <c r="D18" s="285">
        <f>$C$18*C20</f>
        <v>0</v>
      </c>
      <c r="E18" s="31" t="s">
        <v>288</v>
      </c>
      <c r="F18" s="33"/>
      <c r="G18" s="31"/>
      <c r="H18" s="31"/>
      <c r="I18" s="31"/>
      <c r="J18" s="31"/>
      <c r="K18" s="31"/>
      <c r="L18" s="31"/>
      <c r="M18" s="31"/>
      <c r="N18" s="31"/>
      <c r="O18" s="31"/>
    </row>
    <row r="19" spans="1:30" x14ac:dyDescent="0.25">
      <c r="A19" s="31" t="s">
        <v>286</v>
      </c>
      <c r="B19" s="31"/>
      <c r="C19" s="32"/>
      <c r="D19" s="285">
        <f>MAX(100,ROUND(1.15*(MAX('Customer Info'!$B$18*'GS PRI'!C20,'Customer Info'!$B$19*'GS PRI'!C20)),1))</f>
        <v>100</v>
      </c>
      <c r="E19" s="31" t="s">
        <v>288</v>
      </c>
      <c r="F19" s="33"/>
      <c r="G19" s="31"/>
      <c r="H19" s="31"/>
      <c r="I19" s="31"/>
      <c r="J19" s="31"/>
      <c r="K19" s="31"/>
      <c r="L19" s="31"/>
      <c r="M19" s="31"/>
      <c r="N19" s="31"/>
      <c r="O19" s="31"/>
    </row>
    <row r="20" spans="1:30" x14ac:dyDescent="0.25">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07" t="s">
        <v>15</v>
      </c>
      <c r="E21" s="507"/>
      <c r="F21" s="507"/>
      <c r="G21" s="507"/>
      <c r="H21" s="507"/>
      <c r="K21" s="31"/>
      <c r="L21" s="31"/>
      <c r="M21" s="31"/>
      <c r="N21" s="31"/>
      <c r="O21" s="50"/>
    </row>
    <row r="22" spans="1:30" x14ac:dyDescent="0.25">
      <c r="A22" s="31" t="s">
        <v>15</v>
      </c>
      <c r="B22" s="31"/>
      <c r="C22" s="82" t="s">
        <v>15</v>
      </c>
      <c r="D22" s="507" t="s">
        <v>15</v>
      </c>
      <c r="E22" s="507"/>
      <c r="F22" s="507"/>
      <c r="G22" s="507"/>
      <c r="H22" s="507"/>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489" t="s">
        <v>68</v>
      </c>
      <c r="H24" s="490"/>
      <c r="I24" s="490"/>
      <c r="J24" s="491"/>
      <c r="K24" s="22"/>
      <c r="L24" s="492" t="s">
        <v>69</v>
      </c>
      <c r="M24" s="492"/>
      <c r="N24" s="492"/>
      <c r="O24" s="492"/>
    </row>
    <row r="25" spans="1:30" x14ac:dyDescent="0.25">
      <c r="A25" s="18"/>
      <c r="B25" s="18"/>
      <c r="C25" s="18"/>
      <c r="D25" s="18"/>
      <c r="E25" s="18"/>
      <c r="F25" s="18"/>
      <c r="G25" s="8" t="s">
        <v>65</v>
      </c>
      <c r="H25" s="8" t="s">
        <v>66</v>
      </c>
      <c r="I25" s="8" t="s">
        <v>67</v>
      </c>
      <c r="J25" s="112" t="s">
        <v>34</v>
      </c>
      <c r="K25" s="18"/>
      <c r="L25" s="131" t="s">
        <v>65</v>
      </c>
      <c r="M25" s="131" t="s">
        <v>66</v>
      </c>
      <c r="N25" s="131"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45627</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138.5</v>
      </c>
      <c r="O30" s="40">
        <f>SUM(O26:O29)</f>
        <v>138.5</v>
      </c>
    </row>
    <row r="31" spans="1:30" x14ac:dyDescent="0.25">
      <c r="A31" s="89"/>
      <c r="B31" s="89"/>
      <c r="C31" s="90"/>
      <c r="D31" s="90"/>
      <c r="E31" s="90"/>
      <c r="F31" s="90"/>
      <c r="G31" s="91"/>
      <c r="H31" s="91"/>
      <c r="I31" s="91"/>
      <c r="J31" s="91"/>
      <c r="K31" s="89"/>
      <c r="L31" s="89"/>
      <c r="M31" s="89"/>
      <c r="N31" s="89"/>
      <c r="O31" s="89"/>
      <c r="P31" s="89"/>
    </row>
    <row r="32" spans="1:30" x14ac:dyDescent="0.25">
      <c r="A32" s="41" t="s">
        <v>70</v>
      </c>
      <c r="D32" s="1"/>
      <c r="E32" s="1"/>
      <c r="K32" s="36"/>
      <c r="L32" s="36"/>
      <c r="M32" s="36"/>
      <c r="N32" s="36"/>
      <c r="O32" s="34"/>
      <c r="P32" s="34"/>
    </row>
    <row r="33" spans="1:220" x14ac:dyDescent="0.25">
      <c r="A33" s="37"/>
      <c r="D33" s="1"/>
      <c r="E33" s="1"/>
      <c r="K33" s="36"/>
      <c r="L33" s="36"/>
      <c r="M33" s="36"/>
      <c r="N33" s="36"/>
      <c r="O33" s="34"/>
    </row>
    <row r="34" spans="1:220"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0"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0"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0"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0"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0" x14ac:dyDescent="0.25">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5" si="0">SUM(L39:N39)</f>
        <v>0</v>
      </c>
      <c r="P39" s="245">
        <f>MAX('Rider Rates'!$D$18,'Rider Rates'!$F$18)</f>
        <v>44531</v>
      </c>
    </row>
    <row r="40" spans="1:220" x14ac:dyDescent="0.25">
      <c r="A40" s="210" t="s">
        <v>186</v>
      </c>
      <c r="B40" s="78"/>
      <c r="C40" s="78"/>
      <c r="D40" s="100">
        <f>'Customer Info'!$B$21+'Customer Info'!$B$22-'Customer Info'!$B$23</f>
        <v>0</v>
      </c>
      <c r="E40" s="101" t="s">
        <v>41</v>
      </c>
      <c r="F40" s="102" t="s">
        <v>8</v>
      </c>
      <c r="G40" s="103">
        <f>'Rider Rates'!B24</f>
        <v>6.7849999999999994E-2</v>
      </c>
      <c r="H40" s="103"/>
      <c r="I40" s="103"/>
      <c r="J40" s="237">
        <f>SUM(G40:H40)</f>
        <v>6.7849999999999994E-2</v>
      </c>
      <c r="K40" s="104" t="s">
        <v>42</v>
      </c>
      <c r="L40" s="105">
        <f>ROUND(D40*G40,2)</f>
        <v>0</v>
      </c>
      <c r="M40" s="105"/>
      <c r="N40" s="105"/>
      <c r="O40" s="105">
        <f t="shared" si="0"/>
        <v>0</v>
      </c>
      <c r="P40" s="245">
        <f>'Rider Rates'!$D$23</f>
        <v>45444</v>
      </c>
    </row>
    <row r="41" spans="1:220" x14ac:dyDescent="0.25">
      <c r="A41" s="241" t="s">
        <v>161</v>
      </c>
      <c r="B41" s="78"/>
      <c r="C41" s="78"/>
      <c r="D41" s="100">
        <f>'Customer Info'!$B$21+'Customer Info'!$B$22-'Customer Info'!$B$23</f>
        <v>0</v>
      </c>
      <c r="E41" s="101" t="s">
        <v>41</v>
      </c>
      <c r="F41" s="102" t="s">
        <v>8</v>
      </c>
      <c r="G41" s="103">
        <f>'Rider Rates'!$B$37</f>
        <v>2.14E-3</v>
      </c>
      <c r="H41" s="103"/>
      <c r="I41" s="103"/>
      <c r="J41" s="237">
        <f>SUM(G41:H41)</f>
        <v>2.14E-3</v>
      </c>
      <c r="K41" s="104" t="s">
        <v>42</v>
      </c>
      <c r="L41" s="105">
        <f>ROUND(D41*G41,2)</f>
        <v>0</v>
      </c>
      <c r="M41" s="105"/>
      <c r="N41" s="105"/>
      <c r="O41" s="105">
        <f t="shared" si="0"/>
        <v>0</v>
      </c>
      <c r="P41" s="245">
        <f>'Rider Rates'!$D$37</f>
        <v>45444</v>
      </c>
    </row>
    <row r="42" spans="1:220" x14ac:dyDescent="0.25">
      <c r="A42" s="210" t="s">
        <v>193</v>
      </c>
      <c r="B42" s="78"/>
      <c r="C42" s="78"/>
      <c r="D42" s="100">
        <f>'Customer Info'!$B$21+'Customer Info'!$B$22-'Customer Info'!$B$23</f>
        <v>0</v>
      </c>
      <c r="E42" s="101" t="s">
        <v>41</v>
      </c>
      <c r="F42" s="102" t="s">
        <v>8</v>
      </c>
      <c r="G42" s="103">
        <f>'Rider Rates'!$B$45</f>
        <v>4.5009999999999999E-4</v>
      </c>
      <c r="H42" s="103"/>
      <c r="I42" s="103"/>
      <c r="J42" s="237">
        <f>SUM(G42:H42)</f>
        <v>4.5009999999999999E-4</v>
      </c>
      <c r="K42" s="104" t="s">
        <v>42</v>
      </c>
      <c r="L42" s="105">
        <f>ROUND(D42*G42,2)</f>
        <v>0</v>
      </c>
      <c r="M42" s="105"/>
      <c r="N42" s="105"/>
      <c r="O42" s="105">
        <f t="shared" si="0"/>
        <v>0</v>
      </c>
      <c r="P42" s="245">
        <f>'Rider Rates'!$D$45</f>
        <v>45657</v>
      </c>
    </row>
    <row r="43" spans="1:220" x14ac:dyDescent="0.25">
      <c r="A43" s="241" t="s">
        <v>210</v>
      </c>
      <c r="B43" s="78"/>
      <c r="C43" s="78"/>
      <c r="D43" s="1">
        <f>IF($C$16&lt;0,0,IF($C$16&gt;833000,833000,$C$16))</f>
        <v>0</v>
      </c>
      <c r="E43" s="101" t="s">
        <v>41</v>
      </c>
      <c r="F43" s="102" t="s">
        <v>8</v>
      </c>
      <c r="G43" s="103"/>
      <c r="H43" s="103"/>
      <c r="I43" s="103">
        <f>'Rider Rates'!D49</f>
        <v>1.8006999999999999E-3</v>
      </c>
      <c r="J43" s="103">
        <f>SUM(G43:I43)</f>
        <v>1.8006999999999999E-3</v>
      </c>
      <c r="K43" s="104" t="s">
        <v>42</v>
      </c>
      <c r="L43" s="105"/>
      <c r="M43" s="105"/>
      <c r="N43" s="87">
        <f>D43*J43</f>
        <v>0</v>
      </c>
      <c r="O43" s="105">
        <f t="shared" si="0"/>
        <v>0</v>
      </c>
      <c r="P43" s="245">
        <f>'Rider Rates'!E49</f>
        <v>45658</v>
      </c>
    </row>
    <row r="44" spans="1:220" x14ac:dyDescent="0.25">
      <c r="A44" s="210" t="s">
        <v>189</v>
      </c>
      <c r="B44" s="78"/>
      <c r="C44" s="78"/>
      <c r="D44" s="1">
        <f>IF($C$16&lt;0,0,$C$16)</f>
        <v>0</v>
      </c>
      <c r="E44" s="113" t="s">
        <v>41</v>
      </c>
      <c r="F44" s="102" t="s">
        <v>8</v>
      </c>
      <c r="G44" s="103"/>
      <c r="H44" s="103">
        <f>'Rider Rates'!B58</f>
        <v>5.8060000000000002E-4</v>
      </c>
      <c r="I44" s="103"/>
      <c r="J44" s="103">
        <f>SUM(G44:I44)</f>
        <v>5.8060000000000002E-4</v>
      </c>
      <c r="K44" s="104" t="s">
        <v>42</v>
      </c>
      <c r="L44" s="105"/>
      <c r="M44" s="105">
        <f>ROUND(D44*H44,2)</f>
        <v>0</v>
      </c>
      <c r="N44" s="205"/>
      <c r="O44" s="105">
        <f t="shared" si="0"/>
        <v>0</v>
      </c>
      <c r="P44" s="245">
        <f>'Rider Rates'!$D$57</f>
        <v>45383</v>
      </c>
    </row>
    <row r="45" spans="1:220" x14ac:dyDescent="0.25">
      <c r="A45" s="210" t="s">
        <v>189</v>
      </c>
      <c r="B45" s="78"/>
      <c r="C45" s="78"/>
      <c r="D45" s="49">
        <f>D14</f>
        <v>0</v>
      </c>
      <c r="E45" s="35" t="s">
        <v>64</v>
      </c>
      <c r="F45" s="4" t="s">
        <v>8</v>
      </c>
      <c r="G45" s="103"/>
      <c r="H45" s="239">
        <f>'Rider Rates'!B63</f>
        <v>6.76</v>
      </c>
      <c r="I45" s="103"/>
      <c r="J45" s="239">
        <f>SUM(G45:I45)</f>
        <v>6.76</v>
      </c>
      <c r="K45" s="104" t="s">
        <v>44</v>
      </c>
      <c r="L45" s="105"/>
      <c r="M45" s="105">
        <f>ROUND(D45*H45,2)</f>
        <v>0</v>
      </c>
      <c r="N45" s="205"/>
      <c r="O45" s="105">
        <f t="shared" si="0"/>
        <v>0</v>
      </c>
      <c r="P45" s="245">
        <f>'Rider Rates'!$D$62</f>
        <v>45383</v>
      </c>
    </row>
    <row r="46" spans="1:220" x14ac:dyDescent="0.25">
      <c r="A46" s="99" t="s">
        <v>83</v>
      </c>
      <c r="B46" s="78"/>
      <c r="C46" s="78"/>
      <c r="D46" s="1">
        <f>IF('Customer Info'!C34=TRUE,0,IF($C$16&lt;0,0,$C$16))</f>
        <v>0</v>
      </c>
      <c r="E46" s="101" t="s">
        <v>41</v>
      </c>
      <c r="F46" s="102" t="s">
        <v>8</v>
      </c>
      <c r="G46" s="103"/>
      <c r="H46" s="103"/>
      <c r="I46" s="103">
        <f>'Rider Rates'!$B$71+'Rider Rates'!$C$71</f>
        <v>0</v>
      </c>
      <c r="J46" s="103">
        <f>SUM(G46:I46)</f>
        <v>0</v>
      </c>
      <c r="K46" s="104" t="s">
        <v>42</v>
      </c>
      <c r="L46" s="105"/>
      <c r="M46" s="105"/>
      <c r="N46" s="87">
        <f>ROUND($D$46*'Rider Rates'!$B$71,2)+ROUND($D$46*'Rider Rates'!$C$71,2)</f>
        <v>0</v>
      </c>
      <c r="O46" s="209">
        <f t="shared" ref="O46:O53" si="1">SUM(L46:N46)</f>
        <v>0</v>
      </c>
      <c r="P46" s="245">
        <f>'Rider Rates'!$D$71</f>
        <v>45444</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83</v>
      </c>
      <c r="B47" s="78"/>
      <c r="C47" s="78"/>
      <c r="D47" s="49">
        <f>IF('Customer Info'!C34=TRUE,0,$D$28)</f>
        <v>0</v>
      </c>
      <c r="E47" s="101" t="s">
        <v>45</v>
      </c>
      <c r="F47" s="102" t="s">
        <v>8</v>
      </c>
      <c r="G47" s="103"/>
      <c r="H47" s="103"/>
      <c r="I47" s="239">
        <f>'Rider Rates'!$B$81</f>
        <v>0</v>
      </c>
      <c r="J47" s="239">
        <f>SUM(G47:I47)</f>
        <v>0</v>
      </c>
      <c r="K47" s="104" t="s">
        <v>42</v>
      </c>
      <c r="L47" s="105"/>
      <c r="M47" s="105"/>
      <c r="N47" s="87">
        <f>ROUND($D47*I47,2)</f>
        <v>0</v>
      </c>
      <c r="O47" s="209">
        <f>SUM(L47:N47)</f>
        <v>0</v>
      </c>
      <c r="P47" s="245">
        <f>'Rider Rates'!$D$81</f>
        <v>45444</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5">
      <c r="A48" s="99" t="s">
        <v>81</v>
      </c>
      <c r="B48" s="78"/>
      <c r="C48" s="78"/>
      <c r="D48" s="208">
        <f>$N$30</f>
        <v>138.5</v>
      </c>
      <c r="E48" s="101" t="s">
        <v>122</v>
      </c>
      <c r="F48" s="102" t="s">
        <v>8</v>
      </c>
      <c r="G48" s="111"/>
      <c r="H48" s="112"/>
      <c r="I48" s="120">
        <f>'Rider Rates'!$B$85</f>
        <v>4.94232E-2</v>
      </c>
      <c r="J48" s="120">
        <f>SUM(H48:I48)</f>
        <v>4.94232E-2</v>
      </c>
      <c r="K48" s="104"/>
      <c r="L48" s="105"/>
      <c r="M48" s="105"/>
      <c r="N48" s="105">
        <f>ROUND(N$30*I48,2)</f>
        <v>6.85</v>
      </c>
      <c r="O48" s="209">
        <f t="shared" si="1"/>
        <v>6.85</v>
      </c>
      <c r="P48" s="245">
        <f>'Rider Rates'!$D$85</f>
        <v>45562</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5">
      <c r="A49" s="99" t="s">
        <v>82</v>
      </c>
      <c r="B49" s="78"/>
      <c r="C49" s="78"/>
      <c r="D49" s="208">
        <f>$N$30</f>
        <v>138.5</v>
      </c>
      <c r="E49" s="101" t="s">
        <v>122</v>
      </c>
      <c r="F49" s="102" t="s">
        <v>8</v>
      </c>
      <c r="G49" s="114"/>
      <c r="H49" s="115"/>
      <c r="I49" s="120">
        <f>'Rider Rates'!$B$87</f>
        <v>6.6985699999999995E-2</v>
      </c>
      <c r="J49" s="120">
        <f>SUM(H49:I49)</f>
        <v>6.6985699999999995E-2</v>
      </c>
      <c r="K49" s="104"/>
      <c r="L49" s="105"/>
      <c r="M49" s="105"/>
      <c r="N49" s="105">
        <f>ROUND(N$30*I49,2)</f>
        <v>9.2799999999999994</v>
      </c>
      <c r="O49" s="209">
        <f t="shared" si="1"/>
        <v>9.2799999999999994</v>
      </c>
      <c r="P49" s="245">
        <f>'Rider Rates'!$D$87</f>
        <v>45167</v>
      </c>
      <c r="Q49" s="107"/>
      <c r="R49" s="108"/>
      <c r="S49" s="109"/>
      <c r="T49" s="78"/>
      <c r="U49" s="110"/>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row>
    <row r="50" spans="1:221" x14ac:dyDescent="0.25">
      <c r="A50" s="210" t="s">
        <v>206</v>
      </c>
      <c r="B50" s="78"/>
      <c r="C50" s="78"/>
      <c r="D50" s="195"/>
      <c r="E50" s="113" t="s">
        <v>115</v>
      </c>
      <c r="F50" s="106"/>
      <c r="G50" s="114"/>
      <c r="H50" s="115"/>
      <c r="I50" s="196">
        <f>'Rider Rates'!$B$91</f>
        <v>17.53</v>
      </c>
      <c r="J50" s="196">
        <f>SUM(G50:I50)</f>
        <v>17.53</v>
      </c>
      <c r="K50" s="104"/>
      <c r="L50" s="105"/>
      <c r="M50" s="105"/>
      <c r="N50" s="105">
        <f>I50</f>
        <v>17.53</v>
      </c>
      <c r="O50" s="105">
        <f>SUM(L50:N50)</f>
        <v>17.53</v>
      </c>
      <c r="P50" s="245">
        <f>'Rider Rates'!$D$91</f>
        <v>45657</v>
      </c>
    </row>
    <row r="51" spans="1:221" x14ac:dyDescent="0.25">
      <c r="A51" s="241" t="s">
        <v>251</v>
      </c>
      <c r="B51" s="78"/>
      <c r="C51" s="78"/>
      <c r="D51" s="1">
        <f>$D$34</f>
        <v>0</v>
      </c>
      <c r="E51" s="101" t="s">
        <v>41</v>
      </c>
      <c r="F51" s="102" t="s">
        <v>8</v>
      </c>
      <c r="G51" s="103"/>
      <c r="H51" s="103"/>
      <c r="I51" s="103"/>
      <c r="J51" s="103">
        <f>'Rider Rates'!$B$96</f>
        <v>0</v>
      </c>
      <c r="K51" s="104" t="s">
        <v>42</v>
      </c>
      <c r="L51" s="105"/>
      <c r="M51" s="105"/>
      <c r="N51" s="87"/>
      <c r="O51" s="105">
        <f>ROUND($D51*('Rider Rates'!B$96),2)</f>
        <v>0</v>
      </c>
      <c r="P51" s="245">
        <f>'Rider Rates'!$D$96</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241" t="s">
        <v>252</v>
      </c>
      <c r="B52" s="78"/>
      <c r="C52" s="78"/>
      <c r="D52" s="1">
        <f>$D$35</f>
        <v>0</v>
      </c>
      <c r="E52" s="101" t="s">
        <v>41</v>
      </c>
      <c r="F52" s="102" t="s">
        <v>8</v>
      </c>
      <c r="G52" s="103"/>
      <c r="H52" s="103"/>
      <c r="I52" s="103"/>
      <c r="J52" s="103">
        <f>'Rider Rates'!$B$97</f>
        <v>0</v>
      </c>
      <c r="K52" s="104" t="s">
        <v>42</v>
      </c>
      <c r="L52" s="105"/>
      <c r="M52" s="105"/>
      <c r="N52" s="87"/>
      <c r="O52" s="105">
        <f>ROUND($D52*('Rider Rates'!B$97),2)</f>
        <v>0</v>
      </c>
      <c r="P52" s="245">
        <f>'Rider Rates'!$D$97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99" t="s">
        <v>156</v>
      </c>
      <c r="B53" s="78"/>
      <c r="C53" s="78"/>
      <c r="D53" s="208">
        <f>$N$30</f>
        <v>138.5</v>
      </c>
      <c r="E53" s="101" t="s">
        <v>122</v>
      </c>
      <c r="F53" s="102" t="s">
        <v>8</v>
      </c>
      <c r="G53" s="114"/>
      <c r="H53" s="115"/>
      <c r="I53" s="120">
        <f>'Rider Rates'!$B$105</f>
        <v>0.2363101</v>
      </c>
      <c r="J53" s="120">
        <f>SUM(H53:I53)</f>
        <v>0.2363101</v>
      </c>
      <c r="K53" s="104"/>
      <c r="L53" s="105"/>
      <c r="M53" s="105"/>
      <c r="N53" s="105">
        <f>ROUND(N$30*I53,2)</f>
        <v>32.729999999999997</v>
      </c>
      <c r="O53" s="105">
        <f t="shared" si="1"/>
        <v>32.729999999999997</v>
      </c>
      <c r="P53" s="245">
        <f>'Rider Rates'!$D$105</f>
        <v>45622</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209</v>
      </c>
      <c r="B54" s="78"/>
      <c r="C54" s="78"/>
      <c r="D54" s="195"/>
      <c r="E54" s="113" t="s">
        <v>115</v>
      </c>
      <c r="F54" s="106"/>
      <c r="G54" s="114"/>
      <c r="H54" s="115"/>
      <c r="I54" s="196">
        <f>'Rider Rates'!$B$109</f>
        <v>0</v>
      </c>
      <c r="J54" s="196">
        <f>SUM(G54:I54)</f>
        <v>0</v>
      </c>
      <c r="K54" s="104"/>
      <c r="L54" s="105"/>
      <c r="M54" s="105"/>
      <c r="N54" s="105">
        <f>I54</f>
        <v>0</v>
      </c>
      <c r="O54" s="105">
        <f t="shared" ref="O54:O59" si="2">SUM(L54:N54)</f>
        <v>0</v>
      </c>
      <c r="P54" s="245">
        <f>'Rider Rates'!$D$109</f>
        <v>44894</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10" t="s">
        <v>217</v>
      </c>
      <c r="B55" s="78"/>
      <c r="C55" s="78"/>
      <c r="D55" s="195"/>
      <c r="E55" s="113" t="s">
        <v>115</v>
      </c>
      <c r="F55" s="106"/>
      <c r="G55" s="114"/>
      <c r="H55" s="115"/>
      <c r="I55" s="258">
        <f>'Rider Rates'!B122</f>
        <v>4.84</v>
      </c>
      <c r="J55" s="196">
        <f>SUM(G55:I55)</f>
        <v>4.84</v>
      </c>
      <c r="K55" s="104"/>
      <c r="L55" s="105"/>
      <c r="M55" s="105"/>
      <c r="N55" s="260">
        <f>I55</f>
        <v>4.84</v>
      </c>
      <c r="O55" s="105">
        <f t="shared" si="2"/>
        <v>4.84</v>
      </c>
      <c r="P55" s="245">
        <f>'Rider Rates'!D122</f>
        <v>45593</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99" t="s">
        <v>157</v>
      </c>
      <c r="B56" s="78"/>
      <c r="C56" s="78"/>
      <c r="D56" s="100">
        <f>IF('Customer Info'!$C$32=TRUE,0,'Customer Info'!$B$21+'Customer Info'!$B$22-'Customer Info'!$B$23)</f>
        <v>0</v>
      </c>
      <c r="E56" s="101" t="s">
        <v>41</v>
      </c>
      <c r="F56" s="102" t="s">
        <v>8</v>
      </c>
      <c r="G56" s="103">
        <f>'Rider Rates'!$B$113</f>
        <v>3.7618E-3</v>
      </c>
      <c r="H56" s="103"/>
      <c r="I56" s="120"/>
      <c r="J56" s="237">
        <f>SUM(G56:H56)</f>
        <v>3.7618E-3</v>
      </c>
      <c r="K56" s="104" t="s">
        <v>42</v>
      </c>
      <c r="L56" s="105">
        <f>ROUND(D56*G56,2)</f>
        <v>0</v>
      </c>
      <c r="M56" s="105"/>
      <c r="N56" s="105"/>
      <c r="O56" s="105">
        <f t="shared" si="2"/>
        <v>0</v>
      </c>
      <c r="P56" s="245">
        <f>'Rider Rates'!$D$113</f>
        <v>44531</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210" t="s">
        <v>208</v>
      </c>
      <c r="B57" s="78"/>
      <c r="C57" s="78"/>
      <c r="D57" s="1">
        <f>IF($C$16&lt;1,0,$C$16)</f>
        <v>0</v>
      </c>
      <c r="E57" s="101" t="s">
        <v>41</v>
      </c>
      <c r="F57" s="249" t="s">
        <v>8</v>
      </c>
      <c r="G57" s="165"/>
      <c r="H57" s="165"/>
      <c r="I57" s="251">
        <f>'Rider Rates'!B118</f>
        <v>0</v>
      </c>
      <c r="J57" s="251">
        <f>SUM(G57:I57)</f>
        <v>0</v>
      </c>
      <c r="K57" s="104" t="s">
        <v>42</v>
      </c>
      <c r="L57" s="105"/>
      <c r="M57" s="105"/>
      <c r="N57" s="105">
        <f>D57*I57</f>
        <v>0</v>
      </c>
      <c r="O57" s="105">
        <f t="shared" si="2"/>
        <v>0</v>
      </c>
      <c r="P57" s="245">
        <f>'Rider Rates'!D118</f>
        <v>45657</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233</v>
      </c>
      <c r="B58" s="78"/>
      <c r="C58" s="78"/>
      <c r="D58" s="100">
        <f>IF(C16&lt;0,0,IF(C16&gt;833000,833000,C16))</f>
        <v>0</v>
      </c>
      <c r="E58" s="101" t="s">
        <v>41</v>
      </c>
      <c r="F58" s="102" t="s">
        <v>8</v>
      </c>
      <c r="G58" s="265"/>
      <c r="H58" s="265"/>
      <c r="I58" s="265">
        <f>'Rider Rates'!$B$126</f>
        <v>2.9050000000000001E-4</v>
      </c>
      <c r="J58" s="265">
        <f>SUM(G58:I58)</f>
        <v>2.9050000000000001E-4</v>
      </c>
      <c r="K58" s="104" t="s">
        <v>42</v>
      </c>
      <c r="L58" s="266"/>
      <c r="M58" s="266"/>
      <c r="N58" s="266">
        <f>IF(D58*J58&gt;'Rider Rates'!$C$126,'Rider Rates'!$C$126,D58*J58)</f>
        <v>0</v>
      </c>
      <c r="O58" s="266">
        <f t="shared" si="2"/>
        <v>0</v>
      </c>
      <c r="P58" s="264">
        <f>'Rider Rates'!$E$126</f>
        <v>45658</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78" t="s">
        <v>234</v>
      </c>
      <c r="B59" s="78"/>
      <c r="C59" s="78"/>
      <c r="D59" s="123">
        <f>IF(C16&gt;833000,C16-833000,0)</f>
        <v>0</v>
      </c>
      <c r="E59" s="101" t="s">
        <v>41</v>
      </c>
      <c r="F59" s="102" t="s">
        <v>8</v>
      </c>
      <c r="G59" s="265"/>
      <c r="H59" s="265"/>
      <c r="I59" s="265">
        <f>'Rider Rates'!$B$127</f>
        <v>0</v>
      </c>
      <c r="J59" s="265">
        <f>SUM(G59:I59)</f>
        <v>0</v>
      </c>
      <c r="K59" s="104" t="s">
        <v>42</v>
      </c>
      <c r="L59" s="266"/>
      <c r="M59" s="266"/>
      <c r="N59" s="266">
        <f>D59*J59</f>
        <v>0</v>
      </c>
      <c r="O59" s="266">
        <f t="shared" si="2"/>
        <v>0</v>
      </c>
      <c r="P59" s="264">
        <f>'Rider Rates'!$E$127</f>
        <v>45658</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242</v>
      </c>
      <c r="B60" s="78"/>
      <c r="C60" s="78"/>
      <c r="D60" s="100">
        <f>D16</f>
        <v>0</v>
      </c>
      <c r="E60" s="101" t="s">
        <v>41</v>
      </c>
      <c r="F60" s="249" t="s">
        <v>8</v>
      </c>
      <c r="G60" s="103"/>
      <c r="H60" s="103"/>
      <c r="I60" s="103">
        <f>'Rider Rates'!$B$133</f>
        <v>0</v>
      </c>
      <c r="J60" s="237">
        <f>SUM(G60:I60)</f>
        <v>0</v>
      </c>
      <c r="K60" s="104" t="s">
        <v>42</v>
      </c>
      <c r="L60" s="105"/>
      <c r="M60" s="105"/>
      <c r="N60" s="105">
        <f>D60*J60</f>
        <v>0</v>
      </c>
      <c r="O60" s="105">
        <f>SUM(L60:N60)</f>
        <v>0</v>
      </c>
      <c r="P60" s="245">
        <f>'Rider Rates'!$D$131</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241</v>
      </c>
      <c r="B61" s="78"/>
      <c r="C61" s="78"/>
      <c r="D61" s="100"/>
      <c r="E61" s="101" t="s">
        <v>115</v>
      </c>
      <c r="F61" s="102" t="s">
        <v>8</v>
      </c>
      <c r="G61" s="263"/>
      <c r="H61" s="263"/>
      <c r="I61" s="263">
        <f>'Rider Rates'!$B$138</f>
        <v>0</v>
      </c>
      <c r="J61" s="263">
        <f>SUM(G61:I61)</f>
        <v>0</v>
      </c>
      <c r="K61" s="104"/>
      <c r="L61" s="209"/>
      <c r="M61" s="209"/>
      <c r="N61" s="209">
        <f>J61</f>
        <v>0</v>
      </c>
      <c r="O61" s="209">
        <f>SUM(L61:N61)</f>
        <v>0</v>
      </c>
      <c r="P61" s="264">
        <f>'Rider Rates'!$D$138</f>
        <v>44531</v>
      </c>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241" t="s">
        <v>243</v>
      </c>
      <c r="B62" s="78"/>
      <c r="C62" s="78"/>
      <c r="D62" s="100"/>
      <c r="E62" s="101"/>
      <c r="F62" s="102"/>
      <c r="G62" s="263"/>
      <c r="H62" s="263"/>
      <c r="I62" s="263"/>
      <c r="J62" s="263"/>
      <c r="K62" s="104"/>
      <c r="L62" s="209"/>
      <c r="M62" s="209"/>
      <c r="N62" s="209"/>
      <c r="O62" s="209"/>
      <c r="P62" s="264"/>
      <c r="Q62" s="106"/>
      <c r="R62" s="107"/>
      <c r="S62" s="108"/>
      <c r="T62" s="109"/>
      <c r="U62" s="78"/>
      <c r="V62" s="110"/>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21" x14ac:dyDescent="0.25">
      <c r="A63" s="179" t="s">
        <v>71</v>
      </c>
      <c r="B63" s="148"/>
      <c r="C63" s="148"/>
      <c r="D63" s="180"/>
      <c r="E63" s="181"/>
      <c r="F63" s="182"/>
      <c r="G63" s="182"/>
      <c r="H63" s="182"/>
      <c r="I63" s="182"/>
      <c r="J63" s="182"/>
      <c r="K63" s="183"/>
      <c r="L63" s="169">
        <f>SUM(L34:L62)</f>
        <v>0</v>
      </c>
      <c r="M63" s="169">
        <f t="shared" ref="M63:O63" si="3">SUM(M34:M62)</f>
        <v>0</v>
      </c>
      <c r="N63" s="169">
        <f t="shared" si="3"/>
        <v>71.22999999999999</v>
      </c>
      <c r="O63" s="169">
        <f t="shared" si="3"/>
        <v>71.22999999999999</v>
      </c>
      <c r="P63" s="184"/>
    </row>
    <row r="64" spans="1:221" x14ac:dyDescent="0.25">
      <c r="A64" s="37"/>
      <c r="D64" s="1"/>
      <c r="E64" s="35"/>
      <c r="F64" s="4"/>
      <c r="G64" s="42"/>
      <c r="H64" s="42"/>
      <c r="I64" s="42"/>
      <c r="J64" s="42"/>
      <c r="K64" s="36"/>
      <c r="L64" s="36"/>
      <c r="M64" s="36"/>
      <c r="N64" s="36"/>
      <c r="O64" s="34"/>
      <c r="P64" s="36"/>
    </row>
    <row r="65" spans="1:16" x14ac:dyDescent="0.25">
      <c r="A65" s="81" t="s">
        <v>72</v>
      </c>
      <c r="B65" s="92"/>
      <c r="C65" s="92"/>
      <c r="D65" s="92"/>
      <c r="E65" s="92"/>
      <c r="F65" s="92"/>
      <c r="G65" s="92"/>
      <c r="H65" s="92"/>
      <c r="I65" s="92"/>
      <c r="J65" s="92"/>
      <c r="K65" s="92"/>
      <c r="L65" s="98">
        <f>L30+L63</f>
        <v>0</v>
      </c>
      <c r="M65" s="98">
        <f>M30+M63</f>
        <v>0</v>
      </c>
      <c r="N65" s="98">
        <f>N30+N63</f>
        <v>209.73</v>
      </c>
      <c r="O65" s="98">
        <f>O30+O63</f>
        <v>209.73</v>
      </c>
      <c r="P65" s="98"/>
    </row>
    <row r="66" spans="1:16" x14ac:dyDescent="0.25">
      <c r="A66" s="37"/>
      <c r="B66" s="37"/>
      <c r="C66" s="37"/>
      <c r="D66" s="37"/>
      <c r="E66" s="37"/>
      <c r="F66" s="37"/>
      <c r="G66" s="37"/>
      <c r="H66" s="37"/>
      <c r="I66" s="37"/>
      <c r="J66" s="37"/>
      <c r="K66" s="37"/>
      <c r="L66" s="37"/>
      <c r="M66" s="37"/>
      <c r="N66" s="37"/>
      <c r="O66" s="40"/>
      <c r="P66" s="40"/>
    </row>
    <row r="67" spans="1:16" x14ac:dyDescent="0.25">
      <c r="A67" s="37" t="s">
        <v>37</v>
      </c>
      <c r="B67" s="37"/>
      <c r="C67" s="37"/>
      <c r="D67" s="37"/>
      <c r="E67" s="37"/>
      <c r="F67" s="37"/>
      <c r="G67" s="37"/>
      <c r="H67" s="37"/>
      <c r="I67" s="37"/>
      <c r="J67" s="37"/>
      <c r="K67" s="37"/>
      <c r="L67" s="37"/>
      <c r="M67" s="37"/>
      <c r="N67" s="37"/>
      <c r="O67" s="45">
        <f>O26+O28+O63</f>
        <v>209.73</v>
      </c>
      <c r="P67" s="245">
        <v>40967</v>
      </c>
    </row>
    <row r="68" spans="1:16" x14ac:dyDescent="0.25">
      <c r="A68" s="37"/>
      <c r="B68" s="37"/>
      <c r="C68" s="37"/>
      <c r="D68" s="37"/>
      <c r="E68" s="37"/>
      <c r="F68" s="37"/>
      <c r="G68" s="46"/>
      <c r="H68" s="46"/>
      <c r="I68" s="46"/>
      <c r="J68" s="46"/>
      <c r="K68" s="36"/>
      <c r="L68" s="36"/>
      <c r="M68" s="36"/>
      <c r="N68" s="36"/>
      <c r="O68" s="40"/>
    </row>
    <row r="69" spans="1:16" x14ac:dyDescent="0.25">
      <c r="A69" s="41" t="s">
        <v>117</v>
      </c>
      <c r="B69" s="37"/>
      <c r="C69" s="37"/>
      <c r="D69" s="37"/>
      <c r="E69" s="37"/>
      <c r="F69" s="37"/>
      <c r="G69" s="46"/>
      <c r="H69" s="46"/>
      <c r="I69" s="46"/>
      <c r="J69" s="46"/>
      <c r="K69" s="36"/>
      <c r="L69" s="36"/>
      <c r="M69" s="36"/>
      <c r="N69" s="36"/>
      <c r="O69" s="138">
        <f>MAX($O$65,$O$67)</f>
        <v>209.73</v>
      </c>
    </row>
    <row r="70" spans="1:16" x14ac:dyDescent="0.25">
      <c r="A70" s="37"/>
      <c r="B70" s="37"/>
      <c r="C70" s="37"/>
      <c r="D70" s="37"/>
      <c r="E70" s="37"/>
      <c r="F70" s="37"/>
      <c r="G70" s="46"/>
      <c r="H70" s="46"/>
      <c r="I70" s="46"/>
      <c r="J70" s="46"/>
      <c r="K70" s="36"/>
      <c r="L70" s="36"/>
      <c r="M70" s="36"/>
      <c r="N70" s="36"/>
      <c r="O70" s="40"/>
    </row>
    <row r="71" spans="1:16" x14ac:dyDescent="0.25">
      <c r="A71" s="37"/>
      <c r="B71" s="37"/>
      <c r="C71" s="37"/>
      <c r="D71" s="37"/>
      <c r="E71" s="37"/>
      <c r="F71" s="37"/>
      <c r="G71" s="96" t="s">
        <v>86</v>
      </c>
      <c r="H71" s="46"/>
      <c r="I71" s="37"/>
      <c r="J71" s="46"/>
      <c r="K71" s="36"/>
      <c r="L71" s="191"/>
      <c r="M71" s="191"/>
      <c r="N71" s="191"/>
      <c r="O71" s="191">
        <f>ROUND(IF($C$16&lt;1,0,$O$69/($C$16*100)*10000),2)</f>
        <v>0</v>
      </c>
      <c r="P71" s="37" t="s">
        <v>87</v>
      </c>
    </row>
    <row r="72" spans="1:16" x14ac:dyDescent="0.25">
      <c r="A72" s="37"/>
      <c r="B72" s="37"/>
      <c r="C72" s="37"/>
      <c r="D72" s="37"/>
      <c r="E72" s="37"/>
      <c r="F72" s="37"/>
      <c r="G72" s="242" t="s">
        <v>190</v>
      </c>
      <c r="H72" s="136"/>
      <c r="I72" s="133"/>
      <c r="J72" s="136"/>
      <c r="K72" s="137"/>
      <c r="L72" s="78"/>
      <c r="M72" s="78"/>
      <c r="N72" s="78"/>
      <c r="O72" s="243">
        <f>ROUND(IF($C$16&lt;1,0,(L65)/($C$16*100)*10000),2)</f>
        <v>0</v>
      </c>
      <c r="P72" s="25" t="s">
        <v>87</v>
      </c>
    </row>
    <row r="73" spans="1:16" x14ac:dyDescent="0.25">
      <c r="A73" s="37"/>
      <c r="B73" s="37"/>
      <c r="C73" s="37"/>
      <c r="D73" s="37"/>
      <c r="E73" s="37"/>
      <c r="F73" s="37"/>
      <c r="G73" s="96"/>
      <c r="H73" s="46"/>
      <c r="I73" s="96"/>
      <c r="J73" s="46"/>
      <c r="K73" s="36"/>
      <c r="L73" s="36"/>
      <c r="M73" s="36"/>
      <c r="N73" s="36"/>
      <c r="O73" s="130"/>
      <c r="P73" s="37"/>
    </row>
    <row r="74" spans="1:16" ht="20.25" customHeight="1" x14ac:dyDescent="0.4">
      <c r="A74" s="3"/>
      <c r="B74" s="37"/>
      <c r="C74" s="37"/>
      <c r="D74" s="228" t="str">
        <f>IF('Customer Info'!$C$32=TRUE,"Notice: Billing Charge does not include Self Assessed KWH Tax"," ")</f>
        <v xml:space="preserve"> </v>
      </c>
      <c r="E74" s="3"/>
      <c r="F74" s="4"/>
      <c r="G74" s="121"/>
      <c r="H74" s="55"/>
      <c r="I74" s="34"/>
      <c r="J74" s="55"/>
      <c r="K74" s="37"/>
      <c r="L74" s="37"/>
      <c r="M74" s="37"/>
      <c r="N74" s="34"/>
    </row>
    <row r="75" spans="1:16" x14ac:dyDescent="0.25">
      <c r="A75" s="37"/>
      <c r="B75" s="37"/>
      <c r="C75" s="37"/>
      <c r="D75" s="54"/>
      <c r="E75" s="3"/>
      <c r="F75" s="4"/>
      <c r="G75" s="55"/>
      <c r="H75" s="55"/>
      <c r="I75" s="93"/>
      <c r="J75" s="55"/>
      <c r="K75" s="37"/>
      <c r="L75" s="37"/>
      <c r="M75" s="37"/>
      <c r="N75" s="37"/>
      <c r="O75" s="40"/>
    </row>
    <row r="76" spans="1:16" x14ac:dyDescent="0.25">
      <c r="A76" s="37"/>
      <c r="B76" s="37"/>
      <c r="C76" s="37"/>
      <c r="D76" s="54"/>
      <c r="E76" s="3"/>
      <c r="F76" s="4"/>
      <c r="G76" s="55"/>
      <c r="H76" s="55"/>
      <c r="I76" s="55"/>
      <c r="J76" s="55"/>
      <c r="K76" s="37"/>
      <c r="L76" s="37"/>
      <c r="M76" s="37"/>
      <c r="N76" s="37"/>
      <c r="O76" s="40"/>
    </row>
    <row r="77" spans="1:16" x14ac:dyDescent="0.25">
      <c r="A77" s="41"/>
      <c r="B77" s="37"/>
      <c r="C77" s="37"/>
      <c r="D77" s="37"/>
      <c r="E77" s="37"/>
      <c r="F77" s="37"/>
      <c r="G77" s="37"/>
      <c r="H77" s="37"/>
      <c r="J77" s="37"/>
      <c r="K77" s="37"/>
      <c r="L77" s="40"/>
      <c r="M77" s="40"/>
      <c r="N77" s="40"/>
      <c r="O77" s="138"/>
    </row>
    <row r="78" spans="1:16" x14ac:dyDescent="0.25">
      <c r="B78" s="37"/>
      <c r="C78" s="37"/>
      <c r="D78" s="37"/>
      <c r="E78" s="37"/>
      <c r="F78" s="37"/>
      <c r="G78" s="96"/>
      <c r="H78" s="37"/>
      <c r="I78" s="37"/>
      <c r="J78" s="37"/>
      <c r="K78" s="37"/>
      <c r="L78" s="60"/>
      <c r="M78" s="60"/>
      <c r="N78" s="60"/>
      <c r="O78" s="130"/>
      <c r="P78" s="37"/>
    </row>
    <row r="79" spans="1:16" x14ac:dyDescent="0.25">
      <c r="G79" s="133"/>
      <c r="H79" s="56"/>
      <c r="I79" s="133"/>
      <c r="J79" s="56"/>
      <c r="K79" s="56"/>
      <c r="L79" s="134"/>
      <c r="M79" s="134"/>
      <c r="N79" s="134"/>
      <c r="O79" s="135"/>
      <c r="P79" s="25"/>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row r="95" spans="1:1" x14ac:dyDescent="0.25">
      <c r="A95" s="477"/>
    </row>
  </sheetData>
  <sheetProtection algorithmName="SHA-512" hashValue="mCzFuSET186o567+r2YLEUP3qHcDPe8G8ReidwtHO2uU7y5BVSdGS6/7fGu1qOGTbz/hllc6aV/dpdlLQfY+hw==" saltValue="VWtOLjoGQywlC7qjSd5wA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1:A95"/>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9"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6801"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76802" r:id="rId5" name="Button 2">
              <controlPr defaultSize="0" print="0" autoFill="0" autoPict="0" macro="[0]!Info">
                <anchor moveWithCells="1">
                  <from>
                    <xdr:col>15</xdr:col>
                    <xdr:colOff>411480</xdr:colOff>
                    <xdr:row>89</xdr:row>
                    <xdr:rowOff>76200</xdr:rowOff>
                  </from>
                  <to>
                    <xdr:col>16</xdr:col>
                    <xdr:colOff>38100</xdr:colOff>
                    <xdr:row>90</xdr:row>
                    <xdr:rowOff>144780</xdr:rowOff>
                  </to>
                </anchor>
              </controlPr>
            </control>
          </mc:Choice>
        </mc:AlternateContent>
        <mc:AlternateContent xmlns:mc="http://schemas.openxmlformats.org/markup-compatibility/2006">
          <mc:Choice Requires="x14">
            <control shapeId="76803"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6804"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6805"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6806"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6807"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6808"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6809"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6810"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6811"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6812"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6813"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6814"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6815"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6816"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6817"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6818"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6819"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6820"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6821"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6822"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6823"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6824"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6825"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6826"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6827"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6828"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6829"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6830"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6831"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6832"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6833"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6834"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6835"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6836"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6837"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6838"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6839"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6840"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6841"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6842"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6843"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6844"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6845"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6846"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6847"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6848"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6849"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6850"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6851"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6852"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6853"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6854"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6855"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6856"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6857"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6858"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pageSetUpPr fitToPage="1"/>
  </sheetPr>
  <dimension ref="A1:IV94"/>
  <sheetViews>
    <sheetView showGridLines="0" topLeftCell="A24" zoomScale="80" zoomScaleNormal="80" workbookViewId="0">
      <selection activeCell="D45" sqref="D45"/>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3" width="17" customWidth="1"/>
    <col min="14"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9.109375"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263</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76">
        <f ca="1">TODAY()</f>
        <v>45657</v>
      </c>
      <c r="B6" s="210" t="s">
        <v>264</v>
      </c>
      <c r="C6" s="274"/>
      <c r="D6" s="274"/>
      <c r="E6" s="274"/>
      <c r="F6" s="274"/>
      <c r="G6" s="274"/>
      <c r="H6" s="274"/>
      <c r="I6" s="274"/>
      <c r="J6" s="274"/>
      <c r="K6" s="274"/>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x14ac:dyDescent="0.25">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07" t="s">
        <v>15</v>
      </c>
      <c r="E20" s="507"/>
      <c r="F20" s="507"/>
      <c r="G20" s="507"/>
      <c r="H20" s="507"/>
      <c r="K20" s="31"/>
      <c r="L20" s="31"/>
      <c r="M20" s="31"/>
      <c r="N20" s="31"/>
      <c r="O20" s="50"/>
    </row>
    <row r="21" spans="1:30" x14ac:dyDescent="0.25">
      <c r="A21" s="31" t="s">
        <v>15</v>
      </c>
      <c r="B21" s="31"/>
      <c r="C21" s="82" t="s">
        <v>15</v>
      </c>
      <c r="D21" s="507" t="s">
        <v>15</v>
      </c>
      <c r="E21" s="507"/>
      <c r="F21" s="507"/>
      <c r="G21" s="507"/>
      <c r="H21" s="507"/>
      <c r="I21" s="23"/>
      <c r="J21" s="23"/>
      <c r="K21" s="31"/>
      <c r="L21" s="31"/>
      <c r="M21" s="31"/>
      <c r="N21" s="31"/>
      <c r="O21" s="50"/>
    </row>
    <row r="22" spans="1:30" x14ac:dyDescent="0.25">
      <c r="A22" s="31"/>
      <c r="B22" s="31"/>
      <c r="C22" s="33"/>
      <c r="D22" s="33"/>
      <c r="E22" s="33"/>
      <c r="F22" s="33"/>
      <c r="G22" s="23"/>
      <c r="H22" s="23"/>
      <c r="I22" s="23"/>
      <c r="J22" s="23"/>
      <c r="K22" s="31"/>
      <c r="L22" s="31"/>
      <c r="M22" s="31"/>
      <c r="N22" s="31"/>
      <c r="O22" s="31"/>
    </row>
    <row r="23" spans="1:30" x14ac:dyDescent="0.25">
      <c r="A23" s="28" t="s">
        <v>31</v>
      </c>
      <c r="B23" s="22"/>
      <c r="C23" s="22"/>
      <c r="D23" s="22"/>
      <c r="E23" s="22"/>
      <c r="F23" s="22"/>
      <c r="G23" s="489" t="s">
        <v>68</v>
      </c>
      <c r="H23" s="490"/>
      <c r="I23" s="490"/>
      <c r="J23" s="491"/>
      <c r="K23" s="22"/>
      <c r="L23" s="492" t="s">
        <v>69</v>
      </c>
      <c r="M23" s="492"/>
      <c r="N23" s="492"/>
      <c r="O23" s="492"/>
    </row>
    <row r="24" spans="1:30" x14ac:dyDescent="0.25">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5">
      <c r="A29" s="37" t="s">
        <v>50</v>
      </c>
      <c r="B29" s="37"/>
      <c r="C29" s="37"/>
      <c r="D29" s="38"/>
      <c r="E29" s="38"/>
      <c r="F29" s="37"/>
      <c r="G29" s="37"/>
      <c r="H29" s="37"/>
      <c r="I29" s="37"/>
      <c r="J29" s="37"/>
      <c r="K29" s="39"/>
      <c r="L29" s="40"/>
      <c r="M29" s="40"/>
      <c r="N29" s="40">
        <f>SUM(N25:N28)</f>
        <v>825</v>
      </c>
      <c r="O29" s="40">
        <f>SUM(O25:O28)</f>
        <v>825</v>
      </c>
    </row>
    <row r="30" spans="1:30" x14ac:dyDescent="0.25">
      <c r="A30" s="89"/>
      <c r="B30" s="89"/>
      <c r="C30" s="90"/>
      <c r="D30" s="90"/>
      <c r="E30" s="90"/>
      <c r="F30" s="90"/>
      <c r="G30" s="91"/>
      <c r="H30" s="91"/>
      <c r="I30" s="91"/>
      <c r="J30" s="91"/>
      <c r="K30" s="89"/>
      <c r="L30" s="89"/>
      <c r="M30" s="89"/>
      <c r="N30" s="89"/>
      <c r="O30" s="89"/>
      <c r="P30" s="89"/>
    </row>
    <row r="31" spans="1:30" x14ac:dyDescent="0.25">
      <c r="A31" s="41" t="s">
        <v>70</v>
      </c>
      <c r="D31" s="1"/>
      <c r="E31" s="1"/>
      <c r="K31" s="36"/>
      <c r="L31" s="36"/>
      <c r="M31" s="36"/>
      <c r="N31" s="36"/>
      <c r="O31" s="34"/>
      <c r="P31" s="34"/>
    </row>
    <row r="32" spans="1:30" x14ac:dyDescent="0.25">
      <c r="A32" s="37"/>
      <c r="D32" s="1"/>
      <c r="E32" s="1"/>
      <c r="K32" s="36"/>
      <c r="L32" s="36"/>
      <c r="M32" s="36"/>
      <c r="N32" s="36"/>
      <c r="O32" s="34"/>
    </row>
    <row r="33" spans="1:220"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0"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0"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0"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0"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0" x14ac:dyDescent="0.25">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4" si="0">SUM(L38:N38)</f>
        <v>0</v>
      </c>
      <c r="P38" s="245">
        <f>MAX('Rider Rates'!$D$18,'Rider Rates'!$F$18)</f>
        <v>44531</v>
      </c>
    </row>
    <row r="39" spans="1:220" x14ac:dyDescent="0.25">
      <c r="A39" s="210" t="s">
        <v>186</v>
      </c>
      <c r="B39" s="78"/>
      <c r="C39" s="78"/>
      <c r="D39" s="100">
        <f>'Customer Info'!$B$21+'Customer Info'!$B$22-'Customer Info'!$B$23</f>
        <v>0</v>
      </c>
      <c r="E39" s="101" t="s">
        <v>41</v>
      </c>
      <c r="F39" s="102" t="s">
        <v>8</v>
      </c>
      <c r="G39" s="103">
        <f>'Rider Rates'!B25</f>
        <v>6.6629999999999995E-2</v>
      </c>
      <c r="H39" s="103"/>
      <c r="I39" s="103"/>
      <c r="J39" s="237">
        <f>SUM(G39:H39)</f>
        <v>6.6629999999999995E-2</v>
      </c>
      <c r="K39" s="104" t="s">
        <v>42</v>
      </c>
      <c r="L39" s="322">
        <f>ROUND(D39*G39,2)</f>
        <v>0</v>
      </c>
      <c r="M39" s="105"/>
      <c r="N39" s="105"/>
      <c r="O39" s="105">
        <f t="shared" si="0"/>
        <v>0</v>
      </c>
      <c r="P39" s="245">
        <f>'Rider Rates'!$D$23</f>
        <v>45444</v>
      </c>
    </row>
    <row r="40" spans="1:220" x14ac:dyDescent="0.25">
      <c r="A40" s="241" t="s">
        <v>161</v>
      </c>
      <c r="B40" s="78"/>
      <c r="C40" s="78"/>
      <c r="D40" s="100">
        <f>'Customer Info'!$B$21+'Customer Info'!$B$22-'Customer Info'!$B$23</f>
        <v>0</v>
      </c>
      <c r="E40" s="101" t="s">
        <v>41</v>
      </c>
      <c r="F40" s="102" t="s">
        <v>8</v>
      </c>
      <c r="G40" s="103">
        <f>'Rider Rates'!$B$38</f>
        <v>1.66E-3</v>
      </c>
      <c r="H40" s="103"/>
      <c r="I40" s="103"/>
      <c r="J40" s="237">
        <f>SUM(G40:H40)</f>
        <v>1.66E-3</v>
      </c>
      <c r="K40" s="104" t="s">
        <v>42</v>
      </c>
      <c r="L40" s="105">
        <f>ROUND(D40*G40,2)</f>
        <v>0</v>
      </c>
      <c r="M40" s="105"/>
      <c r="N40" s="105"/>
      <c r="O40" s="105">
        <f t="shared" si="0"/>
        <v>0</v>
      </c>
      <c r="P40" s="245">
        <f>'Rider Rates'!$D$38</f>
        <v>45444</v>
      </c>
    </row>
    <row r="41" spans="1:220" x14ac:dyDescent="0.25">
      <c r="A41" s="210" t="s">
        <v>193</v>
      </c>
      <c r="B41" s="78"/>
      <c r="C41" s="78"/>
      <c r="D41" s="100">
        <f>'Customer Info'!$B$21+'Customer Info'!$B$22-'Customer Info'!$B$23</f>
        <v>0</v>
      </c>
      <c r="E41" s="101" t="s">
        <v>41</v>
      </c>
      <c r="F41" s="102" t="s">
        <v>8</v>
      </c>
      <c r="G41" s="103">
        <f>'Rider Rates'!$B$45</f>
        <v>4.5009999999999999E-4</v>
      </c>
      <c r="H41" s="103"/>
      <c r="I41" s="103"/>
      <c r="J41" s="237">
        <f>SUM(G41:H41)</f>
        <v>4.5009999999999999E-4</v>
      </c>
      <c r="K41" s="104" t="s">
        <v>42</v>
      </c>
      <c r="L41" s="105">
        <f>ROUND(D41*G41,2)</f>
        <v>0</v>
      </c>
      <c r="M41" s="105"/>
      <c r="N41" s="105"/>
      <c r="O41" s="105">
        <f t="shared" si="0"/>
        <v>0</v>
      </c>
      <c r="P41" s="245">
        <f>'Rider Rates'!$D$45</f>
        <v>45657</v>
      </c>
    </row>
    <row r="42" spans="1:220" x14ac:dyDescent="0.25">
      <c r="A42" s="241" t="s">
        <v>210</v>
      </c>
      <c r="B42" s="78"/>
      <c r="C42" s="78"/>
      <c r="D42" s="1">
        <f>IF($C$16&lt;0,0,IF($C$16&gt;833000,833000,$C$16))</f>
        <v>0</v>
      </c>
      <c r="E42" s="101" t="s">
        <v>41</v>
      </c>
      <c r="F42" s="102" t="s">
        <v>8</v>
      </c>
      <c r="G42" s="103"/>
      <c r="H42" s="103"/>
      <c r="I42" s="103">
        <f>'Rider Rates'!D49</f>
        <v>1.8006999999999999E-3</v>
      </c>
      <c r="J42" s="103">
        <f>SUM(G42:I42)</f>
        <v>1.8006999999999999E-3</v>
      </c>
      <c r="K42" s="104" t="s">
        <v>42</v>
      </c>
      <c r="L42" s="105"/>
      <c r="M42" s="105"/>
      <c r="N42" s="87">
        <f>D42*J42</f>
        <v>0</v>
      </c>
      <c r="O42" s="105">
        <f t="shared" si="0"/>
        <v>0</v>
      </c>
      <c r="P42" s="245">
        <f>'Rider Rates'!E49</f>
        <v>45658</v>
      </c>
    </row>
    <row r="43" spans="1:220" x14ac:dyDescent="0.25">
      <c r="A43" s="210" t="s">
        <v>189</v>
      </c>
      <c r="B43" s="78"/>
      <c r="C43" s="78"/>
      <c r="D43" s="1">
        <f>IF($C$16&lt;0,0,$C$16)</f>
        <v>0</v>
      </c>
      <c r="E43" s="113" t="s">
        <v>41</v>
      </c>
      <c r="F43" s="102" t="s">
        <v>8</v>
      </c>
      <c r="G43" s="103"/>
      <c r="H43" s="103">
        <f>'Rider Rates'!$B$59</f>
        <v>5.7019999999999998E-4</v>
      </c>
      <c r="I43" s="103"/>
      <c r="J43" s="103">
        <f>SUM(G43:I43)</f>
        <v>5.7019999999999998E-4</v>
      </c>
      <c r="K43" s="104" t="s">
        <v>42</v>
      </c>
      <c r="L43" s="105"/>
      <c r="M43" s="105">
        <f>ROUND(D43*H43,2)</f>
        <v>0</v>
      </c>
      <c r="N43" s="205"/>
      <c r="O43" s="105">
        <f t="shared" si="0"/>
        <v>0</v>
      </c>
      <c r="P43" s="245">
        <f>'Rider Rates'!$D$59</f>
        <v>45383</v>
      </c>
    </row>
    <row r="44" spans="1:220" x14ac:dyDescent="0.25">
      <c r="A44" s="210" t="s">
        <v>189</v>
      </c>
      <c r="B44" s="78"/>
      <c r="C44" s="78"/>
      <c r="D44" s="49">
        <f>D14</f>
        <v>0</v>
      </c>
      <c r="E44" s="35" t="s">
        <v>64</v>
      </c>
      <c r="F44" s="4" t="s">
        <v>8</v>
      </c>
      <c r="G44" s="103"/>
      <c r="H44" s="239">
        <f>'Rider Rates'!$B$64</f>
        <v>7.45</v>
      </c>
      <c r="I44" s="103"/>
      <c r="J44" s="239">
        <f>SUM(G44:I44)</f>
        <v>7.45</v>
      </c>
      <c r="K44" s="104" t="s">
        <v>44</v>
      </c>
      <c r="L44" s="105"/>
      <c r="M44" s="105">
        <f>ROUND(D44*H44,2)</f>
        <v>0</v>
      </c>
      <c r="N44" s="205"/>
      <c r="O44" s="105">
        <f t="shared" si="0"/>
        <v>0</v>
      </c>
      <c r="P44" s="245">
        <f>'Rider Rates'!$D$64</f>
        <v>45383</v>
      </c>
    </row>
    <row r="45" spans="1:220" x14ac:dyDescent="0.25">
      <c r="A45" s="99" t="s">
        <v>83</v>
      </c>
      <c r="B45" s="78"/>
      <c r="C45" s="78"/>
      <c r="D45" s="1">
        <f>IF('Customer Info'!C34=TRUE,0,IF($C$16&lt;0,0,$C$16))</f>
        <v>0</v>
      </c>
      <c r="E45" s="101" t="s">
        <v>41</v>
      </c>
      <c r="F45" s="102" t="s">
        <v>8</v>
      </c>
      <c r="G45" s="103"/>
      <c r="H45" s="103"/>
      <c r="I45" s="103">
        <f>'Rider Rates'!$B$71+'Rider Rates'!$C$71</f>
        <v>0</v>
      </c>
      <c r="J45" s="103">
        <f>SUM(G45:I45)</f>
        <v>0</v>
      </c>
      <c r="K45" s="104" t="s">
        <v>42</v>
      </c>
      <c r="L45" s="105"/>
      <c r="M45" s="105"/>
      <c r="N45" s="87">
        <f>ROUND($D$45*'Rider Rates'!$B$71,2)+ROUND($D$45*'Rider Rates'!$C$71,2)</f>
        <v>0</v>
      </c>
      <c r="O45" s="209">
        <f t="shared" ref="O45:O52" si="1">SUM(L45:N45)</f>
        <v>0</v>
      </c>
      <c r="P45" s="245">
        <f>'Rider Rates'!$D$71</f>
        <v>45444</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0" x14ac:dyDescent="0.25">
      <c r="A46" s="99" t="s">
        <v>83</v>
      </c>
      <c r="B46" s="78"/>
      <c r="C46" s="78"/>
      <c r="D46" s="49">
        <f>IF('Customer Info'!C34=TRUE,0,$D$27)</f>
        <v>0</v>
      </c>
      <c r="E46" s="101" t="s">
        <v>45</v>
      </c>
      <c r="F46" s="102" t="s">
        <v>8</v>
      </c>
      <c r="G46" s="103"/>
      <c r="H46" s="103"/>
      <c r="I46" s="239">
        <f>'Rider Rates'!$B$81</f>
        <v>0</v>
      </c>
      <c r="J46" s="239">
        <f>SUM(G46:I46)</f>
        <v>0</v>
      </c>
      <c r="K46" s="104" t="s">
        <v>42</v>
      </c>
      <c r="L46" s="105"/>
      <c r="M46" s="105"/>
      <c r="N46" s="87">
        <f>ROUND($D46*I46,2)</f>
        <v>0</v>
      </c>
      <c r="O46" s="209">
        <f>SUM(L46:N46)</f>
        <v>0</v>
      </c>
      <c r="P46" s="245">
        <v>44531</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0" x14ac:dyDescent="0.25">
      <c r="A47" s="99" t="s">
        <v>81</v>
      </c>
      <c r="B47" s="78"/>
      <c r="C47" s="78"/>
      <c r="D47" s="208">
        <f>$N$29</f>
        <v>825</v>
      </c>
      <c r="E47" s="101" t="s">
        <v>122</v>
      </c>
      <c r="F47" s="102" t="s">
        <v>8</v>
      </c>
      <c r="G47" s="111"/>
      <c r="H47" s="112"/>
      <c r="I47" s="120">
        <f>'Rider Rates'!$B$85</f>
        <v>4.94232E-2</v>
      </c>
      <c r="J47" s="120">
        <f>SUM(H47:I47)</f>
        <v>4.94232E-2</v>
      </c>
      <c r="K47" s="104"/>
      <c r="L47" s="105"/>
      <c r="M47" s="105"/>
      <c r="N47" s="105">
        <f>ROUND(N$29*I47,2)</f>
        <v>40.770000000000003</v>
      </c>
      <c r="O47" s="209">
        <f t="shared" si="1"/>
        <v>40.770000000000003</v>
      </c>
      <c r="P47" s="245">
        <f>'Rider Rates'!$D$85</f>
        <v>45562</v>
      </c>
      <c r="Q47" s="107"/>
      <c r="R47" s="108"/>
      <c r="S47" s="109"/>
      <c r="T47" s="78"/>
      <c r="U47" s="110"/>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row>
    <row r="48" spans="1:220" x14ac:dyDescent="0.25">
      <c r="A48" s="99" t="s">
        <v>82</v>
      </c>
      <c r="B48" s="78"/>
      <c r="C48" s="78"/>
      <c r="D48" s="208">
        <f>$N$29</f>
        <v>825</v>
      </c>
      <c r="E48" s="101" t="s">
        <v>122</v>
      </c>
      <c r="F48" s="102" t="s">
        <v>8</v>
      </c>
      <c r="G48" s="114"/>
      <c r="H48" s="115"/>
      <c r="I48" s="120">
        <f>'Rider Rates'!$B$87</f>
        <v>6.6985699999999995E-2</v>
      </c>
      <c r="J48" s="120">
        <f>SUM(H48:I48)</f>
        <v>6.6985699999999995E-2</v>
      </c>
      <c r="K48" s="104"/>
      <c r="L48" s="105"/>
      <c r="M48" s="105"/>
      <c r="N48" s="105">
        <f>ROUND(N$29*I48,2)</f>
        <v>55.26</v>
      </c>
      <c r="O48" s="209">
        <f t="shared" si="1"/>
        <v>55.26</v>
      </c>
      <c r="P48" s="245">
        <f>'Rider Rates'!$D$87</f>
        <v>45167</v>
      </c>
      <c r="Q48" s="107"/>
      <c r="R48" s="108"/>
      <c r="S48" s="109"/>
      <c r="T48" s="78"/>
      <c r="U48" s="110"/>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row>
    <row r="49" spans="1:221" x14ac:dyDescent="0.25">
      <c r="A49" s="210" t="s">
        <v>206</v>
      </c>
      <c r="B49" s="78"/>
      <c r="C49" s="78"/>
      <c r="D49" s="195"/>
      <c r="E49" s="113" t="s">
        <v>115</v>
      </c>
      <c r="F49" s="106"/>
      <c r="G49" s="114"/>
      <c r="H49" s="115"/>
      <c r="I49" s="196">
        <f>'Rider Rates'!$B$91</f>
        <v>17.53</v>
      </c>
      <c r="J49" s="196">
        <f>SUM(G49:I49)</f>
        <v>17.53</v>
      </c>
      <c r="K49" s="104"/>
      <c r="L49" s="105"/>
      <c r="M49" s="105"/>
      <c r="N49" s="105">
        <f>I49</f>
        <v>17.53</v>
      </c>
      <c r="O49" s="105">
        <f>SUM(L49:N49)</f>
        <v>17.53</v>
      </c>
      <c r="P49" s="245">
        <f>'Rider Rates'!$D$91</f>
        <v>45657</v>
      </c>
    </row>
    <row r="50" spans="1:221" x14ac:dyDescent="0.25">
      <c r="A50" s="241" t="s">
        <v>251</v>
      </c>
      <c r="B50" s="78"/>
      <c r="C50" s="78"/>
      <c r="D50" s="1">
        <f>$D$33</f>
        <v>0</v>
      </c>
      <c r="E50" s="101" t="s">
        <v>41</v>
      </c>
      <c r="F50" s="102" t="s">
        <v>8</v>
      </c>
      <c r="G50" s="103"/>
      <c r="H50" s="103"/>
      <c r="I50" s="103"/>
      <c r="J50" s="103">
        <f>'Rider Rates'!$B$96</f>
        <v>0</v>
      </c>
      <c r="K50" s="104" t="s">
        <v>42</v>
      </c>
      <c r="L50" s="105"/>
      <c r="M50" s="105"/>
      <c r="N50" s="87"/>
      <c r="O50" s="105">
        <f>ROUND($D50*('Rider Rates'!B$96),2)</f>
        <v>0</v>
      </c>
      <c r="P50" s="245">
        <f>'Rider Rates'!$D$96</f>
        <v>44531</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41" t="s">
        <v>252</v>
      </c>
      <c r="B51" s="78"/>
      <c r="C51" s="78"/>
      <c r="D51" s="1">
        <f>$D$34</f>
        <v>0</v>
      </c>
      <c r="E51" s="101" t="s">
        <v>41</v>
      </c>
      <c r="F51" s="102" t="s">
        <v>8</v>
      </c>
      <c r="G51" s="103"/>
      <c r="H51" s="103"/>
      <c r="I51" s="103"/>
      <c r="J51" s="103">
        <f>'Rider Rates'!$B$97</f>
        <v>0</v>
      </c>
      <c r="K51" s="104" t="s">
        <v>42</v>
      </c>
      <c r="L51" s="105"/>
      <c r="M51" s="105"/>
      <c r="N51" s="87"/>
      <c r="O51" s="105">
        <f>ROUND($D51*('Rider Rates'!B$97),2)</f>
        <v>0</v>
      </c>
      <c r="P51" s="245">
        <f>'Rider Rates'!$D$97</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99" t="s">
        <v>156</v>
      </c>
      <c r="B52" s="78"/>
      <c r="C52" s="78"/>
      <c r="D52" s="208">
        <f>$N$29</f>
        <v>825</v>
      </c>
      <c r="E52" s="101" t="s">
        <v>122</v>
      </c>
      <c r="F52" s="102" t="s">
        <v>8</v>
      </c>
      <c r="G52" s="114"/>
      <c r="H52" s="115"/>
      <c r="I52" s="120">
        <f>'Rider Rates'!$B$105</f>
        <v>0.2363101</v>
      </c>
      <c r="J52" s="120">
        <f>SUM(H52:I52)</f>
        <v>0.2363101</v>
      </c>
      <c r="K52" s="104"/>
      <c r="L52" s="105"/>
      <c r="M52" s="105"/>
      <c r="N52" s="105">
        <f>ROUND(N$29*I52,2)</f>
        <v>194.96</v>
      </c>
      <c r="O52" s="105">
        <f t="shared" si="1"/>
        <v>194.96</v>
      </c>
      <c r="P52" s="245">
        <f>'Rider Rates'!$D$105</f>
        <v>45622</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10" t="s">
        <v>209</v>
      </c>
      <c r="B53" s="78"/>
      <c r="C53" s="78"/>
      <c r="D53" s="195"/>
      <c r="E53" s="113" t="s">
        <v>115</v>
      </c>
      <c r="F53" s="106"/>
      <c r="G53" s="114"/>
      <c r="H53" s="115"/>
      <c r="I53" s="196">
        <f>'Rider Rates'!$B$109</f>
        <v>0</v>
      </c>
      <c r="J53" s="196">
        <f>SUM(G53:I53)</f>
        <v>0</v>
      </c>
      <c r="K53" s="104"/>
      <c r="L53" s="105"/>
      <c r="M53" s="105"/>
      <c r="N53" s="105">
        <f>I53</f>
        <v>0</v>
      </c>
      <c r="O53" s="105">
        <f t="shared" ref="O53:O58" si="2">SUM(L53:N53)</f>
        <v>0</v>
      </c>
      <c r="P53" s="245">
        <f>'Rider Rates'!$D$109</f>
        <v>44894</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10" t="s">
        <v>217</v>
      </c>
      <c r="B54" s="78"/>
      <c r="C54" s="78"/>
      <c r="D54" s="195"/>
      <c r="E54" s="113" t="s">
        <v>115</v>
      </c>
      <c r="F54" s="106"/>
      <c r="G54" s="114"/>
      <c r="H54" s="115"/>
      <c r="I54" s="258">
        <f>'Rider Rates'!B122</f>
        <v>4.84</v>
      </c>
      <c r="J54" s="196">
        <f>SUM(G54:I54)</f>
        <v>4.84</v>
      </c>
      <c r="K54" s="104"/>
      <c r="L54" s="105"/>
      <c r="M54" s="105"/>
      <c r="N54" s="260">
        <f>I54</f>
        <v>4.84</v>
      </c>
      <c r="O54" s="105">
        <f t="shared" si="2"/>
        <v>4.84</v>
      </c>
      <c r="P54" s="245">
        <f>'Rider Rates'!D122</f>
        <v>45593</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99" t="s">
        <v>157</v>
      </c>
      <c r="B55" s="78"/>
      <c r="C55" s="78"/>
      <c r="D55" s="100">
        <f>IF('Customer Info'!$C$32=TRUE,0,'Customer Info'!$B$21+'Customer Info'!$B$22-'Customer Info'!$B$23)</f>
        <v>0</v>
      </c>
      <c r="E55" s="101" t="s">
        <v>41</v>
      </c>
      <c r="F55" s="102" t="s">
        <v>8</v>
      </c>
      <c r="G55" s="103">
        <f>'Rider Rates'!$B$114</f>
        <v>3.6865999999999999E-3</v>
      </c>
      <c r="H55" s="103"/>
      <c r="I55" s="120"/>
      <c r="J55" s="237">
        <f>SUM(G55:H55)</f>
        <v>3.6865999999999999E-3</v>
      </c>
      <c r="K55" s="104" t="s">
        <v>42</v>
      </c>
      <c r="L55" s="105">
        <f>ROUND(D55*G55,2)</f>
        <v>0</v>
      </c>
      <c r="M55" s="105"/>
      <c r="N55" s="105"/>
      <c r="O55" s="105">
        <f t="shared" si="2"/>
        <v>0</v>
      </c>
      <c r="P55" s="245">
        <f>'Rider Rates'!$D$114</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10" t="s">
        <v>208</v>
      </c>
      <c r="B56" s="78"/>
      <c r="C56" s="78"/>
      <c r="D56" s="1">
        <f>IF($C$16&lt;1,0,$C$16)</f>
        <v>0</v>
      </c>
      <c r="E56" s="101" t="s">
        <v>41</v>
      </c>
      <c r="F56" s="249" t="s">
        <v>8</v>
      </c>
      <c r="G56" s="165"/>
      <c r="H56" s="165"/>
      <c r="I56" s="251">
        <f>'Rider Rates'!B118</f>
        <v>0</v>
      </c>
      <c r="J56" s="251">
        <f>SUM(G56:I56)</f>
        <v>0</v>
      </c>
      <c r="K56" s="104" t="s">
        <v>42</v>
      </c>
      <c r="L56" s="105"/>
      <c r="M56" s="105"/>
      <c r="N56" s="105">
        <f>D56*I56</f>
        <v>0</v>
      </c>
      <c r="O56" s="105">
        <f t="shared" si="2"/>
        <v>0</v>
      </c>
      <c r="P56" s="245">
        <f>'Rider Rates'!D118</f>
        <v>45657</v>
      </c>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78" t="s">
        <v>233</v>
      </c>
      <c r="B57" s="78"/>
      <c r="C57" s="78"/>
      <c r="D57" s="100">
        <f>IF(C16&lt;0,0,IF(C16&gt;833000,833000,C16))</f>
        <v>0</v>
      </c>
      <c r="E57" s="101" t="s">
        <v>41</v>
      </c>
      <c r="F57" s="102" t="s">
        <v>8</v>
      </c>
      <c r="G57" s="265"/>
      <c r="H57" s="265"/>
      <c r="I57" s="265">
        <f>'Rider Rates'!$B$126</f>
        <v>2.9050000000000001E-4</v>
      </c>
      <c r="J57" s="265">
        <f>SUM(G57:I57)</f>
        <v>2.9050000000000001E-4</v>
      </c>
      <c r="K57" s="104" t="s">
        <v>42</v>
      </c>
      <c r="L57" s="266"/>
      <c r="M57" s="266"/>
      <c r="N57" s="266">
        <f>IF(D57*J57&gt;'Rider Rates'!$C$126,'Rider Rates'!$C$126,D57*J57)</f>
        <v>0</v>
      </c>
      <c r="O57" s="266">
        <f t="shared" si="2"/>
        <v>0</v>
      </c>
      <c r="P57" s="264">
        <f>'Rider Rates'!$E$126</f>
        <v>45658</v>
      </c>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21" x14ac:dyDescent="0.25">
      <c r="A58" s="78" t="s">
        <v>234</v>
      </c>
      <c r="B58" s="78"/>
      <c r="C58" s="78"/>
      <c r="D58" s="123">
        <f>IF(C16&gt;833000,C16-833000,0)</f>
        <v>0</v>
      </c>
      <c r="E58" s="101" t="s">
        <v>41</v>
      </c>
      <c r="F58" s="102" t="s">
        <v>8</v>
      </c>
      <c r="G58" s="265"/>
      <c r="H58" s="265"/>
      <c r="I58" s="265">
        <f>'Rider Rates'!$B$127</f>
        <v>0</v>
      </c>
      <c r="J58" s="265">
        <f>SUM(G58:I58)</f>
        <v>0</v>
      </c>
      <c r="K58" s="104" t="s">
        <v>42</v>
      </c>
      <c r="L58" s="266"/>
      <c r="M58" s="266"/>
      <c r="N58" s="266">
        <f>D58*J58</f>
        <v>0</v>
      </c>
      <c r="O58" s="266">
        <f t="shared" si="2"/>
        <v>0</v>
      </c>
      <c r="P58" s="264">
        <f>'Rider Rates'!$E$127</f>
        <v>45658</v>
      </c>
      <c r="Q58" s="106"/>
      <c r="R58" s="107"/>
      <c r="S58" s="108"/>
      <c r="T58" s="109"/>
      <c r="U58" s="78"/>
      <c r="V58" s="110"/>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21" x14ac:dyDescent="0.25">
      <c r="A59" s="241" t="s">
        <v>242</v>
      </c>
      <c r="B59" s="78"/>
      <c r="C59" s="78"/>
      <c r="D59" s="100">
        <f>D16</f>
        <v>0</v>
      </c>
      <c r="E59" s="101" t="s">
        <v>41</v>
      </c>
      <c r="F59" s="249" t="s">
        <v>8</v>
      </c>
      <c r="G59" s="103"/>
      <c r="H59" s="103"/>
      <c r="I59" s="103">
        <f>'Rider Rates'!$B$133</f>
        <v>0</v>
      </c>
      <c r="J59" s="237">
        <f>SUM(G59:I59)</f>
        <v>0</v>
      </c>
      <c r="K59" s="104" t="s">
        <v>42</v>
      </c>
      <c r="L59" s="105"/>
      <c r="M59" s="105"/>
      <c r="N59" s="105">
        <f>D59*J59</f>
        <v>0</v>
      </c>
      <c r="O59" s="105">
        <f>SUM(L59:N59)</f>
        <v>0</v>
      </c>
      <c r="P59" s="245">
        <f>'Rider Rates'!$D$131</f>
        <v>44531</v>
      </c>
      <c r="Q59" s="106"/>
      <c r="R59" s="107"/>
      <c r="S59" s="108"/>
      <c r="T59" s="109"/>
      <c r="U59" s="78"/>
      <c r="V59" s="110"/>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21" x14ac:dyDescent="0.25">
      <c r="A60" s="241" t="s">
        <v>241</v>
      </c>
      <c r="B60" s="78"/>
      <c r="C60" s="78"/>
      <c r="D60" s="100"/>
      <c r="E60" s="101" t="s">
        <v>115</v>
      </c>
      <c r="F60" s="102" t="s">
        <v>8</v>
      </c>
      <c r="G60" s="263"/>
      <c r="H60" s="263"/>
      <c r="I60" s="263">
        <f>'Rider Rates'!$B$138</f>
        <v>0</v>
      </c>
      <c r="J60" s="263">
        <f>SUM(G60:I60)</f>
        <v>0</v>
      </c>
      <c r="K60" s="104"/>
      <c r="L60" s="209"/>
      <c r="M60" s="209"/>
      <c r="N60" s="209">
        <f>J60</f>
        <v>0</v>
      </c>
      <c r="O60" s="209">
        <f>SUM(L60:N60)</f>
        <v>0</v>
      </c>
      <c r="P60" s="264">
        <f>'Rider Rates'!$D$138</f>
        <v>44531</v>
      </c>
      <c r="Q60" s="106"/>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21" x14ac:dyDescent="0.25">
      <c r="A61" s="241" t="s">
        <v>243</v>
      </c>
      <c r="B61" s="78"/>
      <c r="C61" s="78"/>
      <c r="D61" s="100"/>
      <c r="E61" s="101"/>
      <c r="F61" s="102"/>
      <c r="G61" s="263"/>
      <c r="H61" s="263"/>
      <c r="I61" s="263"/>
      <c r="J61" s="263"/>
      <c r="K61" s="104"/>
      <c r="L61" s="209"/>
      <c r="M61" s="209"/>
      <c r="N61" s="209"/>
      <c r="O61" s="209"/>
      <c r="P61" s="264"/>
      <c r="Q61" s="106"/>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21" x14ac:dyDescent="0.25">
      <c r="A62" s="179" t="s">
        <v>71</v>
      </c>
      <c r="B62" s="148"/>
      <c r="C62" s="148"/>
      <c r="D62" s="180"/>
      <c r="E62" s="181"/>
      <c r="F62" s="182"/>
      <c r="G62" s="182"/>
      <c r="H62" s="182"/>
      <c r="I62" s="182"/>
      <c r="J62" s="182"/>
      <c r="K62" s="183"/>
      <c r="L62" s="169">
        <f>SUM(L33:L61)</f>
        <v>0</v>
      </c>
      <c r="M62" s="169">
        <f t="shared" ref="M62:O62" si="3">SUM(M33:M61)</f>
        <v>0</v>
      </c>
      <c r="N62" s="169">
        <f t="shared" si="3"/>
        <v>313.35999999999996</v>
      </c>
      <c r="O62" s="169">
        <f t="shared" si="3"/>
        <v>313.35999999999996</v>
      </c>
      <c r="P62" s="184"/>
    </row>
    <row r="63" spans="1:221" x14ac:dyDescent="0.25">
      <c r="A63" s="37"/>
      <c r="D63" s="1"/>
      <c r="E63" s="35"/>
      <c r="F63" s="4"/>
      <c r="G63" s="42"/>
      <c r="H63" s="42"/>
      <c r="I63" s="42"/>
      <c r="J63" s="42"/>
      <c r="K63" s="36"/>
      <c r="L63" s="36"/>
      <c r="M63" s="36"/>
      <c r="N63" s="36"/>
      <c r="O63" s="34"/>
      <c r="P63" s="36"/>
    </row>
    <row r="64" spans="1:221" x14ac:dyDescent="0.25">
      <c r="A64" s="81" t="s">
        <v>72</v>
      </c>
      <c r="B64" s="92"/>
      <c r="C64" s="92"/>
      <c r="D64" s="92"/>
      <c r="E64" s="92"/>
      <c r="F64" s="92"/>
      <c r="G64" s="92"/>
      <c r="H64" s="92"/>
      <c r="I64" s="92"/>
      <c r="J64" s="92"/>
      <c r="K64" s="92"/>
      <c r="L64" s="98">
        <f>L29+L62</f>
        <v>0</v>
      </c>
      <c r="M64" s="98">
        <f>M29+M62</f>
        <v>0</v>
      </c>
      <c r="N64" s="98">
        <f>N29+N62</f>
        <v>1138.3599999999999</v>
      </c>
      <c r="O64" s="98">
        <f>O29+O62</f>
        <v>1138.3599999999999</v>
      </c>
      <c r="P64" s="98"/>
    </row>
    <row r="65" spans="1:16" x14ac:dyDescent="0.25">
      <c r="A65" s="37"/>
      <c r="B65" s="37"/>
      <c r="C65" s="37"/>
      <c r="D65" s="37"/>
      <c r="E65" s="37"/>
      <c r="F65" s="37"/>
      <c r="G65" s="37"/>
      <c r="H65" s="37"/>
      <c r="I65" s="37"/>
      <c r="J65" s="37"/>
      <c r="K65" s="37"/>
      <c r="L65" s="37"/>
      <c r="M65" s="37"/>
      <c r="N65" s="37"/>
      <c r="O65" s="40"/>
      <c r="P65" s="40"/>
    </row>
    <row r="66" spans="1:16" x14ac:dyDescent="0.25">
      <c r="A66" s="37" t="s">
        <v>37</v>
      </c>
      <c r="B66" s="37"/>
      <c r="C66" s="37"/>
      <c r="D66" s="37"/>
      <c r="E66" s="37"/>
      <c r="F66" s="37"/>
      <c r="G66" s="37"/>
      <c r="H66" s="37"/>
      <c r="I66" s="37"/>
      <c r="J66" s="37"/>
      <c r="K66" s="37"/>
      <c r="L66" s="37"/>
      <c r="M66" s="37"/>
      <c r="N66" s="37"/>
      <c r="O66" s="45">
        <f>O25+O27+O62</f>
        <v>1138.3599999999999</v>
      </c>
      <c r="P66" s="245">
        <v>40967</v>
      </c>
    </row>
    <row r="67" spans="1:16" x14ac:dyDescent="0.25">
      <c r="A67" s="37"/>
      <c r="B67" s="37"/>
      <c r="C67" s="37"/>
      <c r="D67" s="37"/>
      <c r="E67" s="37"/>
      <c r="F67" s="37"/>
      <c r="G67" s="46"/>
      <c r="H67" s="46"/>
      <c r="I67" s="46"/>
      <c r="J67" s="46"/>
      <c r="K67" s="36"/>
      <c r="L67" s="36"/>
      <c r="M67" s="36"/>
      <c r="N67" s="36"/>
      <c r="O67" s="40"/>
    </row>
    <row r="68" spans="1:16" x14ac:dyDescent="0.25">
      <c r="A68" s="41" t="s">
        <v>117</v>
      </c>
      <c r="B68" s="37"/>
      <c r="C68" s="37"/>
      <c r="D68" s="37"/>
      <c r="E68" s="37"/>
      <c r="F68" s="37"/>
      <c r="G68" s="46"/>
      <c r="H68" s="46"/>
      <c r="I68" s="46"/>
      <c r="J68" s="46"/>
      <c r="K68" s="36"/>
      <c r="L68" s="36"/>
      <c r="M68" s="36"/>
      <c r="N68" s="36"/>
      <c r="O68" s="138">
        <f>MAX($O$64,$O$66)</f>
        <v>1138.3599999999999</v>
      </c>
    </row>
    <row r="69" spans="1:16" x14ac:dyDescent="0.25">
      <c r="A69" s="37"/>
      <c r="B69" s="37"/>
      <c r="C69" s="37"/>
      <c r="D69" s="37"/>
      <c r="E69" s="37"/>
      <c r="F69" s="37"/>
      <c r="G69" s="46"/>
      <c r="H69" s="46"/>
      <c r="I69" s="46"/>
      <c r="J69" s="46"/>
      <c r="K69" s="36"/>
      <c r="L69" s="36"/>
      <c r="M69" s="36"/>
      <c r="N69" s="36"/>
      <c r="O69" s="40"/>
    </row>
    <row r="70" spans="1:16" x14ac:dyDescent="0.25">
      <c r="A70" s="37"/>
      <c r="B70" s="37"/>
      <c r="C70" s="37"/>
      <c r="D70" s="37"/>
      <c r="E70" s="37"/>
      <c r="F70" s="37"/>
      <c r="G70" s="96" t="s">
        <v>86</v>
      </c>
      <c r="H70" s="46"/>
      <c r="I70" s="37"/>
      <c r="J70" s="46"/>
      <c r="K70" s="36"/>
      <c r="L70" s="191"/>
      <c r="M70" s="191"/>
      <c r="N70" s="191"/>
      <c r="O70" s="191">
        <f>ROUND(IF($C$16&lt;1,0,$O$68/($C$16*100)*10000),2)</f>
        <v>0</v>
      </c>
      <c r="P70" s="37" t="s">
        <v>87</v>
      </c>
    </row>
    <row r="71" spans="1:16" x14ac:dyDescent="0.25">
      <c r="A71" s="37"/>
      <c r="B71" s="37"/>
      <c r="C71" s="37"/>
      <c r="D71" s="37"/>
      <c r="E71" s="37"/>
      <c r="F71" s="37"/>
      <c r="G71" s="242" t="s">
        <v>190</v>
      </c>
      <c r="H71" s="136"/>
      <c r="I71" s="133"/>
      <c r="J71" s="136"/>
      <c r="K71" s="137"/>
      <c r="L71" s="78"/>
      <c r="M71" s="78"/>
      <c r="N71" s="78"/>
      <c r="O71" s="243">
        <f>ROUND(IF($C$16&lt;1,0,(L64)/($C$16*100)*10000),2)</f>
        <v>0</v>
      </c>
      <c r="P71" s="25" t="s">
        <v>87</v>
      </c>
    </row>
    <row r="72" spans="1:16" x14ac:dyDescent="0.25">
      <c r="A72" s="37"/>
      <c r="B72" s="37"/>
      <c r="C72" s="37"/>
      <c r="D72" s="37"/>
      <c r="E72" s="37"/>
      <c r="F72" s="37"/>
      <c r="G72" s="96"/>
      <c r="H72" s="46"/>
      <c r="I72" s="96"/>
      <c r="J72" s="46"/>
      <c r="K72" s="36"/>
      <c r="L72" s="36"/>
      <c r="M72" s="36"/>
      <c r="N72" s="36"/>
      <c r="O72" s="130"/>
      <c r="P72" s="37"/>
    </row>
    <row r="73" spans="1:16" ht="20.25" customHeight="1" x14ac:dyDescent="0.4">
      <c r="A73" s="3"/>
      <c r="B73" s="37"/>
      <c r="C73" s="37"/>
      <c r="D73" s="228" t="str">
        <f>IF('Customer Info'!$C$32=TRUE,"Notice: Billing Charge does not include Self Assessed KWH Tax"," ")</f>
        <v xml:space="preserve"> </v>
      </c>
      <c r="E73" s="3"/>
      <c r="F73" s="4"/>
      <c r="G73" s="121"/>
      <c r="H73" s="55"/>
      <c r="I73" s="34"/>
      <c r="J73" s="55"/>
      <c r="K73" s="37"/>
      <c r="L73" s="37"/>
      <c r="M73" s="37"/>
      <c r="N73" s="34"/>
    </row>
    <row r="74" spans="1:16" x14ac:dyDescent="0.25">
      <c r="A74" s="37"/>
      <c r="B74" s="37"/>
      <c r="C74" s="37"/>
      <c r="D74" s="54"/>
      <c r="E74" s="3"/>
      <c r="F74" s="4"/>
      <c r="G74" s="55"/>
      <c r="H74" s="55"/>
      <c r="I74" s="93"/>
      <c r="J74" s="55"/>
      <c r="K74" s="37"/>
      <c r="L74" s="37"/>
      <c r="M74" s="37"/>
      <c r="N74" s="37"/>
      <c r="O74" s="40"/>
    </row>
    <row r="75" spans="1:16" x14ac:dyDescent="0.25">
      <c r="A75" s="37"/>
      <c r="B75" s="37"/>
      <c r="C75" s="37"/>
      <c r="D75" s="54"/>
      <c r="E75" s="3"/>
      <c r="F75" s="4"/>
      <c r="G75" s="55"/>
      <c r="H75" s="55"/>
      <c r="I75" s="55"/>
      <c r="J75" s="55"/>
      <c r="K75" s="37"/>
      <c r="L75" s="37"/>
      <c r="M75" s="37"/>
      <c r="N75" s="37"/>
      <c r="O75" s="40"/>
    </row>
    <row r="76" spans="1:16" x14ac:dyDescent="0.25">
      <c r="A76" s="41"/>
      <c r="B76" s="37"/>
      <c r="C76" s="37"/>
      <c r="D76" s="37"/>
      <c r="E76" s="37"/>
      <c r="F76" s="37"/>
      <c r="G76" s="37"/>
      <c r="H76" s="37"/>
      <c r="J76" s="37"/>
      <c r="K76" s="37"/>
      <c r="L76" s="40"/>
      <c r="M76" s="40"/>
      <c r="N76" s="40"/>
      <c r="O76" s="138"/>
    </row>
    <row r="77" spans="1:16" x14ac:dyDescent="0.25">
      <c r="B77" s="37"/>
      <c r="C77" s="37"/>
      <c r="D77" s="37"/>
      <c r="E77" s="37"/>
      <c r="F77" s="37"/>
      <c r="G77" s="96"/>
      <c r="H77" s="37"/>
      <c r="I77" s="37"/>
      <c r="J77" s="37"/>
      <c r="K77" s="37"/>
      <c r="L77" s="60"/>
      <c r="M77" s="60"/>
      <c r="N77" s="60"/>
      <c r="O77" s="130"/>
      <c r="P77" s="37"/>
    </row>
    <row r="78" spans="1:16" x14ac:dyDescent="0.25">
      <c r="G78" s="133"/>
      <c r="H78" s="56"/>
      <c r="I78" s="133"/>
      <c r="J78" s="56"/>
      <c r="K78" s="56"/>
      <c r="L78" s="134"/>
      <c r="M78" s="134"/>
      <c r="N78" s="134"/>
      <c r="O78" s="135"/>
      <c r="P78" s="25"/>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row r="90" spans="1:1" x14ac:dyDescent="0.25">
      <c r="A90" s="477"/>
    </row>
    <row r="91" spans="1:1" x14ac:dyDescent="0.25">
      <c r="A91" s="477"/>
    </row>
    <row r="92" spans="1:1" x14ac:dyDescent="0.25">
      <c r="A92" s="477"/>
    </row>
    <row r="93" spans="1:1" x14ac:dyDescent="0.25">
      <c r="A93" s="477"/>
    </row>
    <row r="94" spans="1:1" x14ac:dyDescent="0.25">
      <c r="A94" s="477"/>
    </row>
  </sheetData>
  <sheetProtection algorithmName="SHA-512" hashValue="IyP5kEkr1DMv0NxmwQVbIvsLE09H2zIHYn0X2mVQ8+nKwe2MJIiPyW+lV05UaRj1JjF0YK+01UjiptVLBo5UVw==" saltValue="dacxL5mjg8CFK4ozDMvMH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77826" r:id="rId5" name="Button 2">
              <controlPr defaultSize="0" print="0" autoFill="0" autoPict="0" macro="[0]!Info">
                <anchor moveWithCells="1">
                  <from>
                    <xdr:col>15</xdr:col>
                    <xdr:colOff>411480</xdr:colOff>
                    <xdr:row>88</xdr:row>
                    <xdr:rowOff>76200</xdr:rowOff>
                  </from>
                  <to>
                    <xdr:col>16</xdr:col>
                    <xdr:colOff>38100</xdr:colOff>
                    <xdr:row>89</xdr:row>
                    <xdr:rowOff>144780</xdr:rowOff>
                  </to>
                </anchor>
              </controlPr>
            </control>
          </mc:Choice>
        </mc:AlternateContent>
        <mc:AlternateContent xmlns:mc="http://schemas.openxmlformats.org/markup-compatibility/2006">
          <mc:Choice Requires="x14">
            <control shapeId="77827"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7828"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7829"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7830"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7831"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7832"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7833"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7834"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77835"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7836"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7837"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7838"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77839"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7840"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7841"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7842"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77843"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7844"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7845"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7846"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77847"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7848"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7849"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7850"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77851"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7852"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7853"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7854"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77855"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7856"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7857"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7858"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77859"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7860"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7861"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7862"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77863"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7864"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7865"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7866"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77867"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7868"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7869"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7870"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77871"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7872"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7873"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7874"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77875"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7876"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7877"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7878"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77879"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7880"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7881"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77882"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IB89"/>
  <sheetViews>
    <sheetView showGridLines="0" topLeftCell="A25" zoomScale="80" zoomScaleNormal="80" workbookViewId="0">
      <selection activeCell="A43" sqref="A43:XFD43"/>
    </sheetView>
  </sheetViews>
  <sheetFormatPr defaultRowHeight="13.2" x14ac:dyDescent="0.25"/>
  <cols>
    <col min="1" max="1" width="39" customWidth="1"/>
    <col min="2" max="2" width="2.5546875" customWidth="1"/>
    <col min="3" max="3" width="13.5546875" customWidth="1"/>
    <col min="4" max="4" width="15.44140625" customWidth="1"/>
    <col min="5" max="5" width="9.5546875" customWidth="1"/>
    <col min="6" max="6" width="2.5546875" customWidth="1"/>
    <col min="7" max="8" width="13.44140625" customWidth="1"/>
    <col min="9" max="9" width="14.5546875" customWidth="1"/>
    <col min="10" max="10" width="13.44140625" customWidth="1"/>
    <col min="11" max="11" width="6.5546875" customWidth="1"/>
    <col min="12" max="12" width="15.109375" customWidth="1"/>
    <col min="13" max="13" width="17.44140625" bestFit="1" customWidth="1"/>
    <col min="14" max="14" width="17.44140625" customWidth="1"/>
    <col min="15" max="15" width="17.44140625" bestFit="1" customWidth="1"/>
    <col min="16" max="16" width="13" customWidth="1"/>
    <col min="17" max="17" width="12.88671875" bestFit="1" customWidth="1"/>
    <col min="18" max="18" width="10.5546875" hidden="1" customWidth="1"/>
    <col min="19" max="19" width="10.44140625" hidden="1" customWidth="1"/>
    <col min="20" max="23" width="10.88671875" hidden="1" customWidth="1"/>
    <col min="24" max="26" width="10.44140625" hidden="1" customWidth="1"/>
    <col min="27" max="27" width="10.5546875" hidden="1" customWidth="1"/>
    <col min="28" max="28" width="10.88671875" hidden="1" customWidth="1"/>
    <col min="29" max="30" width="10" hidden="1" customWidth="1"/>
    <col min="31" max="31" width="9.109375" customWidth="1"/>
    <col min="32" max="32" width="10.44140625" customWidth="1"/>
    <col min="33" max="33" width="10.88671875" customWidth="1"/>
    <col min="34" max="34" width="10.44140625" customWidth="1"/>
  </cols>
  <sheetData>
    <row r="1" spans="1:59" ht="21" x14ac:dyDescent="0.4">
      <c r="A1" s="479" t="s">
        <v>120</v>
      </c>
      <c r="B1" s="479"/>
      <c r="C1" s="479"/>
      <c r="D1" s="479"/>
      <c r="E1" s="479"/>
      <c r="F1" s="479"/>
      <c r="G1" s="479"/>
      <c r="H1" s="479"/>
      <c r="I1" s="479"/>
      <c r="J1" s="479"/>
      <c r="K1" s="479"/>
      <c r="L1" s="479"/>
      <c r="M1" s="479"/>
      <c r="N1" s="479"/>
      <c r="O1" s="479"/>
      <c r="P1" s="479"/>
      <c r="Q1" s="197"/>
    </row>
    <row r="2" spans="1:59" ht="18" customHeight="1" x14ac:dyDescent="0.25">
      <c r="A2" s="488" t="s">
        <v>266</v>
      </c>
      <c r="B2" s="488"/>
      <c r="C2" s="488"/>
      <c r="D2" s="488"/>
      <c r="E2" s="488"/>
      <c r="F2" s="488"/>
      <c r="G2" s="488"/>
      <c r="H2" s="488"/>
      <c r="I2" s="488"/>
      <c r="J2" s="488"/>
      <c r="K2" s="488"/>
      <c r="L2" s="488"/>
      <c r="M2" s="488"/>
      <c r="N2" s="488"/>
      <c r="O2" s="488"/>
      <c r="P2" s="488"/>
    </row>
    <row r="3" spans="1:59" ht="17.399999999999999" x14ac:dyDescent="0.3">
      <c r="A3" s="488"/>
      <c r="B3" s="488"/>
      <c r="C3" s="488"/>
      <c r="D3" s="488"/>
      <c r="E3" s="488"/>
      <c r="F3" s="488"/>
      <c r="G3" s="488"/>
      <c r="H3" s="488"/>
      <c r="I3" s="488"/>
      <c r="J3" s="488"/>
      <c r="K3" s="488"/>
      <c r="L3" s="488"/>
      <c r="M3" s="488"/>
      <c r="N3" s="488"/>
      <c r="O3" s="488"/>
      <c r="P3" s="488"/>
      <c r="Q3" s="198"/>
    </row>
    <row r="4" spans="1:59" ht="15.6" x14ac:dyDescent="0.3">
      <c r="A4" s="480" t="str">
        <f>'Customer Info'!$B$11</f>
        <v>Breakdown of Charges Based on Entered Information</v>
      </c>
      <c r="B4" s="480"/>
      <c r="C4" s="480"/>
      <c r="D4" s="480"/>
      <c r="E4" s="480"/>
      <c r="F4" s="480"/>
      <c r="G4" s="480"/>
      <c r="H4" s="480"/>
      <c r="I4" s="480"/>
      <c r="J4" s="480"/>
      <c r="K4" s="480"/>
      <c r="L4" s="480"/>
      <c r="M4" s="480"/>
      <c r="N4" s="480"/>
      <c r="O4" s="480"/>
      <c r="P4" s="480"/>
      <c r="Q4" s="199"/>
    </row>
    <row r="5" spans="1:59" ht="15" x14ac:dyDescent="0.25">
      <c r="A5" s="75"/>
      <c r="B5" s="75"/>
      <c r="C5" s="75"/>
      <c r="D5" s="75"/>
      <c r="E5" s="75"/>
      <c r="F5" s="75"/>
      <c r="G5" s="75"/>
      <c r="H5" s="75"/>
      <c r="I5" s="75"/>
      <c r="J5" s="75"/>
      <c r="K5" s="75"/>
      <c r="L5" s="75"/>
      <c r="M5" s="75"/>
      <c r="N5" s="75"/>
      <c r="O5" s="75"/>
      <c r="P5" s="75"/>
      <c r="Q5" s="75"/>
    </row>
    <row r="6" spans="1:59" x14ac:dyDescent="0.25">
      <c r="A6" s="76">
        <f ca="1">TODAY()</f>
        <v>45657</v>
      </c>
      <c r="B6" s="487" t="s">
        <v>265</v>
      </c>
      <c r="C6" s="487"/>
      <c r="D6" s="487"/>
      <c r="E6" s="487"/>
      <c r="F6" s="487"/>
      <c r="G6" s="487"/>
      <c r="H6" s="487"/>
      <c r="I6" s="487"/>
      <c r="J6" s="487"/>
      <c r="K6" s="487"/>
      <c r="L6" s="487"/>
      <c r="M6" s="487"/>
      <c r="N6" s="487"/>
      <c r="O6" s="487"/>
    </row>
    <row r="7" spans="1:59" x14ac:dyDescent="0.25">
      <c r="A7" s="478" t="s">
        <v>15</v>
      </c>
      <c r="B7" s="478"/>
      <c r="C7" s="478"/>
      <c r="D7" s="478"/>
      <c r="E7" s="478"/>
      <c r="F7" s="478"/>
      <c r="G7" s="478"/>
      <c r="H7" s="478"/>
      <c r="I7" s="478"/>
      <c r="J7" s="478"/>
      <c r="K7" s="478"/>
    </row>
    <row r="8" spans="1:59" x14ac:dyDescent="0.25">
      <c r="C8" s="18"/>
      <c r="D8" s="18"/>
      <c r="E8" s="18"/>
      <c r="F8" s="18"/>
      <c r="G8" s="18"/>
      <c r="H8" s="18"/>
      <c r="I8" s="18"/>
      <c r="J8" s="18"/>
      <c r="K8" s="18"/>
    </row>
    <row r="9" spans="1:59" ht="15" x14ac:dyDescent="0.25">
      <c r="A9" s="23" t="s">
        <v>2</v>
      </c>
      <c r="B9" s="24"/>
      <c r="C9" s="25">
        <f>'Customer Info'!B7</f>
        <v>0</v>
      </c>
      <c r="I9" s="26"/>
    </row>
    <row r="10" spans="1:59" ht="15" x14ac:dyDescent="0.25">
      <c r="A10" s="27" t="s">
        <v>26</v>
      </c>
      <c r="B10" s="24"/>
      <c r="C10" s="25">
        <f>'Customer Info'!B8</f>
        <v>0</v>
      </c>
    </row>
    <row r="11" spans="1:59" x14ac:dyDescent="0.25">
      <c r="A11" s="23" t="s">
        <v>100</v>
      </c>
      <c r="B11" s="200">
        <f>'Customer Info'!B9</f>
        <v>1</v>
      </c>
      <c r="C11" s="194" t="str">
        <f>LOOKUP($B$11,$S$11:$AD$11,S12:AD12)</f>
        <v>January</v>
      </c>
      <c r="D11" s="133">
        <f>'Customer Info'!C9</f>
        <v>2025</v>
      </c>
      <c r="S11">
        <v>1</v>
      </c>
      <c r="T11">
        <v>2</v>
      </c>
      <c r="U11">
        <v>3</v>
      </c>
      <c r="V11">
        <v>4</v>
      </c>
      <c r="W11">
        <v>5</v>
      </c>
      <c r="X11">
        <v>6</v>
      </c>
      <c r="Y11">
        <v>7</v>
      </c>
      <c r="Z11">
        <v>8</v>
      </c>
      <c r="AA11">
        <v>9</v>
      </c>
      <c r="AB11">
        <v>10</v>
      </c>
      <c r="AC11">
        <v>11</v>
      </c>
      <c r="AD11">
        <v>12</v>
      </c>
    </row>
    <row r="12" spans="1:59" x14ac:dyDescent="0.25">
      <c r="A12" s="142"/>
      <c r="B12" s="143"/>
      <c r="C12" s="144"/>
      <c r="D12" s="144"/>
      <c r="E12" s="144"/>
      <c r="F12" s="144"/>
      <c r="G12" s="144"/>
      <c r="H12" s="144"/>
      <c r="I12" s="144"/>
      <c r="J12" s="144"/>
      <c r="K12" s="144"/>
      <c r="L12" s="144"/>
      <c r="M12" s="144"/>
      <c r="N12" s="144"/>
      <c r="O12" s="144"/>
      <c r="P12" s="144"/>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59" ht="15" x14ac:dyDescent="0.25">
      <c r="A13" s="148" t="s">
        <v>27</v>
      </c>
      <c r="B13" s="149"/>
      <c r="C13" s="150"/>
      <c r="D13" s="78"/>
      <c r="E13" s="78"/>
      <c r="F13" s="78"/>
      <c r="G13" s="78"/>
      <c r="H13" s="78"/>
      <c r="I13" s="78"/>
      <c r="J13" s="151"/>
      <c r="K13" s="151"/>
      <c r="L13" s="151"/>
      <c r="M13" s="151"/>
      <c r="N13" s="151"/>
      <c r="O13" s="151"/>
      <c r="P13" s="151"/>
      <c r="R13" s="78"/>
      <c r="S13" s="246"/>
      <c r="T13" s="246"/>
      <c r="U13" s="246"/>
      <c r="V13" s="246"/>
      <c r="W13" s="246"/>
      <c r="X13" s="246"/>
      <c r="Y13" s="246"/>
      <c r="Z13" s="246"/>
      <c r="AA13" s="246"/>
      <c r="AB13" s="246"/>
      <c r="AC13" s="246"/>
      <c r="AD13" s="246"/>
      <c r="AE13" s="78"/>
    </row>
    <row r="14" spans="1:59" x14ac:dyDescent="0.25">
      <c r="A14" s="78"/>
      <c r="B14" s="78"/>
      <c r="C14" s="78"/>
      <c r="D14" s="78"/>
      <c r="E14" s="78"/>
      <c r="F14" s="78"/>
      <c r="G14" s="139" t="s">
        <v>15</v>
      </c>
      <c r="H14" s="139"/>
      <c r="I14" s="152" t="s">
        <v>15</v>
      </c>
      <c r="J14" s="151"/>
      <c r="K14" s="151"/>
      <c r="L14" s="151"/>
      <c r="M14" s="151"/>
      <c r="N14" s="151"/>
      <c r="O14" s="151"/>
      <c r="P14" s="151"/>
      <c r="Q14" s="78"/>
      <c r="R14" s="78"/>
      <c r="S14" s="246"/>
      <c r="T14" s="246"/>
      <c r="U14" s="246"/>
      <c r="V14" s="246"/>
      <c r="W14" s="246"/>
      <c r="X14" s="246"/>
      <c r="Y14" s="246"/>
      <c r="Z14" s="246"/>
      <c r="AA14" s="246"/>
      <c r="AB14" s="246"/>
      <c r="AC14" s="246"/>
      <c r="AD14" s="246"/>
      <c r="AE14" s="78"/>
      <c r="AG14" s="145"/>
      <c r="AH14" s="145"/>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1:59" x14ac:dyDescent="0.25">
      <c r="A15" s="78"/>
      <c r="B15" s="78"/>
      <c r="C15" s="78"/>
      <c r="D15" s="78"/>
      <c r="E15" s="78"/>
      <c r="F15" s="78"/>
      <c r="G15" s="78"/>
      <c r="H15" s="78"/>
      <c r="I15" s="78"/>
      <c r="J15" s="151"/>
      <c r="K15" s="151"/>
      <c r="L15" s="151"/>
      <c r="M15" s="151"/>
      <c r="N15" s="151"/>
      <c r="O15" s="151"/>
      <c r="P15" s="151"/>
      <c r="Q15" s="78"/>
      <c r="R15" s="210"/>
      <c r="S15" s="78"/>
      <c r="T15" s="78"/>
      <c r="U15" s="78"/>
      <c r="V15" s="78"/>
      <c r="W15" s="78"/>
      <c r="X15" s="78"/>
      <c r="Y15" s="78"/>
      <c r="Z15" s="78"/>
      <c r="AA15" s="78"/>
      <c r="AB15" s="78"/>
      <c r="AC15" s="78"/>
      <c r="AD15" s="78"/>
      <c r="AE15" s="78"/>
      <c r="AG15" s="193"/>
      <c r="AH15" s="193"/>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row>
    <row r="16" spans="1:59" x14ac:dyDescent="0.25">
      <c r="A16" s="153"/>
      <c r="B16" s="78"/>
      <c r="C16" s="154"/>
      <c r="D16" s="153"/>
      <c r="E16" s="78"/>
      <c r="F16" s="78"/>
      <c r="G16" s="78"/>
      <c r="H16" s="78"/>
      <c r="I16" s="78"/>
      <c r="J16" s="151"/>
      <c r="K16" s="151"/>
      <c r="L16" s="151"/>
      <c r="M16" s="151"/>
      <c r="N16" s="151"/>
      <c r="O16" s="151"/>
      <c r="P16" s="151"/>
      <c r="Q16" s="78"/>
      <c r="R16" s="78"/>
      <c r="S16" s="78"/>
      <c r="T16" s="78"/>
      <c r="U16" s="78"/>
      <c r="V16" s="78"/>
      <c r="W16" s="78"/>
      <c r="X16" s="78"/>
      <c r="Y16" s="78"/>
      <c r="Z16" s="78"/>
      <c r="AA16" s="78"/>
      <c r="AB16" s="78"/>
      <c r="AC16" s="78"/>
      <c r="AD16" s="78"/>
      <c r="AE16" s="78"/>
      <c r="AF16" s="78"/>
      <c r="AG16" s="193"/>
      <c r="AH16" s="193"/>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row>
    <row r="17" spans="1:221" x14ac:dyDescent="0.25">
      <c r="A17" s="153" t="s">
        <v>52</v>
      </c>
      <c r="B17" s="78"/>
      <c r="D17" s="154">
        <f>IF('Customer Info'!B21+'Customer Info'!B22-'Customer Info'!B23&lt;0,0,'Customer Info'!B21+'Customer Info'!B22-'Customer Info'!B23)</f>
        <v>0</v>
      </c>
      <c r="E17" s="153" t="s">
        <v>41</v>
      </c>
      <c r="F17" s="78"/>
      <c r="G17" s="78"/>
      <c r="H17" s="78"/>
      <c r="I17" s="78"/>
      <c r="J17" s="151"/>
      <c r="K17" s="151"/>
      <c r="L17" s="151"/>
      <c r="M17" s="151"/>
      <c r="N17" s="151"/>
      <c r="O17" s="151"/>
      <c r="P17" s="151"/>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row>
    <row r="18" spans="1:221" x14ac:dyDescent="0.25">
      <c r="A18" s="153"/>
      <c r="B18" s="78"/>
      <c r="C18" s="154"/>
      <c r="D18" s="153"/>
      <c r="E18" s="78"/>
      <c r="F18" s="78"/>
      <c r="G18" s="78"/>
      <c r="H18" s="78"/>
      <c r="I18" s="78"/>
      <c r="J18" s="151"/>
      <c r="K18" s="151"/>
      <c r="L18" s="151"/>
      <c r="M18" s="151"/>
      <c r="N18" s="151"/>
      <c r="O18" s="151"/>
      <c r="P18" s="151"/>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row>
    <row r="19" spans="1:221" x14ac:dyDescent="0.25">
      <c r="A19" s="153"/>
      <c r="B19" s="78"/>
      <c r="C19" s="154"/>
      <c r="D19" s="153"/>
      <c r="E19" s="78"/>
      <c r="F19" s="78"/>
      <c r="G19" s="78"/>
      <c r="H19" s="78"/>
      <c r="I19" s="78"/>
      <c r="J19" s="151"/>
      <c r="K19" s="151"/>
      <c r="L19" s="151"/>
      <c r="M19" s="151"/>
      <c r="N19" s="151"/>
      <c r="O19" s="151"/>
      <c r="P19" s="151"/>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row>
    <row r="20" spans="1:221" x14ac:dyDescent="0.25">
      <c r="A20" s="153"/>
      <c r="B20" s="78"/>
      <c r="C20" s="154"/>
      <c r="D20" s="153"/>
      <c r="E20" s="78"/>
      <c r="F20" s="78"/>
      <c r="G20" s="78"/>
      <c r="H20" s="78"/>
      <c r="I20" s="78"/>
      <c r="J20" s="151"/>
      <c r="K20" s="151"/>
      <c r="L20" s="151"/>
      <c r="M20" s="151"/>
      <c r="N20" s="151"/>
      <c r="O20" s="151"/>
      <c r="P20" s="151"/>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row>
    <row r="21" spans="1:221" x14ac:dyDescent="0.25">
      <c r="A21" s="153"/>
      <c r="B21" s="78"/>
      <c r="C21" s="154"/>
      <c r="D21" s="153"/>
      <c r="E21" s="78"/>
      <c r="F21" s="78"/>
      <c r="G21" s="78"/>
      <c r="H21" s="78"/>
      <c r="I21" s="78"/>
      <c r="J21" s="151"/>
      <c r="K21" s="151"/>
      <c r="L21" s="151"/>
      <c r="M21" s="151"/>
      <c r="N21" s="151"/>
      <c r="O21" s="151"/>
      <c r="P21" s="151"/>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row>
    <row r="22" spans="1:221" x14ac:dyDescent="0.25">
      <c r="A22" s="155"/>
      <c r="B22" s="155"/>
      <c r="C22" s="156"/>
      <c r="D22" s="155"/>
      <c r="E22" s="155"/>
      <c r="F22" s="157"/>
      <c r="G22" s="142"/>
      <c r="H22" s="155"/>
      <c r="I22" s="158"/>
      <c r="J22" s="144"/>
      <c r="K22" s="151"/>
      <c r="L22" s="151"/>
      <c r="M22" s="151"/>
      <c r="N22" s="151"/>
      <c r="O22" s="151"/>
      <c r="P22" s="151"/>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31</v>
      </c>
      <c r="B23" s="78"/>
      <c r="C23" s="78"/>
      <c r="D23" s="78"/>
      <c r="E23" s="78"/>
      <c r="F23" s="78"/>
      <c r="G23" s="484" t="s">
        <v>68</v>
      </c>
      <c r="H23" s="485"/>
      <c r="I23" s="485"/>
      <c r="J23" s="486"/>
      <c r="K23" s="159"/>
      <c r="L23" s="481" t="s">
        <v>69</v>
      </c>
      <c r="M23" s="482"/>
      <c r="N23" s="482"/>
      <c r="O23" s="483"/>
      <c r="P23" s="160"/>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row>
    <row r="24" spans="1:221" x14ac:dyDescent="0.25">
      <c r="A24" s="78"/>
      <c r="B24" s="78"/>
      <c r="C24" s="78"/>
      <c r="D24" s="78"/>
      <c r="E24" s="78"/>
      <c r="F24" s="78"/>
      <c r="G24" s="115" t="s">
        <v>65</v>
      </c>
      <c r="H24" s="115" t="s">
        <v>66</v>
      </c>
      <c r="I24" s="115" t="s">
        <v>67</v>
      </c>
      <c r="J24" s="115" t="s">
        <v>34</v>
      </c>
      <c r="K24" s="78"/>
      <c r="L24" s="146" t="s">
        <v>65</v>
      </c>
      <c r="M24" s="146" t="s">
        <v>66</v>
      </c>
      <c r="N24" s="146" t="s">
        <v>67</v>
      </c>
      <c r="O24" s="146" t="s">
        <v>34</v>
      </c>
      <c r="P24" s="161" t="s">
        <v>57</v>
      </c>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row>
    <row r="25" spans="1:221" x14ac:dyDescent="0.25">
      <c r="A25" s="78" t="s">
        <v>32</v>
      </c>
      <c r="B25" s="78"/>
      <c r="C25" s="78"/>
      <c r="D25" s="78"/>
      <c r="E25" s="78"/>
      <c r="F25" s="78"/>
      <c r="G25" s="162"/>
      <c r="H25" s="163"/>
      <c r="I25" s="163">
        <v>10</v>
      </c>
      <c r="J25" s="239">
        <f>SUM(G25:I25)</f>
        <v>10</v>
      </c>
      <c r="K25" s="78"/>
      <c r="L25" s="105"/>
      <c r="M25" s="105"/>
      <c r="N25" s="105">
        <f>I25</f>
        <v>10</v>
      </c>
      <c r="O25" s="250">
        <f>SUM(L25:N25)</f>
        <v>10</v>
      </c>
      <c r="P25" s="245">
        <v>44531</v>
      </c>
      <c r="Q25" s="78"/>
      <c r="R25" s="175"/>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row>
    <row r="26" spans="1:221" x14ac:dyDescent="0.25">
      <c r="A26" s="78" t="s">
        <v>177</v>
      </c>
      <c r="B26" s="78"/>
      <c r="C26" s="78"/>
      <c r="D26" s="1">
        <f>MAX($D$17,0)</f>
        <v>0</v>
      </c>
      <c r="E26" s="101" t="s">
        <v>41</v>
      </c>
      <c r="F26" s="106" t="s">
        <v>8</v>
      </c>
      <c r="G26" s="247"/>
      <c r="H26" s="163"/>
      <c r="I26" s="165">
        <v>2.6312499999999999E-2</v>
      </c>
      <c r="J26" s="103">
        <f>SUM(G26:I26)</f>
        <v>2.6312499999999999E-2</v>
      </c>
      <c r="K26" s="108" t="s">
        <v>92</v>
      </c>
      <c r="L26" s="105"/>
      <c r="M26" s="105"/>
      <c r="N26" s="105">
        <f>ROUND($D26*I26,2)</f>
        <v>0</v>
      </c>
      <c r="O26" s="250">
        <f>SUM(L26:N26)</f>
        <v>0</v>
      </c>
      <c r="P26" s="245">
        <v>44531</v>
      </c>
      <c r="Q26" s="78"/>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row>
    <row r="27" spans="1:221" x14ac:dyDescent="0.25">
      <c r="A27" s="166" t="s">
        <v>50</v>
      </c>
      <c r="B27" s="166"/>
      <c r="C27" s="166"/>
      <c r="D27" s="167"/>
      <c r="E27" s="167"/>
      <c r="F27" s="166"/>
      <c r="G27" s="167"/>
      <c r="H27" s="167"/>
      <c r="I27" s="167"/>
      <c r="J27" s="167"/>
      <c r="K27" s="168"/>
      <c r="L27" s="169"/>
      <c r="M27" s="169"/>
      <c r="N27" s="169">
        <f>SUM(N25:N26)</f>
        <v>10</v>
      </c>
      <c r="O27" s="169">
        <f>SUM(O25:O26)</f>
        <v>10</v>
      </c>
      <c r="P27" s="160"/>
      <c r="Q27" s="78"/>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row>
    <row r="28" spans="1:221" x14ac:dyDescent="0.25">
      <c r="A28" s="170"/>
      <c r="B28" s="170"/>
      <c r="C28" s="170"/>
      <c r="D28" s="171"/>
      <c r="E28" s="171"/>
      <c r="F28" s="170"/>
      <c r="G28" s="171"/>
      <c r="H28" s="171"/>
      <c r="I28" s="171"/>
      <c r="J28" s="171"/>
      <c r="K28" s="172"/>
      <c r="L28" s="171"/>
      <c r="M28" s="171"/>
      <c r="N28" s="171"/>
      <c r="O28" s="171"/>
      <c r="P28" s="173"/>
      <c r="Q28" s="78"/>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row>
    <row r="29" spans="1:221" x14ac:dyDescent="0.25">
      <c r="A29" s="148" t="s">
        <v>70</v>
      </c>
      <c r="B29" s="166"/>
      <c r="C29" s="166"/>
      <c r="D29" s="167"/>
      <c r="E29" s="167"/>
      <c r="F29" s="166"/>
      <c r="G29" s="167"/>
      <c r="H29" s="167"/>
      <c r="I29" s="167"/>
      <c r="J29" s="167"/>
      <c r="K29" s="167"/>
      <c r="L29" s="167"/>
      <c r="M29" s="167"/>
      <c r="N29" s="167"/>
      <c r="O29" s="167"/>
      <c r="P29" s="160"/>
      <c r="Q29" s="78"/>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151"/>
      <c r="B30" s="151"/>
      <c r="C30" s="151"/>
      <c r="D30" s="151"/>
      <c r="E30" s="151"/>
      <c r="F30" s="151"/>
      <c r="G30" s="151"/>
      <c r="H30" s="151"/>
      <c r="I30" s="151"/>
      <c r="J30" s="151"/>
      <c r="K30" s="151"/>
      <c r="L30" s="151"/>
      <c r="M30" s="151"/>
      <c r="N30" s="151"/>
      <c r="O30" s="151"/>
      <c r="P30" s="174"/>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79</v>
      </c>
      <c r="B31" s="176"/>
      <c r="C31" s="176"/>
      <c r="D31" s="100">
        <f>IF($D$17&lt;0,0,IF($D$17&gt;833000,833000,$D$17))</f>
        <v>0</v>
      </c>
      <c r="E31" s="101" t="s">
        <v>41</v>
      </c>
      <c r="F31" s="102" t="s">
        <v>8</v>
      </c>
      <c r="G31" s="103"/>
      <c r="H31" s="103"/>
      <c r="I31" s="103">
        <f>'Rider Rates'!$B$4</f>
        <v>4.6278999999999999E-3</v>
      </c>
      <c r="J31" s="103">
        <f t="shared" ref="J31:J46" si="0">SUM(G31:I31)</f>
        <v>4.6278999999999999E-3</v>
      </c>
      <c r="K31" s="104" t="s">
        <v>42</v>
      </c>
      <c r="L31" s="105"/>
      <c r="M31" s="105"/>
      <c r="N31" s="105">
        <f t="shared" ref="N31:N37" si="1">ROUND(D31*I31,2)</f>
        <v>0</v>
      </c>
      <c r="O31" s="250">
        <f t="shared" ref="O31:O49" si="2">SUM(L31:N31)</f>
        <v>0</v>
      </c>
      <c r="P31" s="245">
        <f>'Rider Rates'!$D$4</f>
        <v>45657</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80</v>
      </c>
      <c r="B32" s="78"/>
      <c r="C32" s="78"/>
      <c r="D32" s="123">
        <f>IF($D$17&gt;833000,$D$17-833000,0)</f>
        <v>0</v>
      </c>
      <c r="E32" s="101" t="s">
        <v>41</v>
      </c>
      <c r="F32" s="102" t="s">
        <v>8</v>
      </c>
      <c r="G32" s="103"/>
      <c r="H32" s="103"/>
      <c r="I32" s="103">
        <f>'Rider Rates'!$B$5</f>
        <v>1.7560000000000001E-4</v>
      </c>
      <c r="J32" s="103">
        <f t="shared" si="0"/>
        <v>1.7560000000000001E-4</v>
      </c>
      <c r="K32" s="104" t="s">
        <v>42</v>
      </c>
      <c r="L32" s="105"/>
      <c r="M32" s="105"/>
      <c r="N32" s="105">
        <f t="shared" si="1"/>
        <v>0</v>
      </c>
      <c r="O32" s="105">
        <f t="shared" si="2"/>
        <v>0</v>
      </c>
      <c r="P32" s="245">
        <f>'Rider Rates'!$D$4</f>
        <v>45657</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99" t="s">
        <v>97</v>
      </c>
      <c r="B33" s="78"/>
      <c r="C33" s="78"/>
      <c r="D33" s="100">
        <f>IF($D$17&lt;0,0,IF($D$17&gt;2000,2000,$D$17))</f>
        <v>0</v>
      </c>
      <c r="E33" s="101" t="s">
        <v>41</v>
      </c>
      <c r="F33" s="102" t="s">
        <v>8</v>
      </c>
      <c r="G33" s="103"/>
      <c r="H33" s="103"/>
      <c r="I33" s="177">
        <f>'Rider Rates'!$B$8</f>
        <v>4.6499999999999996E-3</v>
      </c>
      <c r="J33" s="177">
        <f t="shared" si="0"/>
        <v>4.6499999999999996E-3</v>
      </c>
      <c r="K33" s="104" t="s">
        <v>42</v>
      </c>
      <c r="L33" s="105"/>
      <c r="M33" s="105"/>
      <c r="N33" s="105">
        <f t="shared" si="1"/>
        <v>0</v>
      </c>
      <c r="O33" s="105">
        <f t="shared" si="2"/>
        <v>0</v>
      </c>
      <c r="P33" s="245">
        <f>'Rider Rates'!$D$7</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99" t="s">
        <v>98</v>
      </c>
      <c r="B34" s="78"/>
      <c r="C34" s="78"/>
      <c r="D34" s="100">
        <f>IF($D$17&lt;=2000,0,IF($D$17=0,0,IF($D$17-2000&gt;13000,13000,$D$17-2000)))</f>
        <v>0</v>
      </c>
      <c r="E34" s="101" t="s">
        <v>41</v>
      </c>
      <c r="F34" s="102" t="s">
        <v>8</v>
      </c>
      <c r="G34" s="103"/>
      <c r="H34" s="103"/>
      <c r="I34" s="177">
        <f>'Rider Rates'!$B$9</f>
        <v>4.1900000000000001E-3</v>
      </c>
      <c r="J34" s="177">
        <f t="shared" si="0"/>
        <v>4.1900000000000001E-3</v>
      </c>
      <c r="K34" s="104" t="s">
        <v>42</v>
      </c>
      <c r="L34" s="105"/>
      <c r="M34" s="105"/>
      <c r="N34" s="105">
        <f t="shared" si="1"/>
        <v>0</v>
      </c>
      <c r="O34" s="105">
        <f t="shared" si="2"/>
        <v>0</v>
      </c>
      <c r="P34" s="245">
        <f>'Rider Rates'!$D$7</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99</v>
      </c>
      <c r="B35" s="78"/>
      <c r="C35" s="78"/>
      <c r="D35" s="100">
        <f>IF($D$17=0,0,IF($D$17-15000&gt;=0,$D$17-15000,0))</f>
        <v>0</v>
      </c>
      <c r="E35" s="101" t="s">
        <v>41</v>
      </c>
      <c r="F35" s="102" t="s">
        <v>8</v>
      </c>
      <c r="G35" s="103"/>
      <c r="H35" s="103"/>
      <c r="I35" s="177">
        <f>'Rider Rates'!$B$10</f>
        <v>3.63E-3</v>
      </c>
      <c r="J35" s="177">
        <f t="shared" si="0"/>
        <v>3.63E-3</v>
      </c>
      <c r="K35" s="104" t="s">
        <v>42</v>
      </c>
      <c r="L35" s="105"/>
      <c r="M35" s="105"/>
      <c r="N35" s="105">
        <f t="shared" si="1"/>
        <v>0</v>
      </c>
      <c r="O35" s="105">
        <f t="shared" si="2"/>
        <v>0</v>
      </c>
      <c r="P35" s="245">
        <f>'Rider Rates'!$D$7</f>
        <v>44531</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114</v>
      </c>
      <c r="B36" s="78"/>
      <c r="C36" s="78"/>
      <c r="D36" s="195">
        <f>$N$27</f>
        <v>10</v>
      </c>
      <c r="E36" s="101" t="s">
        <v>122</v>
      </c>
      <c r="F36" s="102" t="s">
        <v>8</v>
      </c>
      <c r="G36" s="103"/>
      <c r="H36" s="103"/>
      <c r="I36" s="178">
        <f>'Rider Rates'!$B$12</f>
        <v>0</v>
      </c>
      <c r="J36" s="178">
        <f t="shared" si="0"/>
        <v>0</v>
      </c>
      <c r="K36" s="104"/>
      <c r="L36" s="105"/>
      <c r="M36" s="105"/>
      <c r="N36" s="105">
        <f t="shared" si="1"/>
        <v>0</v>
      </c>
      <c r="O36" s="105">
        <f t="shared" si="2"/>
        <v>0</v>
      </c>
      <c r="P36" s="245">
        <f>'Rider Rates'!$D$12</f>
        <v>44531</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159</v>
      </c>
      <c r="B37" s="78"/>
      <c r="C37" s="78"/>
      <c r="D37" s="100">
        <f>IF($D$17&lt;0,0,$D$17)</f>
        <v>0</v>
      </c>
      <c r="E37" s="101" t="s">
        <v>41</v>
      </c>
      <c r="F37" s="102" t="s">
        <v>8</v>
      </c>
      <c r="G37" s="103"/>
      <c r="H37" s="103"/>
      <c r="I37" s="103">
        <f>'Rider Rates'!B15</f>
        <v>0</v>
      </c>
      <c r="J37" s="103">
        <f>SUM(G37:I37)</f>
        <v>0</v>
      </c>
      <c r="K37" s="104" t="s">
        <v>42</v>
      </c>
      <c r="L37" s="105"/>
      <c r="M37" s="105"/>
      <c r="N37" s="105">
        <f t="shared" si="1"/>
        <v>0</v>
      </c>
      <c r="O37" s="105">
        <f t="shared" si="2"/>
        <v>0</v>
      </c>
      <c r="P37" s="245">
        <f>'Rider Rates'!$D$15</f>
        <v>45505</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237</v>
      </c>
      <c r="B38" s="78"/>
      <c r="C38" s="78"/>
      <c r="D38" s="195">
        <f>$N$27</f>
        <v>10</v>
      </c>
      <c r="E38" s="101" t="s">
        <v>122</v>
      </c>
      <c r="F38" s="102" t="s">
        <v>8</v>
      </c>
      <c r="G38" s="103"/>
      <c r="H38" s="103"/>
      <c r="I38" s="178">
        <f>'Rider Rates'!$B$18</f>
        <v>0</v>
      </c>
      <c r="J38" s="178">
        <f>SUM(G38:I38)</f>
        <v>0</v>
      </c>
      <c r="K38" s="104"/>
      <c r="L38" s="105"/>
      <c r="M38" s="105"/>
      <c r="N38" s="105">
        <f>ROUND($D$38*'Rider Rates'!$B$18,2)+ROUND($D$38*'Rider Rates'!$E$18,2)</f>
        <v>0</v>
      </c>
      <c r="O38" s="105">
        <f t="shared" si="2"/>
        <v>0</v>
      </c>
      <c r="P38" s="245">
        <f>MAX('Rider Rates'!$D$18,'Rider Rates'!$F$18)</f>
        <v>44531</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41" t="s">
        <v>210</v>
      </c>
      <c r="B39" s="78"/>
      <c r="C39" s="78"/>
      <c r="D39" s="100"/>
      <c r="E39" s="101" t="s">
        <v>115</v>
      </c>
      <c r="F39" s="102"/>
      <c r="G39" s="103"/>
      <c r="H39" s="103"/>
      <c r="I39" s="103">
        <f>'Rider Rates'!D48</f>
        <v>1.17</v>
      </c>
      <c r="J39" s="237">
        <f>SUM(G39:I39)</f>
        <v>1.17</v>
      </c>
      <c r="K39" s="104"/>
      <c r="L39" s="105"/>
      <c r="M39" s="105"/>
      <c r="N39" s="105">
        <f>J39</f>
        <v>1.17</v>
      </c>
      <c r="O39" s="105">
        <f>SUM(L39:N39)</f>
        <v>1.17</v>
      </c>
      <c r="P39" s="245">
        <f>'Rider Rates'!E48</f>
        <v>45658</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210" t="s">
        <v>189</v>
      </c>
      <c r="B40" s="78"/>
      <c r="C40" s="78"/>
      <c r="D40" s="100">
        <f>IF($D$17&lt;0,0,$D$17)</f>
        <v>0</v>
      </c>
      <c r="E40" s="113" t="s">
        <v>41</v>
      </c>
      <c r="F40" s="102" t="s">
        <v>8</v>
      </c>
      <c r="G40" s="103"/>
      <c r="H40" s="103">
        <f>'Rider Rates'!$B$55</f>
        <v>4.3837099999999997E-2</v>
      </c>
      <c r="I40" s="103"/>
      <c r="J40" s="103">
        <f>SUM(G40:I40)</f>
        <v>4.3837099999999997E-2</v>
      </c>
      <c r="K40" s="104" t="s">
        <v>42</v>
      </c>
      <c r="L40" s="105"/>
      <c r="M40" s="105">
        <f>ROUND(D40*H40,2)</f>
        <v>0</v>
      </c>
      <c r="N40" s="205"/>
      <c r="O40" s="105">
        <f t="shared" si="2"/>
        <v>0</v>
      </c>
      <c r="P40" s="245">
        <f>'Rider Rates'!$D$55</f>
        <v>45383</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339</v>
      </c>
      <c r="B41" s="78"/>
      <c r="C41" s="78"/>
      <c r="D41" s="100">
        <f>IF($D$17&lt;0,0,$D$17)</f>
        <v>0</v>
      </c>
      <c r="E41" s="101" t="s">
        <v>41</v>
      </c>
      <c r="F41" s="102" t="s">
        <v>8</v>
      </c>
      <c r="G41" s="103"/>
      <c r="H41" s="103"/>
      <c r="I41" s="103">
        <f>'Rider Rates'!$B$66</f>
        <v>8.6240000000000004E-4</v>
      </c>
      <c r="J41" s="103">
        <f t="shared" ref="J41" si="3">SUM(G41:I41)</f>
        <v>8.6240000000000004E-4</v>
      </c>
      <c r="K41" s="104" t="s">
        <v>42</v>
      </c>
      <c r="L41" s="105"/>
      <c r="M41" s="105"/>
      <c r="N41" s="105">
        <f>ROUND($D$41*'Rider Rates'!$B$66,2)</f>
        <v>0</v>
      </c>
      <c r="O41" s="250">
        <f t="shared" ref="O41" si="4">SUM(L41:N41)</f>
        <v>0</v>
      </c>
      <c r="P41" s="245">
        <f>'Rider Rates'!$D$66</f>
        <v>45532</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96</v>
      </c>
      <c r="B42" s="78"/>
      <c r="C42" s="78"/>
      <c r="D42" s="100">
        <f>IF('Customer Info'!C34=TRUE,0,IF($D$17&lt;0,0,$D$17))</f>
        <v>0</v>
      </c>
      <c r="E42" s="101" t="s">
        <v>41</v>
      </c>
      <c r="F42" s="102" t="s">
        <v>8</v>
      </c>
      <c r="G42" s="103"/>
      <c r="H42" s="103"/>
      <c r="I42" s="103">
        <f>'Rider Rates'!$B$69+'Rider Rates'!$C$69</f>
        <v>0</v>
      </c>
      <c r="J42" s="103">
        <f t="shared" si="0"/>
        <v>0</v>
      </c>
      <c r="K42" s="104" t="s">
        <v>42</v>
      </c>
      <c r="L42" s="105"/>
      <c r="M42" s="105"/>
      <c r="N42" s="105">
        <f>ROUND($D$42*'Rider Rates'!$B$69,2)+ROUND($D$42*'Rider Rates'!$C$69,2)</f>
        <v>0</v>
      </c>
      <c r="O42" s="250">
        <f t="shared" si="2"/>
        <v>0</v>
      </c>
      <c r="P42" s="245">
        <f>'Rider Rates'!$D$69</f>
        <v>45444</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81</v>
      </c>
      <c r="B43" s="78"/>
      <c r="C43" s="78"/>
      <c r="D43" s="195">
        <f>$N$27</f>
        <v>10</v>
      </c>
      <c r="E43" s="101" t="s">
        <v>122</v>
      </c>
      <c r="F43" s="102" t="s">
        <v>8</v>
      </c>
      <c r="G43" s="111"/>
      <c r="H43" s="112"/>
      <c r="I43" s="120">
        <f>'Rider Rates'!$B$85</f>
        <v>4.94232E-2</v>
      </c>
      <c r="J43" s="120">
        <f>SUM(G43:I43)</f>
        <v>4.94232E-2</v>
      </c>
      <c r="K43" s="104"/>
      <c r="L43" s="105"/>
      <c r="M43" s="105"/>
      <c r="N43" s="105">
        <f>ROUND(D43*I43,2)</f>
        <v>0.49</v>
      </c>
      <c r="O43" s="105">
        <f t="shared" si="2"/>
        <v>0.49</v>
      </c>
      <c r="P43" s="245">
        <f>'Rider Rates'!$D$85</f>
        <v>45562</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99" t="s">
        <v>82</v>
      </c>
      <c r="B44" s="78"/>
      <c r="C44" s="78"/>
      <c r="D44" s="195">
        <f>$N$27</f>
        <v>10</v>
      </c>
      <c r="E44" s="101" t="s">
        <v>122</v>
      </c>
      <c r="F44" s="102" t="s">
        <v>8</v>
      </c>
      <c r="G44" s="114"/>
      <c r="H44" s="115"/>
      <c r="I44" s="120">
        <f>'Rider Rates'!$B$87</f>
        <v>6.6985699999999995E-2</v>
      </c>
      <c r="J44" s="120">
        <f t="shared" si="0"/>
        <v>6.6985699999999995E-2</v>
      </c>
      <c r="K44" s="104"/>
      <c r="L44" s="105"/>
      <c r="M44" s="105"/>
      <c r="N44" s="105">
        <f>ROUND(D44*I44,2)</f>
        <v>0.67</v>
      </c>
      <c r="O44" s="105">
        <f t="shared" si="2"/>
        <v>0.67</v>
      </c>
      <c r="P44" s="245">
        <f>'Rider Rates'!$D$87</f>
        <v>45167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206</v>
      </c>
      <c r="B45" s="78"/>
      <c r="C45" s="78"/>
      <c r="D45" s="195"/>
      <c r="E45" s="113" t="s">
        <v>115</v>
      </c>
      <c r="F45" s="106"/>
      <c r="G45" s="114"/>
      <c r="H45" s="115"/>
      <c r="I45" s="196">
        <f>'Rider Rates'!$B$90</f>
        <v>2.08</v>
      </c>
      <c r="J45" s="196">
        <f>SUM(G45:I45)</f>
        <v>2.08</v>
      </c>
      <c r="K45" s="104"/>
      <c r="L45" s="105"/>
      <c r="M45" s="105"/>
      <c r="N45" s="105">
        <f>I45</f>
        <v>2.08</v>
      </c>
      <c r="O45" s="250">
        <f>SUM(L45:N45)</f>
        <v>2.08</v>
      </c>
      <c r="P45" s="245">
        <f>'Rider Rates'!$D$90</f>
        <v>45657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$N$27</f>
        <v>10</v>
      </c>
      <c r="E46" s="101" t="s">
        <v>122</v>
      </c>
      <c r="F46" s="102" t="s">
        <v>8</v>
      </c>
      <c r="G46" s="114"/>
      <c r="H46" s="115"/>
      <c r="I46" s="120">
        <f>'Rider Rates'!$B$105</f>
        <v>0.2363101</v>
      </c>
      <c r="J46" s="238">
        <f t="shared" si="0"/>
        <v>0.2363101</v>
      </c>
      <c r="K46" s="104"/>
      <c r="L46" s="105"/>
      <c r="M46" s="105"/>
      <c r="N46" s="105">
        <f>ROUND(D46*I46,2)</f>
        <v>2.36</v>
      </c>
      <c r="O46" s="105">
        <f t="shared" si="2"/>
        <v>2.36</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Rates'!$B$108</f>
        <v>0</v>
      </c>
      <c r="J47" s="196">
        <f t="shared" ref="J47:J52" si="5">SUM(G47:I47)</f>
        <v>0</v>
      </c>
      <c r="K47" s="104"/>
      <c r="L47" s="105"/>
      <c r="M47" s="105"/>
      <c r="N47" s="105">
        <f>I47</f>
        <v>0</v>
      </c>
      <c r="O47" s="105">
        <f>SUM(L47:N47)</f>
        <v>0</v>
      </c>
      <c r="P47" s="245">
        <f>'Rider Rates'!$D$108</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Rates'!B121</f>
        <v>0.97</v>
      </c>
      <c r="J48" s="259">
        <f t="shared" si="5"/>
        <v>0.97</v>
      </c>
      <c r="K48" s="104"/>
      <c r="L48" s="105"/>
      <c r="M48" s="105"/>
      <c r="N48" s="260">
        <f>I48</f>
        <v>0.97</v>
      </c>
      <c r="O48" s="105">
        <f>SUM(L48:N48)</f>
        <v>0.97</v>
      </c>
      <c r="P48" s="245">
        <f>'Rider Rates'!D121</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10" t="s">
        <v>208</v>
      </c>
      <c r="B49" s="78"/>
      <c r="C49" s="78"/>
      <c r="D49" s="100">
        <f>IF($D$17&lt;1,0,$D$17)</f>
        <v>0</v>
      </c>
      <c r="E49" s="101" t="s">
        <v>41</v>
      </c>
      <c r="F49" s="249" t="s">
        <v>8</v>
      </c>
      <c r="G49" s="103"/>
      <c r="H49" s="103"/>
      <c r="I49" s="103">
        <f>'Rider Rates'!$B$117</f>
        <v>0</v>
      </c>
      <c r="J49" s="237">
        <f t="shared" si="5"/>
        <v>0</v>
      </c>
      <c r="K49" s="104" t="s">
        <v>42</v>
      </c>
      <c r="L49" s="105"/>
      <c r="M49" s="105"/>
      <c r="N49" s="105">
        <f>D49*J49</f>
        <v>0</v>
      </c>
      <c r="O49" s="105">
        <f t="shared" si="2"/>
        <v>0</v>
      </c>
      <c r="P49" s="245">
        <f>'Rider Rates'!D117</f>
        <v>45657</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230</v>
      </c>
      <c r="B50" s="78"/>
      <c r="C50" s="78"/>
      <c r="D50" s="100"/>
      <c r="E50" s="101" t="s">
        <v>115</v>
      </c>
      <c r="F50" s="102" t="s">
        <v>8</v>
      </c>
      <c r="G50" s="263"/>
      <c r="H50" s="263"/>
      <c r="I50" s="263">
        <f>'Rider Rates'!$B$125</f>
        <v>0.1</v>
      </c>
      <c r="J50" s="263">
        <f t="shared" si="5"/>
        <v>0.1</v>
      </c>
      <c r="K50" s="104"/>
      <c r="L50" s="209"/>
      <c r="M50" s="209"/>
      <c r="N50" s="209">
        <f>J50</f>
        <v>0.1</v>
      </c>
      <c r="O50" s="209">
        <f>SUM(L50:N50)</f>
        <v>0.1</v>
      </c>
      <c r="P50" s="264">
        <f>'Rider Rates'!E125</f>
        <v>45658</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241" t="s">
        <v>242</v>
      </c>
      <c r="B51" s="78"/>
      <c r="C51" s="78"/>
      <c r="D51" s="100">
        <f>D17</f>
        <v>0</v>
      </c>
      <c r="E51" s="101" t="s">
        <v>41</v>
      </c>
      <c r="F51" s="249" t="s">
        <v>8</v>
      </c>
      <c r="G51" s="103"/>
      <c r="H51" s="103"/>
      <c r="I51" s="103">
        <f>'Rider Rates'!B130</f>
        <v>0</v>
      </c>
      <c r="J51" s="237">
        <f t="shared" si="5"/>
        <v>0</v>
      </c>
      <c r="K51" s="104" t="s">
        <v>42</v>
      </c>
      <c r="L51" s="105"/>
      <c r="M51" s="105"/>
      <c r="N51" s="105">
        <f>D51*J51</f>
        <v>0</v>
      </c>
      <c r="O51" s="105">
        <f t="shared" ref="O51" si="6">SUM(L51:N51)</f>
        <v>0</v>
      </c>
      <c r="P51" s="245">
        <f>'Rider Rates'!D130</f>
        <v>44531</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241" t="s">
        <v>241</v>
      </c>
      <c r="B52" s="78"/>
      <c r="C52" s="78"/>
      <c r="D52" s="100"/>
      <c r="E52" s="101" t="s">
        <v>115</v>
      </c>
      <c r="F52" s="102" t="s">
        <v>8</v>
      </c>
      <c r="G52" s="263"/>
      <c r="H52" s="263"/>
      <c r="I52" s="263">
        <f>'Rider Rates'!$B$137</f>
        <v>0</v>
      </c>
      <c r="J52" s="263">
        <f t="shared" si="5"/>
        <v>0</v>
      </c>
      <c r="K52" s="104"/>
      <c r="L52" s="209"/>
      <c r="M52" s="209"/>
      <c r="N52" s="209">
        <f>J52</f>
        <v>0</v>
      </c>
      <c r="O52" s="209">
        <f>SUM(L52:N52)</f>
        <v>0</v>
      </c>
      <c r="P52" s="264">
        <f>'Rider Rates'!D137</f>
        <v>44531</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243</v>
      </c>
      <c r="B53" s="78"/>
      <c r="C53" s="78"/>
      <c r="D53" s="100"/>
      <c r="E53" s="101"/>
      <c r="F53" s="102"/>
      <c r="G53" s="263"/>
      <c r="H53" s="263"/>
      <c r="I53" s="263"/>
      <c r="J53" s="263"/>
      <c r="K53" s="104"/>
      <c r="L53" s="209"/>
      <c r="M53" s="209"/>
      <c r="N53" s="209"/>
      <c r="O53" s="209"/>
      <c r="P53" s="264"/>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179" t="s">
        <v>71</v>
      </c>
      <c r="B54" s="148"/>
      <c r="C54" s="148"/>
      <c r="D54" s="180"/>
      <c r="E54" s="181"/>
      <c r="F54" s="182"/>
      <c r="G54" s="182"/>
      <c r="H54" s="182"/>
      <c r="I54" s="182"/>
      <c r="J54" s="182"/>
      <c r="K54" s="183"/>
      <c r="L54" s="169">
        <f>SUM(L31:L53)</f>
        <v>0</v>
      </c>
      <c r="M54" s="169">
        <f t="shared" ref="M54:O54" si="7">SUM(M31:M53)</f>
        <v>0</v>
      </c>
      <c r="N54" s="169">
        <f t="shared" si="7"/>
        <v>7.839999999999999</v>
      </c>
      <c r="O54" s="169">
        <f t="shared" si="7"/>
        <v>7.839999999999999</v>
      </c>
      <c r="P54" s="184"/>
      <c r="Q54" s="10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100"/>
      <c r="E55" s="113"/>
      <c r="F55" s="106"/>
      <c r="G55" s="106"/>
      <c r="H55" s="106"/>
      <c r="I55" s="106"/>
      <c r="J55" s="107"/>
      <c r="K55" s="104"/>
      <c r="L55" s="106"/>
      <c r="M55" s="106"/>
      <c r="N55" s="106"/>
      <c r="O55" s="106"/>
      <c r="P55" s="164"/>
      <c r="Q55" s="106"/>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85" t="s">
        <v>94</v>
      </c>
      <c r="B56" s="170"/>
      <c r="C56" s="170"/>
      <c r="D56" s="170"/>
      <c r="E56" s="170"/>
      <c r="F56" s="170"/>
      <c r="G56" s="170"/>
      <c r="H56" s="170"/>
      <c r="I56" s="170"/>
      <c r="J56" s="170"/>
      <c r="K56" s="170"/>
      <c r="L56" s="186">
        <f>L27+L54</f>
        <v>0</v>
      </c>
      <c r="M56" s="186">
        <f>M27+M54</f>
        <v>0</v>
      </c>
      <c r="N56" s="186">
        <f>N27+N54</f>
        <v>17.84</v>
      </c>
      <c r="O56" s="187">
        <f>O27+O54</f>
        <v>17.84</v>
      </c>
      <c r="P56" s="187"/>
      <c r="Q56" s="106"/>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78"/>
      <c r="E57" s="78"/>
      <c r="F57" s="78"/>
      <c r="G57" s="78"/>
      <c r="H57" s="78"/>
      <c r="I57" s="78"/>
      <c r="J57" s="78"/>
      <c r="K57" s="78"/>
      <c r="L57" s="78"/>
      <c r="M57" s="78"/>
      <c r="N57" s="151"/>
      <c r="O57" s="151"/>
      <c r="P57" s="151"/>
      <c r="Q57" s="166"/>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78"/>
      <c r="B58" s="78"/>
      <c r="C58" s="78"/>
      <c r="D58" s="78"/>
      <c r="E58" s="78"/>
      <c r="F58" s="78"/>
      <c r="G58" s="78"/>
      <c r="H58" s="78"/>
      <c r="I58" s="78"/>
      <c r="J58" s="78"/>
      <c r="K58" s="78"/>
      <c r="L58" s="78"/>
      <c r="M58" s="78"/>
      <c r="N58" s="151"/>
      <c r="O58" s="151"/>
      <c r="P58" s="151"/>
      <c r="Q58" s="166"/>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166" t="s">
        <v>93</v>
      </c>
      <c r="B59" s="78"/>
      <c r="C59" s="78"/>
      <c r="D59" s="78"/>
      <c r="E59" s="78"/>
      <c r="F59" s="78"/>
      <c r="G59" s="78"/>
      <c r="H59" s="78"/>
      <c r="I59" s="78"/>
      <c r="J59" s="78"/>
      <c r="K59" s="78"/>
      <c r="L59" s="78"/>
      <c r="M59" s="78"/>
      <c r="N59" s="78"/>
      <c r="O59" s="109">
        <f>IF(D17&lt;0,MIN(O25,O56),O25)</f>
        <v>10</v>
      </c>
      <c r="P59" s="151"/>
      <c r="Q59" s="166"/>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166" t="s">
        <v>15</v>
      </c>
      <c r="B60" s="166"/>
      <c r="C60" s="166"/>
      <c r="D60" s="166"/>
      <c r="E60" s="166"/>
      <c r="F60" s="166"/>
      <c r="G60" s="166"/>
      <c r="H60" s="166"/>
      <c r="I60" s="78"/>
      <c r="J60" s="78"/>
      <c r="K60" s="78"/>
      <c r="L60" s="78"/>
      <c r="M60" s="78"/>
      <c r="N60" s="151"/>
      <c r="O60" s="151"/>
      <c r="P60" s="151"/>
      <c r="Q60" s="78"/>
      <c r="R60" s="107"/>
      <c r="S60" s="108"/>
      <c r="T60" s="109"/>
      <c r="U60" s="78"/>
      <c r="V60" s="110"/>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48" t="s">
        <v>117</v>
      </c>
      <c r="B61" s="151"/>
      <c r="C61" s="151"/>
      <c r="D61" s="151"/>
      <c r="E61" s="151"/>
      <c r="F61" s="151"/>
      <c r="G61" s="151"/>
      <c r="H61" s="151"/>
      <c r="I61" s="151"/>
      <c r="J61" s="151"/>
      <c r="K61" s="151"/>
      <c r="L61" s="151"/>
      <c r="M61" s="151"/>
      <c r="N61" s="151"/>
      <c r="O61" s="190">
        <f>IF($D$17&lt;0,O56,IF(O56&gt;O59,O56,O59))</f>
        <v>17.84</v>
      </c>
      <c r="P61" s="160"/>
      <c r="Q61" s="78"/>
      <c r="R61" s="107"/>
      <c r="S61" s="108"/>
      <c r="T61" s="109"/>
      <c r="U61" s="78"/>
      <c r="V61" s="110"/>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48"/>
      <c r="B62" s="151"/>
      <c r="C62" s="151"/>
      <c r="D62" s="151"/>
      <c r="E62" s="151"/>
      <c r="F62" s="151"/>
      <c r="G62" s="151"/>
      <c r="H62" s="151"/>
      <c r="I62" s="151"/>
      <c r="J62" s="151"/>
      <c r="K62" s="151"/>
      <c r="L62" s="151"/>
      <c r="M62" s="151"/>
      <c r="N62" s="151"/>
      <c r="O62" s="138"/>
      <c r="P62" s="160"/>
      <c r="Q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c r="B63" s="166"/>
      <c r="C63" s="166"/>
      <c r="D63" s="166"/>
      <c r="E63" s="166"/>
      <c r="F63" s="166"/>
      <c r="G63" s="166"/>
      <c r="H63" s="166"/>
      <c r="I63" s="166" t="s">
        <v>121</v>
      </c>
      <c r="J63" s="166"/>
      <c r="K63" s="166"/>
      <c r="L63" s="191"/>
      <c r="M63" s="191"/>
      <c r="N63" s="191"/>
      <c r="O63" s="191">
        <f>ROUND(IF($D$17&lt;1,0,O56/($D$17*100)*10000),2)</f>
        <v>0</v>
      </c>
      <c r="P63" s="37" t="s">
        <v>87</v>
      </c>
      <c r="Q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row>
    <row r="64" spans="1:236" x14ac:dyDescent="0.25">
      <c r="A64" s="37"/>
      <c r="B64" s="78"/>
      <c r="C64" s="78"/>
      <c r="D64" s="78"/>
      <c r="E64" s="78"/>
      <c r="F64" s="78"/>
      <c r="G64" s="78"/>
      <c r="H64" s="192"/>
      <c r="I64" s="242" t="s">
        <v>190</v>
      </c>
      <c r="J64" s="78"/>
      <c r="K64" s="78"/>
      <c r="L64" s="78"/>
      <c r="M64" s="78"/>
      <c r="N64" s="78"/>
      <c r="O64" s="243">
        <f>ROUND(IF($D$17&lt;1,0,(L56)/($D$17*100)*10000),2)</f>
        <v>0</v>
      </c>
      <c r="P64" s="25" t="s">
        <v>87</v>
      </c>
      <c r="Q64" s="78"/>
      <c r="AE64" s="78"/>
      <c r="AF64" s="78"/>
      <c r="AG64" s="78"/>
      <c r="AH64" s="78"/>
      <c r="AI64" s="78"/>
      <c r="AJ64" s="78"/>
      <c r="AK64" s="78"/>
      <c r="AL64" s="78"/>
      <c r="AM64" s="78"/>
      <c r="AN64" s="78"/>
      <c r="AO64" s="78"/>
      <c r="AP64" s="78"/>
      <c r="AQ64" s="78"/>
      <c r="AR64" s="78"/>
      <c r="AS64" s="78"/>
      <c r="AT64" s="78"/>
      <c r="HE64" s="78"/>
      <c r="HF64" s="78"/>
      <c r="HG64" s="78"/>
      <c r="HH64" s="78"/>
      <c r="HI64" s="78"/>
      <c r="HJ64" s="78"/>
      <c r="HK64" s="78"/>
      <c r="HL64" s="78"/>
      <c r="HM64" s="78"/>
      <c r="HN64" s="78"/>
    </row>
    <row r="65" spans="1:221" x14ac:dyDescent="0.25">
      <c r="A65" s="99"/>
      <c r="B65" s="78"/>
      <c r="C65" s="78"/>
      <c r="D65" s="100"/>
      <c r="E65" s="101"/>
      <c r="F65" s="106"/>
      <c r="G65" s="133"/>
      <c r="H65" s="56"/>
      <c r="I65" s="133"/>
      <c r="J65" s="25"/>
      <c r="K65" s="25"/>
      <c r="L65" s="134"/>
      <c r="M65" s="134"/>
      <c r="N65" s="134"/>
      <c r="O65" s="135"/>
      <c r="Q65" s="80"/>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X65" s="78"/>
      <c r="FY65" s="78"/>
      <c r="FZ65" s="78"/>
      <c r="GA65" s="78"/>
      <c r="GB65" s="78"/>
      <c r="GC65" s="78"/>
      <c r="GD65" s="78"/>
      <c r="GE65" s="78"/>
      <c r="GF65" s="78"/>
      <c r="GG65" s="78"/>
      <c r="GH65" s="78"/>
      <c r="GI65" s="78"/>
      <c r="GJ65" s="78"/>
      <c r="GK65" s="78"/>
      <c r="GL65" s="78"/>
      <c r="GM65" s="78"/>
      <c r="GN65" s="78"/>
      <c r="GO65" s="78"/>
      <c r="GP65" s="78"/>
      <c r="GQ65" s="78"/>
      <c r="GR65" s="78"/>
      <c r="GS65" s="78"/>
      <c r="GT65" s="78"/>
      <c r="GU65" s="78"/>
      <c r="GV65" s="78"/>
      <c r="GW65" s="78"/>
      <c r="GX65" s="78"/>
      <c r="GY65" s="78"/>
      <c r="GZ65" s="78"/>
      <c r="HA65" s="78"/>
      <c r="HB65" s="78"/>
      <c r="HC65" s="78"/>
      <c r="HD65" s="78"/>
      <c r="HE65" s="78"/>
      <c r="HF65" s="78"/>
      <c r="HG65" s="78"/>
      <c r="HH65" s="78"/>
      <c r="HI65" s="78"/>
      <c r="HJ65" s="78"/>
      <c r="HK65" s="78"/>
      <c r="HL65" s="78"/>
      <c r="HM65" s="78"/>
    </row>
    <row r="66" spans="1:221" x14ac:dyDescent="0.25">
      <c r="A66" s="99"/>
      <c r="B66" s="78"/>
      <c r="C66" s="78"/>
      <c r="D66" s="100"/>
      <c r="E66" s="113"/>
      <c r="F66" s="106"/>
      <c r="Q66" s="80"/>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X66" s="78"/>
      <c r="FY66" s="78"/>
      <c r="FZ66" s="78"/>
      <c r="GA66" s="78"/>
      <c r="GB66" s="78"/>
      <c r="GC66" s="78"/>
      <c r="GD66" s="78"/>
      <c r="GE66" s="78"/>
      <c r="GF66" s="78"/>
      <c r="GG66" s="78"/>
      <c r="GH66" s="78"/>
      <c r="GI66" s="78"/>
      <c r="GJ66" s="78"/>
      <c r="GK66" s="78"/>
      <c r="GL66" s="78"/>
      <c r="GM66" s="78"/>
      <c r="GN66" s="78"/>
      <c r="GO66" s="78"/>
      <c r="GP66" s="78"/>
      <c r="GQ66" s="78"/>
      <c r="GR66" s="78"/>
      <c r="GS66" s="78"/>
      <c r="GT66" s="78"/>
      <c r="GU66" s="78"/>
      <c r="GV66" s="78"/>
      <c r="GW66" s="78"/>
      <c r="GX66" s="78"/>
      <c r="GY66" s="78"/>
      <c r="GZ66" s="78"/>
      <c r="HA66" s="78"/>
      <c r="HB66" s="78"/>
      <c r="HC66" s="78"/>
      <c r="HD66" s="78"/>
      <c r="HE66" s="78"/>
      <c r="HF66" s="78"/>
      <c r="HG66" s="78"/>
      <c r="HH66" s="78"/>
      <c r="HI66" s="78"/>
      <c r="HJ66" s="78"/>
      <c r="HK66" s="78"/>
      <c r="HL66" s="78"/>
      <c r="HM66" s="78"/>
    </row>
    <row r="67" spans="1:221" x14ac:dyDescent="0.25">
      <c r="A67" s="78"/>
      <c r="D67" s="1"/>
      <c r="E67" s="35"/>
      <c r="F67" s="106"/>
      <c r="Q67" s="80"/>
    </row>
    <row r="68" spans="1:221" x14ac:dyDescent="0.25">
      <c r="A68" s="96"/>
      <c r="D68" s="1"/>
      <c r="E68" s="35"/>
      <c r="F68" s="4"/>
      <c r="Q68" s="36"/>
    </row>
    <row r="69" spans="1:221" x14ac:dyDescent="0.25">
      <c r="A69" s="96"/>
      <c r="D69" s="1"/>
      <c r="E69" s="35"/>
      <c r="F69" s="4"/>
      <c r="Q69" s="36"/>
    </row>
    <row r="70" spans="1:221" x14ac:dyDescent="0.25">
      <c r="A70" s="41"/>
      <c r="B70" s="77"/>
      <c r="C70" s="77"/>
      <c r="D70" s="77"/>
      <c r="E70" s="77"/>
      <c r="F70" s="77"/>
    </row>
    <row r="71" spans="1:221" x14ac:dyDescent="0.25">
      <c r="B71" s="37"/>
      <c r="C71" s="37"/>
      <c r="D71" s="37"/>
      <c r="E71" s="37"/>
      <c r="F71" s="37"/>
      <c r="P71" s="37"/>
      <c r="Q71" s="37"/>
    </row>
    <row r="72" spans="1:221" x14ac:dyDescent="0.25">
      <c r="B72" s="37"/>
      <c r="C72" s="37"/>
      <c r="D72" s="37"/>
      <c r="E72" s="37"/>
      <c r="F72" s="37"/>
      <c r="P72" s="25"/>
      <c r="Q72" s="25"/>
    </row>
    <row r="75" spans="1:221" x14ac:dyDescent="0.25">
      <c r="A75" s="477"/>
    </row>
    <row r="76" spans="1:221" x14ac:dyDescent="0.25">
      <c r="A76" s="477"/>
    </row>
    <row r="77" spans="1:221" x14ac:dyDescent="0.25">
      <c r="A77" s="477"/>
    </row>
    <row r="78" spans="1:221" x14ac:dyDescent="0.25">
      <c r="A78" s="477"/>
    </row>
    <row r="79" spans="1:221" x14ac:dyDescent="0.25">
      <c r="A79" s="477"/>
    </row>
    <row r="80" spans="1:221"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sheetData>
  <sheetProtection algorithmName="SHA-512" hashValue="7yKsPctVSkOSMf7+luGYT09UFaZbhdDTbvzWj2kJTs7KqkZdStQwiMrUJ3rKx1KdZwE+suVTivZh68v/A4BlSg==" saltValue="+4BrClZoIUhUtcSMVUi8XQ==" spinCount="100000" sheet="1" objects="1" scenarios="1"/>
  <mergeCells count="8">
    <mergeCell ref="A75:A89"/>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8850" r:id="rId5" name="Button 2">
              <controlPr defaultSize="0" print="0" autoFill="0" autoPict="0" macro="[0]!Info">
                <anchor moveWithCells="1">
                  <from>
                    <xdr:col>16</xdr:col>
                    <xdr:colOff>579120</xdr:colOff>
                    <xdr:row>82</xdr:row>
                    <xdr:rowOff>68580</xdr:rowOff>
                  </from>
                  <to>
                    <xdr:col>30</xdr:col>
                    <xdr:colOff>236220</xdr:colOff>
                    <xdr:row>83</xdr:row>
                    <xdr:rowOff>144780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dimension ref="A1:IB63"/>
  <sheetViews>
    <sheetView showGridLines="0" topLeftCell="A13" zoomScale="80" zoomScaleNormal="80" workbookViewId="0">
      <selection activeCell="P37" sqref="J37:P37"/>
    </sheetView>
  </sheetViews>
  <sheetFormatPr defaultRowHeight="13.2" x14ac:dyDescent="0.25"/>
  <cols>
    <col min="1" max="1" width="39" customWidth="1"/>
    <col min="2" max="2" width="2.109375" customWidth="1"/>
    <col min="3" max="3" width="13" customWidth="1"/>
    <col min="4" max="4" width="15.44140625" customWidth="1"/>
    <col min="5" max="5" width="10.44140625" customWidth="1"/>
    <col min="6" max="6" width="5.5546875" customWidth="1"/>
    <col min="7" max="8" width="13.44140625" customWidth="1"/>
    <col min="9" max="9" width="14.5546875" customWidth="1"/>
    <col min="10" max="10" width="13.44140625" customWidth="1"/>
    <col min="11" max="11" width="5.5546875" bestFit="1" customWidth="1"/>
    <col min="12" max="12" width="15.109375" customWidth="1"/>
    <col min="13" max="13" width="17.44140625" bestFit="1" customWidth="1"/>
    <col min="14" max="14" width="17.5546875" customWidth="1"/>
    <col min="15" max="15" width="18.5546875" customWidth="1"/>
    <col min="16" max="16" width="15" customWidth="1"/>
    <col min="17" max="17" width="12.88671875" bestFit="1" customWidth="1"/>
    <col min="18" max="18" width="10.55468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c r="Q1" s="203"/>
    </row>
    <row r="2" spans="1:30" ht="21" x14ac:dyDescent="0.4">
      <c r="A2" s="495" t="s">
        <v>267</v>
      </c>
      <c r="B2" s="495"/>
      <c r="C2" s="495"/>
      <c r="D2" s="495"/>
      <c r="E2" s="495"/>
      <c r="F2" s="495"/>
      <c r="G2" s="495"/>
      <c r="H2" s="495"/>
      <c r="I2" s="495"/>
      <c r="J2" s="495"/>
      <c r="K2" s="495"/>
      <c r="L2" s="495"/>
      <c r="M2" s="495"/>
      <c r="N2" s="495"/>
      <c r="O2" s="495"/>
      <c r="P2" s="495"/>
      <c r="Q2" s="197"/>
    </row>
    <row r="3" spans="1:30" ht="17.399999999999999" x14ac:dyDescent="0.3">
      <c r="A3" s="480" t="s">
        <v>95</v>
      </c>
      <c r="B3" s="480"/>
      <c r="C3" s="480"/>
      <c r="D3" s="480"/>
      <c r="E3" s="480"/>
      <c r="F3" s="480"/>
      <c r="G3" s="480"/>
      <c r="H3" s="480"/>
      <c r="I3" s="480"/>
      <c r="J3" s="480"/>
      <c r="K3" s="480"/>
      <c r="L3" s="480"/>
      <c r="M3" s="480"/>
      <c r="N3" s="480"/>
      <c r="O3" s="480"/>
      <c r="P3" s="480"/>
      <c r="Q3" s="198"/>
    </row>
    <row r="4" spans="1:30" ht="15.6" x14ac:dyDescent="0.3">
      <c r="A4" s="480"/>
      <c r="B4" s="480"/>
      <c r="C4" s="480"/>
      <c r="D4" s="480"/>
      <c r="E4" s="480"/>
      <c r="F4" s="480"/>
      <c r="G4" s="480"/>
      <c r="H4" s="480"/>
      <c r="I4" s="480"/>
      <c r="J4" s="480"/>
      <c r="K4" s="480"/>
      <c r="L4" s="480"/>
      <c r="M4" s="480"/>
      <c r="N4" s="480"/>
      <c r="O4" s="480"/>
      <c r="P4" s="480"/>
      <c r="Q4" s="199"/>
    </row>
    <row r="5" spans="1:30" x14ac:dyDescent="0.25">
      <c r="A5" s="76">
        <f ca="1">TODAY()</f>
        <v>45657</v>
      </c>
      <c r="B5" s="487" t="s">
        <v>294</v>
      </c>
      <c r="C5" s="487"/>
      <c r="D5" s="487"/>
      <c r="E5" s="487"/>
      <c r="F5" s="487"/>
      <c r="G5" s="487"/>
      <c r="H5" s="487"/>
      <c r="I5" s="487"/>
      <c r="J5" s="487"/>
      <c r="K5" s="487"/>
      <c r="L5" s="487"/>
      <c r="M5" s="487"/>
      <c r="N5" s="487"/>
      <c r="O5" s="487"/>
    </row>
    <row r="6" spans="1:30" x14ac:dyDescent="0.25">
      <c r="A6" s="478" t="s">
        <v>15</v>
      </c>
      <c r="B6" s="478"/>
      <c r="C6" s="478"/>
      <c r="D6" s="478"/>
      <c r="E6" s="478"/>
      <c r="F6" s="478"/>
      <c r="G6" s="478"/>
      <c r="H6" s="478"/>
      <c r="I6" s="478"/>
      <c r="J6" s="478"/>
      <c r="K6" s="478"/>
    </row>
    <row r="7" spans="1:30" x14ac:dyDescent="0.25">
      <c r="C7" s="18"/>
      <c r="D7" s="18"/>
      <c r="E7" s="18"/>
      <c r="F7" s="18"/>
      <c r="G7" s="18"/>
      <c r="H7" s="18"/>
      <c r="I7" s="18"/>
      <c r="J7" s="18"/>
      <c r="K7" s="18"/>
    </row>
    <row r="8" spans="1:30" ht="15" x14ac:dyDescent="0.25">
      <c r="A8" s="23" t="s">
        <v>2</v>
      </c>
      <c r="B8" s="24"/>
      <c r="C8" s="25">
        <f>'Customer Info'!B7</f>
        <v>0</v>
      </c>
      <c r="I8" s="26"/>
    </row>
    <row r="9" spans="1:30" ht="15" x14ac:dyDescent="0.25">
      <c r="A9" s="27" t="s">
        <v>26</v>
      </c>
      <c r="B9" s="24"/>
      <c r="C9" s="25">
        <f>'Customer Info'!B8</f>
        <v>0</v>
      </c>
    </row>
    <row r="10" spans="1:30" x14ac:dyDescent="0.25">
      <c r="A10" s="23" t="s">
        <v>3</v>
      </c>
      <c r="B10" s="200">
        <f>'Customer Info'!B9</f>
        <v>1</v>
      </c>
      <c r="C10" s="194" t="str">
        <f>LOOKUP(B10,S11:AD11,S12:AD12)</f>
        <v>January</v>
      </c>
      <c r="D10" s="133">
        <f>'Customer Info'!C9</f>
        <v>2025</v>
      </c>
    </row>
    <row r="11" spans="1:30" x14ac:dyDescent="0.25">
      <c r="A11" s="493"/>
      <c r="B11" s="493"/>
      <c r="C11" s="493"/>
      <c r="D11" s="493"/>
      <c r="E11" s="493"/>
      <c r="F11" s="493"/>
      <c r="G11" s="493"/>
      <c r="H11" s="493"/>
      <c r="I11" s="493"/>
      <c r="J11" s="94"/>
      <c r="K11" s="94"/>
      <c r="L11" s="94"/>
      <c r="M11" s="94"/>
      <c r="N11" s="94"/>
      <c r="O11" s="94"/>
      <c r="P11" s="94"/>
      <c r="S11">
        <v>1</v>
      </c>
      <c r="T11">
        <v>2</v>
      </c>
      <c r="U11">
        <v>3</v>
      </c>
      <c r="V11">
        <v>4</v>
      </c>
      <c r="W11">
        <v>5</v>
      </c>
      <c r="X11">
        <v>6</v>
      </c>
      <c r="Y11">
        <v>7</v>
      </c>
      <c r="Z11">
        <v>8</v>
      </c>
      <c r="AA11">
        <v>9</v>
      </c>
      <c r="AB11">
        <v>10</v>
      </c>
      <c r="AC11">
        <v>11</v>
      </c>
      <c r="AD11">
        <v>12</v>
      </c>
    </row>
    <row r="12" spans="1:30" x14ac:dyDescent="0.25">
      <c r="A12" s="97" t="s">
        <v>27</v>
      </c>
      <c r="B12" s="18"/>
      <c r="C12" s="18"/>
      <c r="D12" s="18"/>
      <c r="E12" s="18"/>
      <c r="F12" s="18"/>
      <c r="G12" s="18"/>
      <c r="H12" s="18"/>
      <c r="I12" s="1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18"/>
      <c r="B13" s="18"/>
      <c r="C13" s="18"/>
      <c r="D13" s="18"/>
      <c r="E13" s="18"/>
      <c r="F13" s="18"/>
      <c r="G13" s="18"/>
      <c r="H13" s="18"/>
      <c r="I13" s="18"/>
      <c r="R13" s="78" t="s">
        <v>118</v>
      </c>
      <c r="S13" s="193">
        <v>1.8274700000000001E-2</v>
      </c>
      <c r="T13" s="193">
        <v>1.8274700000000001E-2</v>
      </c>
      <c r="U13" s="193">
        <v>1.8274700000000001E-2</v>
      </c>
      <c r="V13" s="193">
        <v>1.8274700000000001E-2</v>
      </c>
      <c r="W13" s="193">
        <v>1.8274700000000001E-2</v>
      </c>
      <c r="X13" s="193">
        <v>1.8274700000000001E-2</v>
      </c>
      <c r="Y13" s="193">
        <v>1.8274700000000001E-2</v>
      </c>
      <c r="Z13" s="193">
        <v>1.8274700000000001E-2</v>
      </c>
      <c r="AA13" s="193">
        <v>1.8274700000000001E-2</v>
      </c>
      <c r="AB13" s="193">
        <v>1.8274700000000001E-2</v>
      </c>
      <c r="AC13" s="193">
        <v>1.8274700000000001E-2</v>
      </c>
      <c r="AD13" s="193">
        <v>1.8274700000000001E-2</v>
      </c>
    </row>
    <row r="14" spans="1:30" x14ac:dyDescent="0.25">
      <c r="A14" s="31" t="s">
        <v>43</v>
      </c>
      <c r="B14" s="31"/>
      <c r="C14" s="32">
        <f>IF('Customer Info'!B21+'Customer Info'!B22-'Customer Info'!B23&lt;0,0,'Customer Info'!B21+'Customer Info'!B22-'Customer Info'!B23)</f>
        <v>0</v>
      </c>
      <c r="D14" s="31" t="s">
        <v>41</v>
      </c>
      <c r="E14" s="31"/>
      <c r="F14" s="33"/>
      <c r="G14" s="31"/>
      <c r="H14" s="31"/>
      <c r="I14" s="31"/>
      <c r="R14" s="78" t="s">
        <v>119</v>
      </c>
      <c r="S14" s="193">
        <v>1.8274700000000001E-2</v>
      </c>
      <c r="T14" s="193">
        <v>1.8274700000000001E-2</v>
      </c>
      <c r="U14" s="193">
        <v>1.8274700000000001E-2</v>
      </c>
      <c r="V14" s="193">
        <v>1.8274700000000001E-2</v>
      </c>
      <c r="W14" s="193">
        <v>1.8274700000000001E-2</v>
      </c>
      <c r="X14" s="193">
        <v>1.8274700000000001E-2</v>
      </c>
      <c r="Y14" s="193">
        <v>1.8274700000000001E-2</v>
      </c>
      <c r="Z14" s="193">
        <v>1.8274700000000001E-2</v>
      </c>
      <c r="AA14" s="193">
        <v>1.8274700000000001E-2</v>
      </c>
      <c r="AB14" s="193">
        <v>1.8274700000000001E-2</v>
      </c>
      <c r="AC14" s="193">
        <v>1.8274700000000001E-2</v>
      </c>
      <c r="AD14" s="193">
        <v>1.8274700000000001E-2</v>
      </c>
    </row>
    <row r="15" spans="1:30" x14ac:dyDescent="0.25">
      <c r="A15" s="31" t="s">
        <v>85</v>
      </c>
      <c r="B15" s="31"/>
      <c r="C15" s="212">
        <f>MAX('Customer Info'!B18,'Customer Info'!B19)</f>
        <v>0</v>
      </c>
      <c r="D15" s="31" t="s">
        <v>45</v>
      </c>
      <c r="E15" s="31"/>
      <c r="F15" s="33"/>
      <c r="G15" s="31"/>
      <c r="H15" s="31"/>
      <c r="I15" s="31"/>
      <c r="R15" s="78" t="s">
        <v>123</v>
      </c>
      <c r="S15" s="193">
        <v>1.8274700000000001E-2</v>
      </c>
      <c r="T15" s="193">
        <v>1.8274700000000001E-2</v>
      </c>
      <c r="U15" s="193">
        <v>1.8274700000000001E-2</v>
      </c>
      <c r="V15" s="193">
        <v>1.8274700000000001E-2</v>
      </c>
      <c r="W15" s="193">
        <v>1.8274700000000001E-2</v>
      </c>
      <c r="X15" s="193">
        <v>1.8274700000000001E-2</v>
      </c>
      <c r="Y15" s="193">
        <v>1.8274700000000001E-2</v>
      </c>
      <c r="Z15" s="193">
        <v>1.8274700000000001E-2</v>
      </c>
      <c r="AA15" s="193">
        <v>1.8274700000000001E-2</v>
      </c>
      <c r="AB15" s="193">
        <v>1.8274700000000001E-2</v>
      </c>
      <c r="AC15" s="193">
        <v>1.8274700000000001E-2</v>
      </c>
      <c r="AD15" s="193">
        <v>1.8274700000000001E-2</v>
      </c>
    </row>
    <row r="16" spans="1:30" x14ac:dyDescent="0.25">
      <c r="A16" s="31"/>
      <c r="B16" s="31"/>
      <c r="C16" s="33"/>
      <c r="D16" s="33"/>
      <c r="E16" s="33"/>
      <c r="F16" s="33"/>
      <c r="G16" s="23"/>
      <c r="H16" s="31"/>
      <c r="I16" s="31"/>
      <c r="R16" t="s">
        <v>163</v>
      </c>
      <c r="S16" s="222" t="e">
        <f>'Rider Rates'!#REF!</f>
        <v>#REF!</v>
      </c>
      <c r="T16" s="222" t="e">
        <f>'Rider Rates'!#REF!</f>
        <v>#REF!</v>
      </c>
      <c r="U16" s="222" t="e">
        <f>'Rider Rates'!#REF!</f>
        <v>#REF!</v>
      </c>
      <c r="V16" s="222" t="e">
        <f>'Rider Rates'!#REF!</f>
        <v>#REF!</v>
      </c>
      <c r="W16" s="222" t="e">
        <f>'Rider Rates'!#REF!</f>
        <v>#REF!</v>
      </c>
      <c r="X16" s="222" t="e">
        <f>'Rider Rates'!#REF!</f>
        <v>#REF!</v>
      </c>
      <c r="Y16" s="222" t="e">
        <f>'Rider Rates'!#REF!</f>
        <v>#REF!</v>
      </c>
      <c r="Z16" s="222" t="e">
        <f>'Rider Rates'!#REF!</f>
        <v>#REF!</v>
      </c>
      <c r="AA16" s="222" t="e">
        <f>'Rider Rates'!#REF!</f>
        <v>#REF!</v>
      </c>
      <c r="AB16" s="222" t="e">
        <f>'Rider Rates'!#REF!</f>
        <v>#REF!</v>
      </c>
      <c r="AC16" s="222" t="e">
        <f>'Rider Rates'!#REF!</f>
        <v>#REF!</v>
      </c>
      <c r="AD16" s="222" t="e">
        <f>'Rider Rates'!#REF!</f>
        <v>#REF!</v>
      </c>
    </row>
    <row r="17" spans="1:221" x14ac:dyDescent="0.25">
      <c r="A17" s="28" t="s">
        <v>124</v>
      </c>
      <c r="B17" s="22"/>
      <c r="C17" s="22"/>
      <c r="D17" s="22"/>
      <c r="E17" s="22"/>
      <c r="F17" s="22"/>
      <c r="G17" s="489" t="s">
        <v>68</v>
      </c>
      <c r="H17" s="490"/>
      <c r="I17" s="490"/>
      <c r="J17" s="491"/>
      <c r="K17" s="22"/>
      <c r="L17" s="492" t="s">
        <v>69</v>
      </c>
      <c r="M17" s="492"/>
      <c r="N17" s="492"/>
      <c r="O17" s="492"/>
      <c r="R17" t="s">
        <v>164</v>
      </c>
      <c r="S17" s="222" t="e">
        <f>'Rider Rates'!#REF!</f>
        <v>#REF!</v>
      </c>
      <c r="T17" s="222" t="e">
        <f>'Rider Rates'!#REF!</f>
        <v>#REF!</v>
      </c>
      <c r="U17" s="222" t="e">
        <f>'Rider Rates'!#REF!</f>
        <v>#REF!</v>
      </c>
      <c r="V17" s="222" t="e">
        <f>'Rider Rates'!#REF!</f>
        <v>#REF!</v>
      </c>
      <c r="W17" s="222" t="e">
        <f>'Rider Rates'!#REF!</f>
        <v>#REF!</v>
      </c>
      <c r="X17" s="222" t="e">
        <f>'Rider Rates'!#REF!</f>
        <v>#REF!</v>
      </c>
      <c r="Y17" s="222" t="e">
        <f>'Rider Rates'!#REF!</f>
        <v>#REF!</v>
      </c>
      <c r="Z17" s="222" t="e">
        <f>'Rider Rates'!#REF!</f>
        <v>#REF!</v>
      </c>
      <c r="AA17" s="222" t="e">
        <f>'Rider Rates'!#REF!</f>
        <v>#REF!</v>
      </c>
      <c r="AB17" s="222" t="e">
        <f>'Rider Rates'!#REF!</f>
        <v>#REF!</v>
      </c>
      <c r="AC17" s="222" t="e">
        <f>'Rider Rates'!#REF!</f>
        <v>#REF!</v>
      </c>
      <c r="AD17" s="222" t="e">
        <f>'Rider Rates'!#REF!</f>
        <v>#REF!</v>
      </c>
    </row>
    <row r="18" spans="1:221" x14ac:dyDescent="0.25">
      <c r="A18" s="18"/>
      <c r="B18" s="18"/>
      <c r="C18" s="18"/>
      <c r="D18" s="18"/>
      <c r="E18" s="18"/>
      <c r="F18" s="18"/>
      <c r="G18" s="8" t="s">
        <v>65</v>
      </c>
      <c r="H18" s="8" t="s">
        <v>66</v>
      </c>
      <c r="I18" s="8" t="s">
        <v>67</v>
      </c>
      <c r="J18" s="112" t="s">
        <v>34</v>
      </c>
      <c r="K18" s="18"/>
      <c r="L18" s="131" t="s">
        <v>65</v>
      </c>
      <c r="M18" s="131" t="s">
        <v>66</v>
      </c>
      <c r="N18" s="131" t="s">
        <v>67</v>
      </c>
      <c r="O18" s="132" t="s">
        <v>34</v>
      </c>
      <c r="P18" s="43" t="s">
        <v>57</v>
      </c>
      <c r="R18" t="s">
        <v>165</v>
      </c>
      <c r="S18" s="222" t="e">
        <f>'Rider Rates'!#REF!</f>
        <v>#REF!</v>
      </c>
      <c r="T18" s="222" t="e">
        <f>'Rider Rates'!#REF!</f>
        <v>#REF!</v>
      </c>
      <c r="U18" s="222" t="e">
        <f>'Rider Rates'!#REF!</f>
        <v>#REF!</v>
      </c>
      <c r="V18" s="222" t="e">
        <f>'Rider Rates'!#REF!</f>
        <v>#REF!</v>
      </c>
      <c r="W18" s="222" t="e">
        <f>'Rider Rates'!#REF!</f>
        <v>#REF!</v>
      </c>
      <c r="X18" s="222" t="e">
        <f>'Rider Rates'!#REF!</f>
        <v>#REF!</v>
      </c>
      <c r="Y18" s="222" t="e">
        <f>'Rider Rates'!#REF!</f>
        <v>#REF!</v>
      </c>
      <c r="Z18" s="222" t="e">
        <f>'Rider Rates'!#REF!</f>
        <v>#REF!</v>
      </c>
      <c r="AA18" s="222" t="e">
        <f>'Rider Rates'!#REF!</f>
        <v>#REF!</v>
      </c>
      <c r="AB18" s="222" t="e">
        <f>'Rider Rates'!#REF!</f>
        <v>#REF!</v>
      </c>
      <c r="AC18" s="222" t="e">
        <f>'Rider Rates'!#REF!</f>
        <v>#REF!</v>
      </c>
      <c r="AD18" s="222" t="e">
        <f>'Rider Rates'!#REF!</f>
        <v>#REF!</v>
      </c>
    </row>
    <row r="19" spans="1:221" x14ac:dyDescent="0.25">
      <c r="A19" t="s">
        <v>32</v>
      </c>
      <c r="G19" s="83"/>
      <c r="H19" s="83"/>
      <c r="I19" s="125">
        <v>10</v>
      </c>
      <c r="J19" s="125">
        <f>SUM(G19:I19)</f>
        <v>10</v>
      </c>
      <c r="L19" s="125"/>
      <c r="M19" s="125"/>
      <c r="N19" s="125">
        <f>I19</f>
        <v>10</v>
      </c>
      <c r="O19" s="125">
        <f>+SUM(L19:N19)</f>
        <v>10</v>
      </c>
      <c r="P19" s="245">
        <f>'Rider Rates'!$D$7</f>
        <v>44531</v>
      </c>
      <c r="R19" s="3" t="s">
        <v>191</v>
      </c>
      <c r="S19">
        <f>'Rider Rates'!$C$21</f>
        <v>7.0209999999999995E-2</v>
      </c>
      <c r="T19">
        <f>'Rider Rates'!$C$21</f>
        <v>7.0209999999999995E-2</v>
      </c>
      <c r="U19">
        <f>'Rider Rates'!$C$21</f>
        <v>7.0209999999999995E-2</v>
      </c>
      <c r="V19">
        <f>'Rider Rates'!$C$21</f>
        <v>7.0209999999999995E-2</v>
      </c>
      <c r="W19">
        <f>'Rider Rates'!$C$21</f>
        <v>7.0209999999999995E-2</v>
      </c>
      <c r="X19">
        <f>'Rider Rates'!$B$21</f>
        <v>7.0209999999999995E-2</v>
      </c>
      <c r="Y19">
        <f>'Rider Rates'!$B$21</f>
        <v>7.0209999999999995E-2</v>
      </c>
      <c r="Z19">
        <f>'Rider Rates'!$B$21</f>
        <v>7.0209999999999995E-2</v>
      </c>
      <c r="AA19">
        <f>'Rider Rates'!$B$21</f>
        <v>7.0209999999999995E-2</v>
      </c>
      <c r="AB19">
        <f>'Rider Rates'!$C$21</f>
        <v>7.0209999999999995E-2</v>
      </c>
      <c r="AC19">
        <f>'Rider Rates'!$C$21</f>
        <v>7.0209999999999995E-2</v>
      </c>
      <c r="AD19">
        <f>'Rider Rates'!$C$21</f>
        <v>7.0209999999999995E-2</v>
      </c>
    </row>
    <row r="20" spans="1:221" x14ac:dyDescent="0.25">
      <c r="A20" s="18" t="s">
        <v>246</v>
      </c>
      <c r="B20" s="18"/>
      <c r="C20" s="18"/>
      <c r="D20" s="100">
        <f>C15</f>
        <v>0</v>
      </c>
      <c r="E20" s="124" t="s">
        <v>45</v>
      </c>
      <c r="F20" s="20" t="s">
        <v>8</v>
      </c>
      <c r="G20" s="165"/>
      <c r="H20" s="83"/>
      <c r="I20" s="165">
        <v>4.2699999999999996</v>
      </c>
      <c r="J20" s="126">
        <f>SUM(G20:I20)</f>
        <v>4.2699999999999996</v>
      </c>
      <c r="K20" t="s">
        <v>42</v>
      </c>
      <c r="L20" s="125"/>
      <c r="M20" s="125"/>
      <c r="N20" s="125">
        <f>IF($C$14&lt;0,0,ROUND($D20*I20,2))</f>
        <v>0</v>
      </c>
      <c r="O20" s="125">
        <f>+SUM(L20:N20)</f>
        <v>0</v>
      </c>
      <c r="P20" s="245">
        <f>'Rider Rates'!$D$7</f>
        <v>44531</v>
      </c>
      <c r="R20" s="3"/>
    </row>
    <row r="21" spans="1:221" x14ac:dyDescent="0.25">
      <c r="A21" s="96" t="s">
        <v>75</v>
      </c>
      <c r="B21" s="37"/>
      <c r="C21" s="37"/>
      <c r="D21" s="38"/>
      <c r="E21" s="38"/>
      <c r="F21" s="37"/>
      <c r="G21" s="37"/>
      <c r="I21" s="40"/>
      <c r="K21" s="39"/>
      <c r="L21" s="95"/>
      <c r="M21" s="54"/>
      <c r="N21" s="95">
        <f>SUM(N19:N20)</f>
        <v>10</v>
      </c>
      <c r="O21" s="95">
        <f>SUM(O19:O20)</f>
        <v>10</v>
      </c>
      <c r="R21" s="107"/>
      <c r="S21" s="108"/>
      <c r="T21" s="109"/>
      <c r="U21" s="78"/>
      <c r="V21" s="110"/>
      <c r="W21" s="78"/>
      <c r="X21" s="78"/>
      <c r="Y21" s="78"/>
      <c r="Z21" s="78"/>
      <c r="AA21" s="78"/>
      <c r="AB21" s="78"/>
      <c r="AC21" s="78"/>
      <c r="AD21" s="78"/>
    </row>
    <row r="22" spans="1:221" x14ac:dyDescent="0.25">
      <c r="A22" s="170"/>
      <c r="B22" s="170"/>
      <c r="C22" s="170"/>
      <c r="D22" s="171"/>
      <c r="E22" s="171"/>
      <c r="F22" s="170"/>
      <c r="G22" s="171"/>
      <c r="H22" s="171"/>
      <c r="I22" s="171"/>
      <c r="J22" s="171"/>
      <c r="K22" s="172"/>
      <c r="L22" s="171"/>
      <c r="M22" s="171"/>
      <c r="N22" s="171"/>
      <c r="O22" s="171"/>
      <c r="P22" s="171"/>
      <c r="R22" s="107"/>
      <c r="S22" s="108"/>
      <c r="T22" s="109"/>
      <c r="U22" s="78"/>
      <c r="V22" s="110"/>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row>
    <row r="23" spans="1:221" x14ac:dyDescent="0.25">
      <c r="A23" s="148" t="s">
        <v>70</v>
      </c>
      <c r="B23" s="166"/>
      <c r="C23" s="166"/>
      <c r="D23" s="167"/>
      <c r="E23" s="167"/>
      <c r="F23" s="166"/>
      <c r="G23" s="167"/>
      <c r="H23" s="167"/>
      <c r="I23" s="167"/>
      <c r="J23" s="167"/>
      <c r="K23" s="167"/>
      <c r="L23" s="167"/>
      <c r="M23" s="167"/>
      <c r="N23" s="167"/>
      <c r="O23" s="167"/>
      <c r="P23" s="167"/>
      <c r="R23" s="107"/>
      <c r="S23" s="108"/>
      <c r="T23" s="109"/>
      <c r="U23" s="78"/>
      <c r="V23" s="110"/>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row>
    <row r="24" spans="1:221" x14ac:dyDescent="0.25">
      <c r="A24" s="151"/>
      <c r="B24" s="151"/>
      <c r="C24" s="151"/>
      <c r="D24" s="151"/>
      <c r="E24" s="151"/>
      <c r="F24" s="151"/>
      <c r="G24" s="151"/>
      <c r="H24" s="151"/>
      <c r="I24" s="151"/>
      <c r="J24" s="151"/>
      <c r="K24" s="151"/>
      <c r="L24" s="151"/>
      <c r="M24" s="151"/>
      <c r="N24" s="151"/>
      <c r="O24" s="151"/>
      <c r="P24" s="106"/>
      <c r="R24" s="107"/>
      <c r="S24" s="108"/>
      <c r="T24" s="109"/>
      <c r="U24" s="78"/>
      <c r="V24" s="110"/>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row>
    <row r="25" spans="1:221" x14ac:dyDescent="0.25">
      <c r="A25" s="99" t="s">
        <v>79</v>
      </c>
      <c r="B25" s="176"/>
      <c r="C25" s="176"/>
      <c r="D25" s="100">
        <f>IF($C$14&lt;0,0,IF($C$14&gt;833000,833000,$C$14))</f>
        <v>0</v>
      </c>
      <c r="E25" s="101" t="s">
        <v>41</v>
      </c>
      <c r="F25" s="102" t="s">
        <v>8</v>
      </c>
      <c r="G25" s="103"/>
      <c r="H25" s="103"/>
      <c r="I25" s="103">
        <f>'Rider Rates'!$B$4</f>
        <v>4.6278999999999999E-3</v>
      </c>
      <c r="J25" s="201">
        <f t="shared" ref="J25:J42" si="0">SUM(G25:I25)</f>
        <v>4.6278999999999999E-3</v>
      </c>
      <c r="K25" s="104" t="s">
        <v>42</v>
      </c>
      <c r="L25" s="105"/>
      <c r="M25" s="105"/>
      <c r="N25" s="105">
        <f t="shared" ref="N25:N30" si="1">ROUND(D25*I25,2)</f>
        <v>0</v>
      </c>
      <c r="O25" s="105">
        <f t="shared" ref="O25:O34" si="2">SUM(L25:N25)</f>
        <v>0</v>
      </c>
      <c r="P25" s="245">
        <f>'Rider Rates'!$D$4</f>
        <v>45657</v>
      </c>
      <c r="R25" s="107"/>
      <c r="S25" s="108"/>
      <c r="T25" s="109"/>
      <c r="U25" s="78"/>
      <c r="V25" s="110"/>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99" t="s">
        <v>80</v>
      </c>
      <c r="B26" s="78"/>
      <c r="C26" s="78"/>
      <c r="D26" s="123">
        <f>IF($C$14&gt;833000,$C$14-833000,0)</f>
        <v>0</v>
      </c>
      <c r="E26" s="101" t="s">
        <v>41</v>
      </c>
      <c r="F26" s="102" t="s">
        <v>8</v>
      </c>
      <c r="G26" s="103"/>
      <c r="H26" s="103"/>
      <c r="I26" s="103">
        <f>'Rider Rates'!$B$5</f>
        <v>1.7560000000000001E-4</v>
      </c>
      <c r="J26" s="201">
        <f t="shared" si="0"/>
        <v>1.7560000000000001E-4</v>
      </c>
      <c r="K26" s="104" t="s">
        <v>42</v>
      </c>
      <c r="L26" s="105"/>
      <c r="M26" s="105"/>
      <c r="N26" s="105">
        <f t="shared" si="1"/>
        <v>0</v>
      </c>
      <c r="O26" s="105">
        <f t="shared" si="2"/>
        <v>0</v>
      </c>
      <c r="P26" s="245">
        <f>'Rider Rates'!$D$4</f>
        <v>45657</v>
      </c>
      <c r="R26" s="107"/>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97</v>
      </c>
      <c r="B27" s="78"/>
      <c r="C27" s="78"/>
      <c r="D27" s="100">
        <f>IF($C$14&lt;0,0,IF($C$14&gt;2000,2000,$C$14))</f>
        <v>0</v>
      </c>
      <c r="E27" s="101" t="s">
        <v>41</v>
      </c>
      <c r="F27" s="102" t="s">
        <v>8</v>
      </c>
      <c r="G27" s="103"/>
      <c r="H27" s="103"/>
      <c r="I27" s="177">
        <f>'Rider Rates'!$B$8</f>
        <v>4.6499999999999996E-3</v>
      </c>
      <c r="J27" s="177">
        <f t="shared" si="0"/>
        <v>4.6499999999999996E-3</v>
      </c>
      <c r="K27" s="104" t="s">
        <v>42</v>
      </c>
      <c r="L27" s="105"/>
      <c r="M27" s="105"/>
      <c r="N27" s="105">
        <f t="shared" si="1"/>
        <v>0</v>
      </c>
      <c r="O27" s="105">
        <f t="shared" si="2"/>
        <v>0</v>
      </c>
      <c r="P27" s="245">
        <f>'Rider Rates'!$D$7</f>
        <v>44531</v>
      </c>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98</v>
      </c>
      <c r="B28" s="78"/>
      <c r="C28" s="78"/>
      <c r="D28" s="100">
        <f>IF($C$14&lt;=2000,0,IF($C$14=0,0,IF($C$14-2000&gt;13000,13000,$C$14-2000)))</f>
        <v>0</v>
      </c>
      <c r="E28" s="101" t="s">
        <v>41</v>
      </c>
      <c r="F28" s="102" t="s">
        <v>8</v>
      </c>
      <c r="G28" s="103"/>
      <c r="H28" s="103"/>
      <c r="I28" s="177">
        <f>'Rider Rates'!$B$9</f>
        <v>4.1900000000000001E-3</v>
      </c>
      <c r="J28" s="177">
        <f t="shared" si="0"/>
        <v>4.1900000000000001E-3</v>
      </c>
      <c r="K28" s="104" t="s">
        <v>42</v>
      </c>
      <c r="L28" s="105"/>
      <c r="M28" s="105"/>
      <c r="N28" s="105">
        <f t="shared" si="1"/>
        <v>0</v>
      </c>
      <c r="O28" s="105">
        <f t="shared" si="2"/>
        <v>0</v>
      </c>
      <c r="P28" s="245">
        <f>'Rider Rates'!$D$7</f>
        <v>44531</v>
      </c>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99</v>
      </c>
      <c r="B29" s="78"/>
      <c r="C29" s="78"/>
      <c r="D29" s="100">
        <f>IF($C$14=0,0,IF($C$14-15000&gt;=0,$C$14-15000,0))</f>
        <v>0</v>
      </c>
      <c r="E29" s="101" t="s">
        <v>41</v>
      </c>
      <c r="F29" s="102" t="s">
        <v>8</v>
      </c>
      <c r="G29" s="103"/>
      <c r="H29" s="103"/>
      <c r="I29" s="177">
        <f>'Rider Rates'!$B$10</f>
        <v>3.63E-3</v>
      </c>
      <c r="J29" s="177">
        <f t="shared" si="0"/>
        <v>3.63E-3</v>
      </c>
      <c r="K29" s="104" t="s">
        <v>42</v>
      </c>
      <c r="L29" s="105"/>
      <c r="M29" s="105"/>
      <c r="N29" s="105">
        <f t="shared" si="1"/>
        <v>0</v>
      </c>
      <c r="O29" s="105">
        <f t="shared" si="2"/>
        <v>0</v>
      </c>
      <c r="P29" s="245">
        <f>'Rider Rates'!$D$7</f>
        <v>44531</v>
      </c>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114</v>
      </c>
      <c r="B30" s="78"/>
      <c r="C30" s="78"/>
      <c r="D30" s="195">
        <f>$N$21</f>
        <v>10</v>
      </c>
      <c r="E30" s="101" t="s">
        <v>122</v>
      </c>
      <c r="F30" s="102" t="s">
        <v>8</v>
      </c>
      <c r="G30" s="103"/>
      <c r="H30" s="103"/>
      <c r="I30" s="178">
        <f>'Rider Rates'!$B$12</f>
        <v>0</v>
      </c>
      <c r="J30" s="178">
        <f t="shared" si="0"/>
        <v>0</v>
      </c>
      <c r="K30" s="104"/>
      <c r="L30" s="105"/>
      <c r="M30" s="105"/>
      <c r="N30" s="105">
        <f t="shared" si="1"/>
        <v>0</v>
      </c>
      <c r="O30" s="105">
        <f t="shared" si="2"/>
        <v>0</v>
      </c>
      <c r="P30" s="245">
        <f>'Rider Rates'!$D$12</f>
        <v>44531</v>
      </c>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210" t="s">
        <v>159</v>
      </c>
      <c r="B31" s="78"/>
      <c r="C31" s="78"/>
      <c r="D31" s="100">
        <f>IF($C$14&lt;0,0,$C$14)</f>
        <v>0</v>
      </c>
      <c r="E31" s="101" t="s">
        <v>41</v>
      </c>
      <c r="F31" s="102" t="s">
        <v>8</v>
      </c>
      <c r="G31" s="103"/>
      <c r="H31" s="103"/>
      <c r="I31" s="103">
        <f>'Rider Rates'!B15</f>
        <v>0</v>
      </c>
      <c r="J31" s="103">
        <f>SUM(G31:I31)</f>
        <v>0</v>
      </c>
      <c r="K31" s="104" t="s">
        <v>42</v>
      </c>
      <c r="L31" s="105"/>
      <c r="M31" s="105"/>
      <c r="N31" s="105">
        <f>ROUND(D31*I31,2)</f>
        <v>0</v>
      </c>
      <c r="O31" s="105">
        <f t="shared" si="2"/>
        <v>0</v>
      </c>
      <c r="P31" s="245">
        <f>'Rider Rates'!$D$15</f>
        <v>45505</v>
      </c>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41" t="s">
        <v>237</v>
      </c>
      <c r="B32" s="78"/>
      <c r="C32" s="78"/>
      <c r="D32" s="195">
        <f>$N$21</f>
        <v>10</v>
      </c>
      <c r="E32" s="101" t="s">
        <v>122</v>
      </c>
      <c r="F32" s="102" t="s">
        <v>8</v>
      </c>
      <c r="G32" s="103"/>
      <c r="H32" s="103"/>
      <c r="I32" s="178">
        <f>'Rider Rates'!$B$18</f>
        <v>0</v>
      </c>
      <c r="J32" s="178">
        <f>SUM(G32:I32)</f>
        <v>0</v>
      </c>
      <c r="K32" s="104"/>
      <c r="L32" s="105"/>
      <c r="M32" s="105"/>
      <c r="N32" s="105">
        <f>ROUND($D$32*'Rider Rates'!$B$18,2)+ROUND($D$32*'Rider Rates'!$E$18,2)</f>
        <v>0</v>
      </c>
      <c r="O32" s="105">
        <f t="shared" si="2"/>
        <v>0</v>
      </c>
      <c r="P32" s="245">
        <f>MAX('Rider Rates'!$D$18,'Rider Rates'!$F$18)</f>
        <v>44531</v>
      </c>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41" t="s">
        <v>210</v>
      </c>
      <c r="B33" s="78"/>
      <c r="C33" s="78"/>
      <c r="D33" s="100"/>
      <c r="E33" s="101" t="s">
        <v>115</v>
      </c>
      <c r="F33" s="102"/>
      <c r="G33" s="103"/>
      <c r="H33" s="103"/>
      <c r="I33" s="103">
        <f>'Rider Rates'!D48</f>
        <v>1.17</v>
      </c>
      <c r="J33" s="103">
        <f>SUM(G33:I33)</f>
        <v>1.17</v>
      </c>
      <c r="K33" s="104" t="s">
        <v>42</v>
      </c>
      <c r="L33" s="105"/>
      <c r="M33" s="105"/>
      <c r="N33" s="105">
        <f>J33</f>
        <v>1.17</v>
      </c>
      <c r="O33" s="105">
        <f>SUM(L33:N33)</f>
        <v>1.17</v>
      </c>
      <c r="P33" s="245">
        <f>'Rider Rates'!E48</f>
        <v>45658</v>
      </c>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189</v>
      </c>
      <c r="B34" s="78"/>
      <c r="C34" s="78"/>
      <c r="D34" s="100">
        <f>IF($C$14&lt;0,0,$C$14)</f>
        <v>0</v>
      </c>
      <c r="E34" s="113" t="s">
        <v>41</v>
      </c>
      <c r="F34" s="102" t="s">
        <v>8</v>
      </c>
      <c r="G34" s="103"/>
      <c r="H34" s="103">
        <f>'Rider Rates'!$B$55</f>
        <v>4.3837099999999997E-2</v>
      </c>
      <c r="I34" s="103"/>
      <c r="J34" s="103">
        <f>SUM(G34:I34)</f>
        <v>4.3837099999999997E-2</v>
      </c>
      <c r="K34" s="104" t="s">
        <v>42</v>
      </c>
      <c r="L34" s="105"/>
      <c r="M34" s="105">
        <f>ROUND(D34*H34,2)</f>
        <v>0</v>
      </c>
      <c r="N34" s="205"/>
      <c r="O34" s="105">
        <f t="shared" si="2"/>
        <v>0</v>
      </c>
      <c r="P34" s="245">
        <f>'Rider Rates'!$D$55</f>
        <v>45383</v>
      </c>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99" t="s">
        <v>339</v>
      </c>
      <c r="B35" s="78"/>
      <c r="C35" s="78"/>
      <c r="D35" s="100">
        <f>IF($C$14&lt;0,0,$C$14)</f>
        <v>0</v>
      </c>
      <c r="E35" s="101" t="s">
        <v>41</v>
      </c>
      <c r="F35" s="102" t="s">
        <v>8</v>
      </c>
      <c r="G35" s="103"/>
      <c r="H35" s="103"/>
      <c r="I35" s="103">
        <f>'Rider Rates'!$B$66</f>
        <v>8.6240000000000004E-4</v>
      </c>
      <c r="J35" s="103">
        <f t="shared" ref="J35" si="3">SUM(G35:I35)</f>
        <v>8.6240000000000004E-4</v>
      </c>
      <c r="K35" s="104" t="s">
        <v>42</v>
      </c>
      <c r="L35" s="105"/>
      <c r="M35" s="105"/>
      <c r="N35" s="105">
        <f>ROUND($D$35*'Rider Rates'!$B$66,2)</f>
        <v>0</v>
      </c>
      <c r="O35" s="105">
        <f>SUM(L35:N35)</f>
        <v>0</v>
      </c>
      <c r="P35" s="245">
        <f>'Rider Rates'!$D$66</f>
        <v>45532</v>
      </c>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99" t="s">
        <v>96</v>
      </c>
      <c r="B36" s="78"/>
      <c r="C36" s="78"/>
      <c r="D36" s="100">
        <f>IF('Customer Info'!C34=TRUE,0,IF($C$14&lt;0,0,$C$14))</f>
        <v>0</v>
      </c>
      <c r="E36" s="101" t="s">
        <v>41</v>
      </c>
      <c r="F36" s="102" t="s">
        <v>8</v>
      </c>
      <c r="G36" s="103"/>
      <c r="H36" s="103"/>
      <c r="I36" s="103">
        <f>'Rider Rates'!$B$69+'Rider Rates'!$C$69</f>
        <v>0</v>
      </c>
      <c r="J36" s="103">
        <f t="shared" si="0"/>
        <v>0</v>
      </c>
      <c r="K36" s="104" t="s">
        <v>42</v>
      </c>
      <c r="L36" s="105"/>
      <c r="M36" s="105"/>
      <c r="N36" s="105">
        <f>ROUND($D$36*'Rider Rates'!$B$69,2)+ROUND($D$36*'Rider Rates'!$C$69,2)</f>
        <v>0</v>
      </c>
      <c r="O36" s="105">
        <f>SUM(L36:N36)</f>
        <v>0</v>
      </c>
      <c r="P36" s="245">
        <f>'Rider Rates'!$D$69</f>
        <v>45444</v>
      </c>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81</v>
      </c>
      <c r="B37" s="78"/>
      <c r="C37" s="78"/>
      <c r="D37" s="195">
        <f>$N$21</f>
        <v>10</v>
      </c>
      <c r="E37" s="101" t="s">
        <v>122</v>
      </c>
      <c r="F37" s="102" t="s">
        <v>8</v>
      </c>
      <c r="G37" s="111"/>
      <c r="H37" s="112"/>
      <c r="I37" s="120">
        <f>'Rider Rates'!$B$85</f>
        <v>4.94232E-2</v>
      </c>
      <c r="J37" s="120">
        <f t="shared" si="0"/>
        <v>4.94232E-2</v>
      </c>
      <c r="K37" s="104"/>
      <c r="L37" s="105"/>
      <c r="M37" s="105"/>
      <c r="N37" s="105">
        <f>ROUND(D37*I37,2)</f>
        <v>0.49</v>
      </c>
      <c r="O37" s="105">
        <f>SUM(L37:N37)</f>
        <v>0.49</v>
      </c>
      <c r="P37" s="245">
        <f>'Rider Rates'!$D$85</f>
        <v>45562</v>
      </c>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82</v>
      </c>
      <c r="B38" s="78"/>
      <c r="C38" s="78"/>
      <c r="D38" s="195">
        <f>$N$21</f>
        <v>10</v>
      </c>
      <c r="E38" s="101" t="s">
        <v>122</v>
      </c>
      <c r="F38" s="102" t="s">
        <v>8</v>
      </c>
      <c r="G38" s="114"/>
      <c r="H38" s="115"/>
      <c r="I38" s="120">
        <f>'Rider Rates'!$B$87</f>
        <v>6.6985699999999995E-2</v>
      </c>
      <c r="J38" s="120">
        <f t="shared" si="0"/>
        <v>6.6985699999999995E-2</v>
      </c>
      <c r="K38" s="104"/>
      <c r="L38" s="105"/>
      <c r="M38" s="105"/>
      <c r="N38" s="105">
        <f>ROUND(D38*I38,2)</f>
        <v>0.67</v>
      </c>
      <c r="O38" s="105">
        <f>SUM(L38:N38)</f>
        <v>0.67</v>
      </c>
      <c r="P38" s="245">
        <f>'Rider Rates'!$D$87</f>
        <v>45167</v>
      </c>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206</v>
      </c>
      <c r="B39" s="78"/>
      <c r="C39" s="78"/>
      <c r="D39" s="195"/>
      <c r="E39" s="113" t="s">
        <v>115</v>
      </c>
      <c r="F39" s="106"/>
      <c r="G39" s="114"/>
      <c r="H39" s="115"/>
      <c r="I39" s="196">
        <f>'Rider Rates'!$B$90</f>
        <v>2.08</v>
      </c>
      <c r="J39" s="196">
        <f t="shared" si="0"/>
        <v>2.08</v>
      </c>
      <c r="K39" s="104"/>
      <c r="L39" s="105"/>
      <c r="M39" s="105"/>
      <c r="N39" s="105">
        <f>I39</f>
        <v>2.08</v>
      </c>
      <c r="O39" s="105">
        <f>SUM(L39:N39)</f>
        <v>2.08</v>
      </c>
      <c r="P39" s="245">
        <f>'Rider Rates'!$D$90</f>
        <v>45657</v>
      </c>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156</v>
      </c>
      <c r="B40" s="78"/>
      <c r="C40" s="78"/>
      <c r="D40" s="195">
        <f>$N$21</f>
        <v>10</v>
      </c>
      <c r="E40" s="101" t="s">
        <v>122</v>
      </c>
      <c r="F40" s="102" t="s">
        <v>8</v>
      </c>
      <c r="G40" s="114"/>
      <c r="H40" s="115"/>
      <c r="I40" s="120">
        <f>'Rider Rates'!$B$105</f>
        <v>0.2363101</v>
      </c>
      <c r="J40" s="120">
        <f t="shared" si="0"/>
        <v>0.2363101</v>
      </c>
      <c r="K40" s="104"/>
      <c r="L40" s="105"/>
      <c r="M40" s="105"/>
      <c r="N40" s="105">
        <f>ROUND(D40*I40,2)</f>
        <v>2.36</v>
      </c>
      <c r="O40" s="105">
        <f t="shared" ref="O40:O44" si="4">SUM(L40:N40)</f>
        <v>2.36</v>
      </c>
      <c r="P40" s="245">
        <f>'Rider Rates'!$D$105</f>
        <v>45622</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209</v>
      </c>
      <c r="B41" s="78"/>
      <c r="C41" s="78"/>
      <c r="D41" s="195"/>
      <c r="E41" s="113" t="s">
        <v>115</v>
      </c>
      <c r="F41" s="106"/>
      <c r="G41" s="114"/>
      <c r="H41" s="115"/>
      <c r="I41" s="196">
        <f>'Rider Rates'!$B$108</f>
        <v>0</v>
      </c>
      <c r="J41" s="196">
        <f t="shared" si="0"/>
        <v>0</v>
      </c>
      <c r="K41" s="104"/>
      <c r="L41" s="105"/>
      <c r="M41" s="105"/>
      <c r="N41" s="105">
        <f>I41</f>
        <v>0</v>
      </c>
      <c r="O41" s="105">
        <f t="shared" si="4"/>
        <v>0</v>
      </c>
      <c r="P41" s="245">
        <f>'Rider Rates'!$D$108</f>
        <v>44894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210" t="s">
        <v>217</v>
      </c>
      <c r="B42" s="78"/>
      <c r="C42" s="78"/>
      <c r="D42" s="195"/>
      <c r="E42" s="113" t="s">
        <v>115</v>
      </c>
      <c r="F42" s="106"/>
      <c r="G42" s="114"/>
      <c r="H42" s="115"/>
      <c r="I42" s="258">
        <f>'Rider Rates'!B121</f>
        <v>0.97</v>
      </c>
      <c r="J42" s="196">
        <f t="shared" si="0"/>
        <v>0.97</v>
      </c>
      <c r="K42" s="104"/>
      <c r="L42" s="105"/>
      <c r="M42" s="105"/>
      <c r="N42" s="260">
        <f>I42</f>
        <v>0.97</v>
      </c>
      <c r="O42" s="105">
        <f t="shared" si="4"/>
        <v>0.97</v>
      </c>
      <c r="P42" s="245">
        <f>'Rider Rates'!D121</f>
        <v>45593</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208</v>
      </c>
      <c r="B43" s="78"/>
      <c r="C43" s="78"/>
      <c r="D43" s="100">
        <f>IF($C$14&lt;1,0,$C$14)</f>
        <v>0</v>
      </c>
      <c r="E43" s="101" t="s">
        <v>41</v>
      </c>
      <c r="F43" s="249" t="s">
        <v>8</v>
      </c>
      <c r="G43" s="103"/>
      <c r="H43" s="103"/>
      <c r="I43" s="237">
        <f>'Rider Rates'!$B$117</f>
        <v>0</v>
      </c>
      <c r="J43" s="237">
        <f>SUM(G43:I43)</f>
        <v>0</v>
      </c>
      <c r="K43" s="104" t="s">
        <v>42</v>
      </c>
      <c r="L43" s="105"/>
      <c r="M43" s="105"/>
      <c r="N43" s="105">
        <f>D43*J43</f>
        <v>0</v>
      </c>
      <c r="O43" s="105">
        <f t="shared" si="4"/>
        <v>0</v>
      </c>
      <c r="P43" s="245">
        <f>'Rider Rates'!D117</f>
        <v>45657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41" t="s">
        <v>230</v>
      </c>
      <c r="B44" s="78"/>
      <c r="C44" s="78"/>
      <c r="D44" s="100"/>
      <c r="E44" s="101" t="s">
        <v>115</v>
      </c>
      <c r="F44" s="102" t="s">
        <v>8</v>
      </c>
      <c r="G44" s="263"/>
      <c r="H44" s="263"/>
      <c r="I44" s="263">
        <f>'Rider Rates'!$B$125</f>
        <v>0.1</v>
      </c>
      <c r="J44" s="263">
        <f>SUM(G44:I44)</f>
        <v>0.1</v>
      </c>
      <c r="K44" s="104"/>
      <c r="L44" s="209"/>
      <c r="M44" s="209"/>
      <c r="N44" s="209">
        <f>J44</f>
        <v>0.1</v>
      </c>
      <c r="O44" s="209">
        <f t="shared" si="4"/>
        <v>0.1</v>
      </c>
      <c r="P44" s="264">
        <f>'Rider Rates'!$E$125</f>
        <v>45658</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41" t="s">
        <v>242</v>
      </c>
      <c r="B45" s="78"/>
      <c r="C45" s="78"/>
      <c r="D45" s="100">
        <f>C14</f>
        <v>0</v>
      </c>
      <c r="E45" s="101" t="s">
        <v>41</v>
      </c>
      <c r="F45" s="249" t="s">
        <v>8</v>
      </c>
      <c r="G45" s="103"/>
      <c r="H45" s="103"/>
      <c r="I45" s="103">
        <f>'Rider Rates'!$B$130</f>
        <v>0</v>
      </c>
      <c r="J45" s="237">
        <f>SUM(G45:I45)</f>
        <v>0</v>
      </c>
      <c r="K45" s="104" t="s">
        <v>42</v>
      </c>
      <c r="L45" s="105"/>
      <c r="M45" s="105"/>
      <c r="N45" s="105">
        <f>D45*J45</f>
        <v>0</v>
      </c>
      <c r="O45" s="105">
        <f>SUM(L45:N45)</f>
        <v>0</v>
      </c>
      <c r="P45" s="245">
        <f>'Rider Rates'!D130</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241" t="s">
        <v>241</v>
      </c>
      <c r="B46" s="78"/>
      <c r="C46" s="78"/>
      <c r="D46" s="100"/>
      <c r="E46" s="101" t="s">
        <v>115</v>
      </c>
      <c r="F46" s="102" t="s">
        <v>8</v>
      </c>
      <c r="G46" s="263"/>
      <c r="H46" s="263"/>
      <c r="I46" s="263">
        <f>'Rider Rates'!$B$137</f>
        <v>0</v>
      </c>
      <c r="J46" s="263">
        <f>SUM(G46:I46)</f>
        <v>0</v>
      </c>
      <c r="K46" s="104"/>
      <c r="L46" s="209"/>
      <c r="M46" s="209"/>
      <c r="N46" s="209">
        <f>J46</f>
        <v>0</v>
      </c>
      <c r="O46" s="209">
        <f>SUM(L46:N46)</f>
        <v>0</v>
      </c>
      <c r="P46" s="264">
        <f>'Rider Rates'!$D$133</f>
        <v>44531</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41" t="s">
        <v>243</v>
      </c>
      <c r="B47" s="78"/>
      <c r="C47" s="78"/>
      <c r="D47" s="100"/>
      <c r="E47" s="101"/>
      <c r="F47" s="102"/>
      <c r="G47" s="263"/>
      <c r="H47" s="263"/>
      <c r="I47" s="263"/>
      <c r="J47" s="263"/>
      <c r="K47" s="104"/>
      <c r="L47" s="209"/>
      <c r="M47" s="209"/>
      <c r="N47" s="209"/>
      <c r="O47" s="209"/>
      <c r="P47" s="264"/>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179" t="s">
        <v>71</v>
      </c>
      <c r="B48" s="148"/>
      <c r="C48" s="148"/>
      <c r="D48" s="180"/>
      <c r="E48" s="181"/>
      <c r="F48" s="182"/>
      <c r="G48" s="182"/>
      <c r="H48" s="182"/>
      <c r="I48" s="182"/>
      <c r="J48" s="182"/>
      <c r="K48" s="183"/>
      <c r="L48" s="169">
        <f>SUM(L25:L47)</f>
        <v>0</v>
      </c>
      <c r="M48" s="169">
        <f t="shared" ref="M48:O48" si="5">SUM(M25:M47)</f>
        <v>0</v>
      </c>
      <c r="N48" s="169">
        <f t="shared" si="5"/>
        <v>7.839999999999999</v>
      </c>
      <c r="O48" s="169">
        <f t="shared" si="5"/>
        <v>7.839999999999999</v>
      </c>
      <c r="P48" s="184"/>
      <c r="Q48" s="106"/>
      <c r="R48" s="166"/>
      <c r="S48" s="166"/>
      <c r="T48" s="189"/>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78"/>
      <c r="B49" s="78"/>
      <c r="C49" s="78"/>
      <c r="D49" s="100"/>
      <c r="E49" s="113"/>
      <c r="F49" s="106"/>
      <c r="G49" s="106"/>
      <c r="H49" s="106"/>
      <c r="I49" s="106"/>
      <c r="J49" s="107"/>
      <c r="K49" s="104"/>
      <c r="L49" s="106"/>
      <c r="M49" s="106"/>
      <c r="N49" s="106"/>
      <c r="O49" s="106"/>
      <c r="P49" s="164"/>
      <c r="Q49" s="106"/>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170"/>
      <c r="B50" s="170"/>
      <c r="C50" s="170"/>
      <c r="D50" s="170"/>
      <c r="E50" s="170"/>
      <c r="F50" s="170"/>
      <c r="G50" s="170"/>
      <c r="H50" s="170"/>
      <c r="I50" s="170"/>
      <c r="J50" s="170"/>
      <c r="K50" s="170"/>
      <c r="L50" s="186">
        <f>L21+L48</f>
        <v>0</v>
      </c>
      <c r="M50" s="186">
        <f>M21+M48</f>
        <v>0</v>
      </c>
      <c r="N50" s="186">
        <f>N21+N48</f>
        <v>17.84</v>
      </c>
      <c r="O50" s="187">
        <f>O21+O48</f>
        <v>17.84</v>
      </c>
      <c r="P50" s="187"/>
      <c r="Q50" s="106"/>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c r="B51" s="78"/>
      <c r="C51" s="78"/>
      <c r="D51" s="78"/>
      <c r="E51" s="78"/>
      <c r="F51" s="78"/>
      <c r="G51" s="78"/>
      <c r="H51" s="78"/>
      <c r="I51" s="78"/>
      <c r="J51" s="78"/>
      <c r="K51" s="78"/>
      <c r="L51" s="78"/>
      <c r="M51" s="78"/>
      <c r="N51" s="151"/>
      <c r="O51" s="151"/>
      <c r="P51" s="151"/>
      <c r="Q51" s="166"/>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166" t="s">
        <v>93</v>
      </c>
      <c r="B52" s="78"/>
      <c r="C52" s="78"/>
      <c r="D52" s="78"/>
      <c r="E52" s="78"/>
      <c r="F52" s="78"/>
      <c r="G52" s="78"/>
      <c r="H52" s="78"/>
      <c r="I52" s="78"/>
      <c r="J52" s="78"/>
      <c r="K52" s="78"/>
      <c r="L52" s="78"/>
      <c r="M52" s="78"/>
      <c r="N52" s="78"/>
      <c r="O52" s="109">
        <f>IF($C$14&lt;=0,MIN(O19,O50), O19)</f>
        <v>10</v>
      </c>
      <c r="P52" s="151"/>
      <c r="Q52" s="166"/>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78"/>
      <c r="B53" s="166"/>
      <c r="C53" s="166"/>
      <c r="D53" s="166"/>
      <c r="E53" s="166"/>
      <c r="F53" s="166"/>
      <c r="G53" s="166"/>
      <c r="H53" s="166"/>
      <c r="I53" s="78"/>
      <c r="J53" s="78"/>
      <c r="K53" s="78"/>
      <c r="L53" s="78"/>
      <c r="M53" s="78"/>
      <c r="N53" s="151"/>
      <c r="O53" s="151"/>
      <c r="P53" s="151"/>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148" t="s">
        <v>117</v>
      </c>
      <c r="B54" s="151"/>
      <c r="C54" s="151"/>
      <c r="D54" s="151"/>
      <c r="E54" s="151"/>
      <c r="F54" s="151"/>
      <c r="G54" s="151"/>
      <c r="H54" s="151"/>
      <c r="I54" s="151"/>
      <c r="J54" s="151"/>
      <c r="K54" s="151"/>
      <c r="L54" s="151"/>
      <c r="M54" s="151"/>
      <c r="N54" s="151"/>
      <c r="O54" s="190">
        <f>IF($C$14&lt;0,O50,IF(O50&gt;O52,O50,I49))</f>
        <v>17.84</v>
      </c>
      <c r="P54" s="160"/>
      <c r="Q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151"/>
      <c r="C55" s="151"/>
      <c r="D55" s="151"/>
      <c r="E55" s="151"/>
      <c r="F55" s="151"/>
      <c r="G55" s="151"/>
      <c r="H55" s="151"/>
      <c r="I55" s="151"/>
      <c r="J55" s="151"/>
      <c r="K55" s="151"/>
      <c r="L55" s="151"/>
      <c r="M55" s="151"/>
      <c r="N55" s="151"/>
      <c r="O55" s="138"/>
      <c r="P55" s="160"/>
      <c r="Q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78"/>
      <c r="B56" s="166"/>
      <c r="C56" s="166"/>
      <c r="D56" s="166"/>
      <c r="E56" s="166"/>
      <c r="F56" s="166"/>
      <c r="G56" s="166"/>
      <c r="H56" s="166"/>
      <c r="I56" s="166" t="s">
        <v>121</v>
      </c>
      <c r="J56" s="166"/>
      <c r="K56" s="166"/>
      <c r="L56" s="191"/>
      <c r="M56" s="191"/>
      <c r="N56" s="191"/>
      <c r="O56" s="191">
        <f>ROUND(IF($C$14&lt;1,0,O50/($C$14*100)*10000),2)</f>
        <v>0</v>
      </c>
      <c r="P56" s="37" t="s">
        <v>87</v>
      </c>
      <c r="Q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row>
    <row r="57" spans="1:236" x14ac:dyDescent="0.25">
      <c r="A57" s="78"/>
      <c r="B57" s="78"/>
      <c r="C57" s="78"/>
      <c r="D57" s="78"/>
      <c r="E57" s="78"/>
      <c r="F57" s="78"/>
      <c r="G57" s="78"/>
      <c r="H57" s="192"/>
      <c r="I57" s="242" t="s">
        <v>190</v>
      </c>
      <c r="J57" s="78"/>
      <c r="K57" s="78"/>
      <c r="L57" s="78"/>
      <c r="M57" s="78"/>
      <c r="N57" s="78"/>
      <c r="O57" s="243">
        <f>ROUND(IF($C$14&lt;1,0,(L50)/($C$14*100)*10000),2)</f>
        <v>0</v>
      </c>
      <c r="P57" s="25" t="s">
        <v>87</v>
      </c>
      <c r="Q57" s="78"/>
      <c r="AE57" s="78"/>
      <c r="AF57" s="78"/>
      <c r="AG57" s="78"/>
      <c r="AH57" s="78"/>
      <c r="AI57" s="78"/>
      <c r="AJ57" s="78"/>
      <c r="AK57" s="78"/>
      <c r="AL57" s="78"/>
      <c r="AM57" s="78"/>
      <c r="AN57" s="78"/>
      <c r="AO57" s="78"/>
      <c r="AP57" s="78"/>
      <c r="AQ57" s="78"/>
      <c r="AR57" s="78"/>
      <c r="AS57" s="78"/>
      <c r="AT57" s="78"/>
      <c r="HE57" s="78"/>
      <c r="HF57" s="78"/>
      <c r="HG57" s="78"/>
      <c r="HH57" s="78"/>
      <c r="HI57" s="78"/>
      <c r="HJ57" s="78"/>
      <c r="HK57" s="78"/>
      <c r="HL57" s="78"/>
      <c r="HM57" s="78"/>
      <c r="HN57" s="78"/>
    </row>
    <row r="58" spans="1:236" x14ac:dyDescent="0.25">
      <c r="A58" s="78"/>
    </row>
    <row r="59" spans="1:236" x14ac:dyDescent="0.25">
      <c r="A59" s="78"/>
    </row>
    <row r="60" spans="1:236" x14ac:dyDescent="0.25">
      <c r="A60" s="78"/>
    </row>
    <row r="61" spans="1:236" x14ac:dyDescent="0.25">
      <c r="A61" s="78"/>
    </row>
    <row r="62" spans="1:236" x14ac:dyDescent="0.25">
      <c r="A62" s="78"/>
    </row>
    <row r="63" spans="1:236" x14ac:dyDescent="0.25">
      <c r="A63" s="78"/>
    </row>
  </sheetData>
  <sheetProtection algorithmName="SHA-512" hashValue="yiOxRzx2vbbh0OPxrLaGJbsIeNoWDecgX7lXM6cIsMJC3MjTNsNwBHXe+1fu1z3RzGRpT5uw1/zTTHZ1ojxHiA==" saltValue="ZqUYi1bFkeQWRVCndMgwuQ=="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Button 1">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9874" r:id="rId5" name="Button 2">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79875"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8E28-C784-44C0-A25E-AB1959A88CF1}">
  <dimension ref="A1:HM73"/>
  <sheetViews>
    <sheetView topLeftCell="A19" zoomScale="80" zoomScaleNormal="80" workbookViewId="0">
      <selection activeCell="I39" sqref="I39"/>
    </sheetView>
  </sheetViews>
  <sheetFormatPr defaultColWidth="8.5546875" defaultRowHeight="13.2" x14ac:dyDescent="0.25"/>
  <cols>
    <col min="1" max="1" width="37.5546875" style="332" customWidth="1"/>
    <col min="2" max="2" width="2.109375" style="332" customWidth="1"/>
    <col min="3" max="3" width="14.5546875" style="332" customWidth="1"/>
    <col min="4" max="4" width="15.44140625" style="332" customWidth="1"/>
    <col min="5" max="5" width="9.88671875" style="332" customWidth="1"/>
    <col min="6" max="6" width="5.5546875" style="332" customWidth="1"/>
    <col min="7" max="8" width="13.44140625" style="332" customWidth="1"/>
    <col min="9" max="9" width="14.5546875" style="332" customWidth="1"/>
    <col min="10" max="10" width="14.88671875" style="332" bestFit="1" customWidth="1"/>
    <col min="11" max="11" width="7" style="332" customWidth="1"/>
    <col min="12" max="12" width="15.109375" style="332" customWidth="1"/>
    <col min="13" max="13" width="17.44140625" style="332" bestFit="1" customWidth="1"/>
    <col min="14" max="14" width="16.5546875" style="332" customWidth="1"/>
    <col min="15" max="15" width="17.44140625" style="332" bestFit="1" customWidth="1"/>
    <col min="16" max="16" width="12.88671875" style="332" bestFit="1" customWidth="1"/>
    <col min="17" max="17" width="8.5546875" style="332"/>
    <col min="18" max="18" width="13.886718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318</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c r="L5" s="333"/>
      <c r="M5" s="333"/>
      <c r="N5" s="333"/>
      <c r="O5" s="333"/>
      <c r="P5" s="333"/>
    </row>
    <row r="6" spans="1:30" x14ac:dyDescent="0.25">
      <c r="A6" s="334">
        <f ca="1">TODAY()</f>
        <v>45657</v>
      </c>
      <c r="B6" s="335" t="s">
        <v>319</v>
      </c>
      <c r="C6" s="335"/>
      <c r="D6" s="335"/>
      <c r="E6" s="335"/>
      <c r="F6" s="335"/>
      <c r="G6" s="335"/>
      <c r="H6" s="335"/>
      <c r="I6" s="335"/>
      <c r="J6" s="335"/>
      <c r="K6" s="335"/>
      <c r="L6" s="335"/>
      <c r="M6" s="335"/>
      <c r="N6" s="335"/>
      <c r="O6" s="335"/>
    </row>
    <row r="7" spans="1:30" x14ac:dyDescent="0.25">
      <c r="A7" s="503" t="s">
        <v>15</v>
      </c>
      <c r="B7" s="503"/>
      <c r="C7" s="503"/>
      <c r="D7" s="503"/>
      <c r="E7" s="503"/>
      <c r="F7" s="503"/>
      <c r="G7" s="503"/>
      <c r="H7" s="503"/>
      <c r="I7" s="503"/>
      <c r="J7" s="503"/>
      <c r="K7" s="503"/>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45"/>
      <c r="K12" s="345"/>
      <c r="L12" s="345"/>
      <c r="M12" s="345"/>
      <c r="N12" s="345"/>
      <c r="O12" s="345"/>
      <c r="P12" s="345"/>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47" t="s">
        <v>27</v>
      </c>
      <c r="B13" s="336"/>
      <c r="C13" s="336"/>
      <c r="D13" s="336"/>
      <c r="E13" s="336"/>
      <c r="F13" s="336"/>
      <c r="G13" s="336"/>
      <c r="H13" s="336"/>
      <c r="I13" s="336"/>
      <c r="R13" s="336" t="s">
        <v>168</v>
      </c>
      <c r="S13" s="348">
        <v>1.8274700000000001E-2</v>
      </c>
      <c r="T13" s="348">
        <v>1.8274700000000001E-2</v>
      </c>
      <c r="U13" s="348">
        <v>1.8274700000000001E-2</v>
      </c>
      <c r="V13" s="348">
        <v>1.8274700000000001E-2</v>
      </c>
      <c r="W13" s="348">
        <v>1.8274700000000001E-2</v>
      </c>
      <c r="X13" s="348">
        <v>1.8274700000000001E-2</v>
      </c>
      <c r="Y13" s="348">
        <v>1.8274700000000001E-2</v>
      </c>
      <c r="Z13" s="348">
        <v>1.8274700000000001E-2</v>
      </c>
      <c r="AA13" s="348">
        <v>1.8274700000000001E-2</v>
      </c>
      <c r="AB13" s="348">
        <v>1.8274700000000001E-2</v>
      </c>
      <c r="AC13" s="348">
        <v>1.8274700000000001E-2</v>
      </c>
      <c r="AD13" s="348">
        <v>1.8274700000000001E-2</v>
      </c>
    </row>
    <row r="14" spans="1:30" x14ac:dyDescent="0.25">
      <c r="A14" s="336"/>
      <c r="B14" s="336"/>
      <c r="C14" s="336"/>
      <c r="D14" s="336"/>
      <c r="E14" s="336"/>
      <c r="F14" s="336"/>
      <c r="G14" s="336"/>
      <c r="H14" s="336"/>
      <c r="I14" s="336"/>
      <c r="R14" s="336" t="s">
        <v>169</v>
      </c>
      <c r="S14" s="348">
        <v>1.8274700000000001E-2</v>
      </c>
      <c r="T14" s="348">
        <v>1.8274700000000001E-2</v>
      </c>
      <c r="U14" s="348">
        <v>1.8274700000000001E-2</v>
      </c>
      <c r="V14" s="348">
        <v>1.8274700000000001E-2</v>
      </c>
      <c r="W14" s="348">
        <v>1.8274700000000001E-2</v>
      </c>
      <c r="X14" s="348">
        <v>1.8274700000000001E-2</v>
      </c>
      <c r="Y14" s="348">
        <v>1.8274700000000001E-2</v>
      </c>
      <c r="Z14" s="348">
        <v>1.8274700000000001E-2</v>
      </c>
      <c r="AA14" s="348">
        <v>1.8274700000000001E-2</v>
      </c>
      <c r="AB14" s="348">
        <v>1.8274700000000001E-2</v>
      </c>
      <c r="AC14" s="348">
        <v>1.8274700000000001E-2</v>
      </c>
      <c r="AD14" s="348">
        <v>1.8274700000000001E-2</v>
      </c>
    </row>
    <row r="15" spans="1:30" x14ac:dyDescent="0.25">
      <c r="A15" s="349" t="s">
        <v>333</v>
      </c>
      <c r="B15" s="336"/>
      <c r="C15" s="339">
        <f>IF('Customer Info'!B21&lt;0,0,'Customer Info'!B21)</f>
        <v>0</v>
      </c>
      <c r="D15" s="336"/>
      <c r="E15" s="336"/>
      <c r="F15" s="336"/>
      <c r="G15" s="336"/>
      <c r="H15" s="336"/>
      <c r="I15" s="336"/>
      <c r="R15" s="336"/>
      <c r="S15" s="348"/>
      <c r="T15" s="348"/>
      <c r="U15" s="348"/>
      <c r="V15" s="348"/>
      <c r="W15" s="348"/>
      <c r="X15" s="348"/>
      <c r="Y15" s="348"/>
      <c r="Z15" s="348"/>
      <c r="AA15" s="348"/>
      <c r="AB15" s="348"/>
      <c r="AC15" s="348"/>
      <c r="AD15" s="348"/>
    </row>
    <row r="16" spans="1:30" x14ac:dyDescent="0.25">
      <c r="A16" s="349" t="s">
        <v>334</v>
      </c>
      <c r="B16" s="336"/>
      <c r="C16" s="339">
        <f>IF('Customer Info'!B22&lt;0,0,'Customer Info'!B22)</f>
        <v>0</v>
      </c>
      <c r="D16" s="336"/>
      <c r="E16" s="336"/>
      <c r="F16" s="336"/>
      <c r="G16" s="336"/>
      <c r="H16" s="336"/>
      <c r="I16" s="336"/>
      <c r="R16" s="336"/>
      <c r="S16" s="348"/>
      <c r="T16" s="348"/>
      <c r="U16" s="348"/>
      <c r="V16" s="348"/>
      <c r="W16" s="348"/>
      <c r="X16" s="348"/>
      <c r="Y16" s="348"/>
      <c r="Z16" s="348"/>
      <c r="AA16" s="348"/>
      <c r="AB16" s="348"/>
      <c r="AC16" s="348"/>
      <c r="AD16" s="348"/>
    </row>
    <row r="17" spans="1:221" x14ac:dyDescent="0.25">
      <c r="A17" s="349" t="s">
        <v>335</v>
      </c>
      <c r="B17" s="350"/>
      <c r="C17" s="336">
        <f>C15+C16</f>
        <v>0</v>
      </c>
      <c r="D17" s="350" t="s">
        <v>41</v>
      </c>
      <c r="E17" s="350"/>
      <c r="F17" s="351"/>
      <c r="G17" s="350"/>
      <c r="H17" s="350"/>
      <c r="I17" s="350"/>
      <c r="R17" s="352" t="s">
        <v>187</v>
      </c>
      <c r="S17" s="332">
        <f>'Rider Rates'!$C$21</f>
        <v>7.0209999999999995E-2</v>
      </c>
      <c r="T17" s="332">
        <f>'Rider Rates'!$C$21</f>
        <v>7.0209999999999995E-2</v>
      </c>
      <c r="U17" s="332">
        <f>'Rider Rates'!$C$21</f>
        <v>7.0209999999999995E-2</v>
      </c>
      <c r="V17" s="332">
        <f>'Rider Rates'!$C$21</f>
        <v>7.0209999999999995E-2</v>
      </c>
      <c r="W17" s="332">
        <f>'Rider Rates'!$C$21</f>
        <v>7.0209999999999995E-2</v>
      </c>
      <c r="X17" s="332">
        <f>'Rider Rates'!$B$21</f>
        <v>7.0209999999999995E-2</v>
      </c>
      <c r="Y17" s="332">
        <f>'Rider Rates'!$B$21</f>
        <v>7.0209999999999995E-2</v>
      </c>
      <c r="Z17" s="332">
        <f>'Rider Rates'!$B$21</f>
        <v>7.0209999999999995E-2</v>
      </c>
      <c r="AA17" s="332">
        <f>'Rider Rates'!$B$21</f>
        <v>7.0209999999999995E-2</v>
      </c>
      <c r="AB17" s="332">
        <f>'Rider Rates'!$C$21</f>
        <v>7.0209999999999995E-2</v>
      </c>
      <c r="AC17" s="332">
        <f>'Rider Rates'!$C$21</f>
        <v>7.0209999999999995E-2</v>
      </c>
      <c r="AD17" s="332">
        <f>'Rider Rates'!$C$21</f>
        <v>7.0209999999999995E-2</v>
      </c>
    </row>
    <row r="18" spans="1:221" x14ac:dyDescent="0.25">
      <c r="A18" s="350"/>
      <c r="B18" s="350"/>
      <c r="C18" s="351"/>
      <c r="D18" s="351"/>
      <c r="E18" s="351"/>
      <c r="F18" s="351"/>
      <c r="G18" s="337"/>
      <c r="H18" s="350"/>
      <c r="I18" s="350"/>
    </row>
    <row r="19" spans="1:221" x14ac:dyDescent="0.25">
      <c r="A19" s="353" t="s">
        <v>124</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446" t="s">
        <v>65</v>
      </c>
      <c r="M20" s="446" t="s">
        <v>66</v>
      </c>
      <c r="N20" s="446" t="s">
        <v>67</v>
      </c>
      <c r="O20" s="446" t="s">
        <v>34</v>
      </c>
      <c r="P20" s="358" t="s">
        <v>57</v>
      </c>
    </row>
    <row r="21" spans="1:221" x14ac:dyDescent="0.25">
      <c r="A21" s="359" t="s">
        <v>32</v>
      </c>
      <c r="G21" s="360"/>
      <c r="H21" s="360"/>
      <c r="I21" s="250">
        <f>'Rider Rates'!B142</f>
        <v>10</v>
      </c>
      <c r="J21" s="250">
        <f>SUM(G21:I21)</f>
        <v>10</v>
      </c>
      <c r="L21" s="250"/>
      <c r="M21" s="250"/>
      <c r="N21" s="250">
        <f>I21</f>
        <v>10</v>
      </c>
      <c r="O21" s="250">
        <f>+SUM(L21:N21)</f>
        <v>10</v>
      </c>
      <c r="P21" s="361">
        <v>44531</v>
      </c>
    </row>
    <row r="22" spans="1:221" x14ac:dyDescent="0.25">
      <c r="A22" s="362" t="s">
        <v>331</v>
      </c>
      <c r="D22" s="363">
        <f>C15</f>
        <v>0</v>
      </c>
      <c r="E22" s="364" t="s">
        <v>41</v>
      </c>
      <c r="F22" s="365" t="s">
        <v>8</v>
      </c>
      <c r="G22" s="366"/>
      <c r="H22" s="366"/>
      <c r="I22" s="366">
        <f>'Rider Rates'!C142</f>
        <v>3.7427700000000001E-2</v>
      </c>
      <c r="J22" s="366">
        <f>SUM(G22:I22)</f>
        <v>3.7427700000000001E-2</v>
      </c>
      <c r="K22" s="367" t="s">
        <v>42</v>
      </c>
      <c r="L22" s="368"/>
      <c r="M22" s="368"/>
      <c r="N22" s="368">
        <f>ROUND($D22*I22,2)</f>
        <v>0</v>
      </c>
      <c r="O22" s="250">
        <f>+SUM(L22:N22)</f>
        <v>0</v>
      </c>
      <c r="P22" s="361">
        <f>'Rider Rates'!H142</f>
        <v>45444</v>
      </c>
    </row>
    <row r="23" spans="1:221" x14ac:dyDescent="0.25">
      <c r="A23" s="362" t="s">
        <v>332</v>
      </c>
      <c r="D23" s="363">
        <f>C16</f>
        <v>0</v>
      </c>
      <c r="E23" s="367" t="s">
        <v>92</v>
      </c>
      <c r="F23" s="365"/>
      <c r="G23" s="366"/>
      <c r="H23" s="366"/>
      <c r="I23" s="366">
        <f>'Rider Rates'!D142</f>
        <v>1.5787499999999999E-2</v>
      </c>
      <c r="J23" s="366">
        <f>SUM(G23:I23)</f>
        <v>1.5787499999999999E-2</v>
      </c>
      <c r="K23" s="367" t="s">
        <v>42</v>
      </c>
      <c r="L23" s="368"/>
      <c r="M23" s="368"/>
      <c r="N23" s="368">
        <f>ROUND($D23*I23,2)</f>
        <v>0</v>
      </c>
      <c r="O23" s="250">
        <f>+SUM(L23:N23)</f>
        <v>0</v>
      </c>
      <c r="P23" s="361">
        <f>'Rider Rates'!H142</f>
        <v>45444</v>
      </c>
    </row>
    <row r="24" spans="1:221" x14ac:dyDescent="0.25">
      <c r="A24" s="369" t="s">
        <v>75</v>
      </c>
      <c r="B24" s="370"/>
      <c r="C24" s="370"/>
      <c r="D24" s="371"/>
      <c r="E24" s="371"/>
      <c r="F24" s="370"/>
      <c r="G24" s="370"/>
      <c r="I24" s="372"/>
      <c r="K24" s="373"/>
      <c r="L24" s="374"/>
      <c r="M24" s="375"/>
      <c r="N24" s="374">
        <f>SUM(N19:N23)</f>
        <v>10</v>
      </c>
      <c r="O24" s="374">
        <f>SUM(O21:O23)</f>
        <v>10</v>
      </c>
      <c r="R24" s="376"/>
      <c r="S24" s="377"/>
      <c r="T24" s="378"/>
      <c r="U24" s="336"/>
      <c r="V24" s="379"/>
      <c r="W24" s="336"/>
      <c r="X24" s="336"/>
      <c r="Y24" s="336"/>
      <c r="Z24" s="336"/>
      <c r="AA24" s="336"/>
      <c r="AB24" s="336"/>
      <c r="AC24" s="336"/>
      <c r="AD24" s="336"/>
    </row>
    <row r="25" spans="1:221" x14ac:dyDescent="0.25">
      <c r="A25" s="380"/>
      <c r="B25" s="380"/>
      <c r="C25" s="380"/>
      <c r="D25" s="381"/>
      <c r="E25" s="381"/>
      <c r="F25" s="380"/>
      <c r="G25" s="381"/>
      <c r="H25" s="381"/>
      <c r="I25" s="381"/>
      <c r="J25" s="381"/>
      <c r="K25" s="382"/>
      <c r="L25" s="381"/>
      <c r="M25" s="381"/>
      <c r="N25" s="381"/>
      <c r="O25" s="381"/>
      <c r="P25" s="381"/>
      <c r="R25" s="383"/>
      <c r="S25" s="377"/>
      <c r="T25" s="378"/>
      <c r="U25" s="336"/>
      <c r="V25" s="379"/>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row>
    <row r="26" spans="1:221" x14ac:dyDescent="0.25">
      <c r="A26" s="347" t="s">
        <v>70</v>
      </c>
      <c r="B26" s="384"/>
      <c r="C26" s="384"/>
      <c r="D26" s="385"/>
      <c r="E26" s="385"/>
      <c r="F26" s="384"/>
      <c r="G26" s="385"/>
      <c r="H26" s="385"/>
      <c r="I26" s="385"/>
      <c r="J26" s="385"/>
      <c r="K26" s="385"/>
      <c r="L26" s="385"/>
      <c r="M26" s="385"/>
      <c r="N26" s="385"/>
      <c r="O26" s="385"/>
      <c r="P26" s="336"/>
      <c r="R26" s="383"/>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P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79</v>
      </c>
      <c r="B28" s="388"/>
      <c r="C28" s="388"/>
      <c r="D28" s="363">
        <f>IF($C$17&lt;0,0,IF($C$17&gt;833000,833000,$C$17))</f>
        <v>0</v>
      </c>
      <c r="E28" s="364" t="s">
        <v>41</v>
      </c>
      <c r="F28" s="365" t="s">
        <v>8</v>
      </c>
      <c r="G28" s="389"/>
      <c r="H28" s="389"/>
      <c r="I28" s="389">
        <f>'Rider Rates'!$B$4</f>
        <v>4.6278999999999999E-3</v>
      </c>
      <c r="J28" s="390">
        <f t="shared" ref="J28:J49" si="0">SUM(G28:I28)</f>
        <v>4.6278999999999999E-3</v>
      </c>
      <c r="K28" s="367" t="s">
        <v>42</v>
      </c>
      <c r="L28" s="250"/>
      <c r="M28" s="250"/>
      <c r="N28" s="250">
        <f t="shared" ref="N28:N33" si="1">ROUND(D28*I28,2)</f>
        <v>0</v>
      </c>
      <c r="O28" s="250">
        <f t="shared" ref="O28:O50" si="2">SUM(L28:N28)</f>
        <v>0</v>
      </c>
      <c r="P28" s="361">
        <f>'Rider Rates'!$D$4</f>
        <v>45657</v>
      </c>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80</v>
      </c>
      <c r="B29" s="336"/>
      <c r="C29" s="336"/>
      <c r="D29" s="391">
        <f>IF($C$17&gt;833000,$C$17-833000,0)</f>
        <v>0</v>
      </c>
      <c r="E29" s="364" t="s">
        <v>41</v>
      </c>
      <c r="F29" s="365" t="s">
        <v>8</v>
      </c>
      <c r="G29" s="389"/>
      <c r="H29" s="389"/>
      <c r="I29" s="389">
        <f>'Rider Rates'!$B$5</f>
        <v>1.7560000000000001E-4</v>
      </c>
      <c r="J29" s="390">
        <f t="shared" si="0"/>
        <v>1.7560000000000001E-4</v>
      </c>
      <c r="K29" s="367" t="s">
        <v>42</v>
      </c>
      <c r="L29" s="250"/>
      <c r="M29" s="250"/>
      <c r="N29" s="250">
        <f t="shared" si="1"/>
        <v>0</v>
      </c>
      <c r="O29" s="250">
        <f t="shared" si="2"/>
        <v>0</v>
      </c>
      <c r="P29" s="361">
        <f>'Rider Rates'!$D$4</f>
        <v>45657</v>
      </c>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97</v>
      </c>
      <c r="B30" s="336"/>
      <c r="C30" s="336"/>
      <c r="D30" s="363">
        <f>IF($C$17&lt;0,0,IF($C$17&gt;2000,2000,$C$17))</f>
        <v>0</v>
      </c>
      <c r="E30" s="364" t="s">
        <v>41</v>
      </c>
      <c r="F30" s="365" t="s">
        <v>8</v>
      </c>
      <c r="G30" s="389"/>
      <c r="H30" s="389"/>
      <c r="I30" s="392">
        <f>'Rider Rates'!$B$8</f>
        <v>4.6499999999999996E-3</v>
      </c>
      <c r="J30" s="392">
        <f t="shared" si="0"/>
        <v>4.6499999999999996E-3</v>
      </c>
      <c r="K30" s="367" t="s">
        <v>42</v>
      </c>
      <c r="L30" s="250"/>
      <c r="M30" s="250"/>
      <c r="N30" s="250">
        <f t="shared" si="1"/>
        <v>0</v>
      </c>
      <c r="O30" s="250">
        <f t="shared" si="2"/>
        <v>0</v>
      </c>
      <c r="P30" s="361">
        <f>'Rider Rates'!$D$7</f>
        <v>44531</v>
      </c>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98</v>
      </c>
      <c r="B31" s="336"/>
      <c r="C31" s="336"/>
      <c r="D31" s="363">
        <f>IF($C$17&lt;=2000,0,IF($C$17=0,0,IF($C$17-2000&gt;13000,13000,$C$17-2000)))</f>
        <v>0</v>
      </c>
      <c r="E31" s="364" t="s">
        <v>41</v>
      </c>
      <c r="F31" s="365" t="s">
        <v>8</v>
      </c>
      <c r="G31" s="389"/>
      <c r="H31" s="389"/>
      <c r="I31" s="392">
        <f>'Rider Rates'!$B$9</f>
        <v>4.1900000000000001E-3</v>
      </c>
      <c r="J31" s="392">
        <f t="shared" si="0"/>
        <v>4.1900000000000001E-3</v>
      </c>
      <c r="K31" s="367" t="s">
        <v>42</v>
      </c>
      <c r="L31" s="250"/>
      <c r="M31" s="250"/>
      <c r="N31" s="250">
        <f t="shared" si="1"/>
        <v>0</v>
      </c>
      <c r="O31" s="250">
        <f t="shared" si="2"/>
        <v>0</v>
      </c>
      <c r="P31" s="361">
        <f>'Rider Rates'!$D$7</f>
        <v>44531</v>
      </c>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87" t="s">
        <v>99</v>
      </c>
      <c r="B32" s="336"/>
      <c r="C32" s="336"/>
      <c r="D32" s="363">
        <f>IF($C$17=0,0,IF($C$17-15000&gt;=0,$C$17-15000,0))</f>
        <v>0</v>
      </c>
      <c r="E32" s="364" t="s">
        <v>41</v>
      </c>
      <c r="F32" s="365" t="s">
        <v>8</v>
      </c>
      <c r="G32" s="389"/>
      <c r="H32" s="389"/>
      <c r="I32" s="392">
        <f>'Rider Rates'!$B$10</f>
        <v>3.63E-3</v>
      </c>
      <c r="J32" s="392">
        <f t="shared" si="0"/>
        <v>3.63E-3</v>
      </c>
      <c r="K32" s="367" t="s">
        <v>42</v>
      </c>
      <c r="L32" s="250"/>
      <c r="M32" s="250"/>
      <c r="N32" s="250">
        <f t="shared" si="1"/>
        <v>0</v>
      </c>
      <c r="O32" s="250">
        <f t="shared" si="2"/>
        <v>0</v>
      </c>
      <c r="P32" s="361">
        <f>'Rider Rates'!$D$7</f>
        <v>44531</v>
      </c>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87" t="s">
        <v>114</v>
      </c>
      <c r="B33" s="336"/>
      <c r="C33" s="336"/>
      <c r="D33" s="393">
        <f>$N$24</f>
        <v>10</v>
      </c>
      <c r="E33" s="364" t="s">
        <v>122</v>
      </c>
      <c r="F33" s="365" t="s">
        <v>8</v>
      </c>
      <c r="G33" s="389"/>
      <c r="H33" s="389"/>
      <c r="I33" s="394">
        <f>'Rider Rates'!$B$12</f>
        <v>0</v>
      </c>
      <c r="J33" s="394">
        <f t="shared" si="0"/>
        <v>0</v>
      </c>
      <c r="K33" s="367"/>
      <c r="L33" s="250"/>
      <c r="M33" s="250"/>
      <c r="N33" s="250">
        <f t="shared" si="1"/>
        <v>0</v>
      </c>
      <c r="O33" s="250">
        <f t="shared" si="2"/>
        <v>0</v>
      </c>
      <c r="P33" s="361">
        <f>'Rider Rates'!$D$12</f>
        <v>44531</v>
      </c>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159</v>
      </c>
      <c r="B34" s="336"/>
      <c r="C34" s="336"/>
      <c r="D34" s="363">
        <f>IF($C$17&lt;0,0,$C$17)</f>
        <v>0</v>
      </c>
      <c r="E34" s="364" t="s">
        <v>41</v>
      </c>
      <c r="F34" s="365" t="s">
        <v>8</v>
      </c>
      <c r="G34" s="389"/>
      <c r="H34" s="389"/>
      <c r="I34" s="389">
        <f>'Rider Rates'!$B$15</f>
        <v>0</v>
      </c>
      <c r="J34" s="389">
        <f>SUM(G34:I34)</f>
        <v>0</v>
      </c>
      <c r="K34" s="367" t="s">
        <v>42</v>
      </c>
      <c r="L34" s="250"/>
      <c r="M34" s="250"/>
      <c r="N34" s="250">
        <f>ROUND(D34*I34,2)</f>
        <v>0</v>
      </c>
      <c r="O34" s="250">
        <f t="shared" si="2"/>
        <v>0</v>
      </c>
      <c r="P34" s="361">
        <f>'Rider Rates'!$D$15</f>
        <v>45505</v>
      </c>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237</v>
      </c>
      <c r="B35" s="336"/>
      <c r="C35" s="336"/>
      <c r="D35" s="393">
        <f>$N$24</f>
        <v>10</v>
      </c>
      <c r="E35" s="364" t="s">
        <v>122</v>
      </c>
      <c r="F35" s="365" t="s">
        <v>8</v>
      </c>
      <c r="G35" s="389"/>
      <c r="H35" s="389"/>
      <c r="I35" s="394">
        <f>'Rider Rates'!$B$18+'Rider Rates'!$E$18</f>
        <v>0</v>
      </c>
      <c r="J35" s="394">
        <f>SUM(G35:I35)</f>
        <v>0</v>
      </c>
      <c r="K35" s="367"/>
      <c r="L35" s="250"/>
      <c r="M35" s="250"/>
      <c r="N35" s="250">
        <f>ROUND($D$35*'Rider Rates'!$B$18,2)+ROUND($D$35*'Rider Rates'!$E$18,2)</f>
        <v>0</v>
      </c>
      <c r="O35" s="250">
        <f t="shared" si="2"/>
        <v>0</v>
      </c>
      <c r="P35" s="361">
        <f>MAX('Rider Rates'!$D$18,'Rider Rates'!$F$18)</f>
        <v>44531</v>
      </c>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186</v>
      </c>
      <c r="B36" s="336"/>
      <c r="C36" s="336"/>
      <c r="D36" s="363">
        <f>'Customer Info'!$B$21+'Customer Info'!$B$22</f>
        <v>0</v>
      </c>
      <c r="E36" s="364" t="s">
        <v>41</v>
      </c>
      <c r="F36" s="365" t="s">
        <v>8</v>
      </c>
      <c r="G36" s="389"/>
      <c r="H36" s="389"/>
      <c r="I36" s="389"/>
      <c r="J36" s="396">
        <f>SUM(G36:H36)</f>
        <v>0</v>
      </c>
      <c r="K36" s="367" t="s">
        <v>42</v>
      </c>
      <c r="L36" s="250">
        <f>ROUND(D36*G36,2)</f>
        <v>0</v>
      </c>
      <c r="M36" s="250"/>
      <c r="N36" s="250"/>
      <c r="O36" s="250">
        <f t="shared" si="2"/>
        <v>0</v>
      </c>
      <c r="P36" s="361">
        <f>'Rider Rates'!$D$21</f>
        <v>45444</v>
      </c>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7" t="s">
        <v>172</v>
      </c>
      <c r="B37" s="336"/>
      <c r="C37" s="336"/>
      <c r="D37" s="363">
        <f>'Customer Info'!$B$21+'Customer Info'!$B$22</f>
        <v>0</v>
      </c>
      <c r="E37" s="364" t="s">
        <v>41</v>
      </c>
      <c r="F37" s="365" t="s">
        <v>8</v>
      </c>
      <c r="G37" s="389"/>
      <c r="H37" s="389"/>
      <c r="I37" s="389"/>
      <c r="J37" s="396">
        <f>SUM(G37:H37)</f>
        <v>0</v>
      </c>
      <c r="K37" s="367" t="s">
        <v>42</v>
      </c>
      <c r="L37" s="250">
        <f>ROUND(D37*G37,2)</f>
        <v>0</v>
      </c>
      <c r="M37" s="250"/>
      <c r="N37" s="250"/>
      <c r="O37" s="250">
        <f t="shared" si="2"/>
        <v>0</v>
      </c>
      <c r="P37" s="361">
        <f>'Rider Rates'!$D$29</f>
        <v>45444</v>
      </c>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5" t="s">
        <v>193</v>
      </c>
      <c r="B38" s="336"/>
      <c r="C38" s="336"/>
      <c r="D38" s="363">
        <f>'Customer Info'!$B$21+'Customer Info'!$B$22</f>
        <v>0</v>
      </c>
      <c r="E38" s="364" t="s">
        <v>41</v>
      </c>
      <c r="F38" s="365" t="s">
        <v>8</v>
      </c>
      <c r="G38" s="389"/>
      <c r="H38" s="389"/>
      <c r="I38" s="389"/>
      <c r="J38" s="396">
        <f>SUM(G38:H38)</f>
        <v>0</v>
      </c>
      <c r="K38" s="367" t="s">
        <v>42</v>
      </c>
      <c r="L38" s="250">
        <f>ROUND(D38*G38,2)</f>
        <v>0</v>
      </c>
      <c r="M38" s="250"/>
      <c r="N38" s="250"/>
      <c r="O38" s="250">
        <f>SUM(L38:N38)</f>
        <v>0</v>
      </c>
      <c r="P38" s="361">
        <f>'Rider Rates'!$D$45</f>
        <v>45657</v>
      </c>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7" t="s">
        <v>210</v>
      </c>
      <c r="B39" s="336"/>
      <c r="C39" s="336"/>
      <c r="D39" s="363"/>
      <c r="E39" s="364" t="s">
        <v>115</v>
      </c>
      <c r="F39" s="365" t="s">
        <v>15</v>
      </c>
      <c r="G39" s="389"/>
      <c r="H39" s="389"/>
      <c r="I39" s="389">
        <f>'Rider Rates'!D48</f>
        <v>1.17</v>
      </c>
      <c r="J39" s="389">
        <f>SUM(G39:I39)</f>
        <v>1.17</v>
      </c>
      <c r="K39" s="367" t="s">
        <v>42</v>
      </c>
      <c r="L39" s="250"/>
      <c r="M39" s="250"/>
      <c r="N39" s="250">
        <f>J39</f>
        <v>1.17</v>
      </c>
      <c r="O39" s="250">
        <f>SUM(L39:N39)</f>
        <v>1.17</v>
      </c>
      <c r="P39" s="361">
        <f>'Rider Rates'!E48</f>
        <v>45658</v>
      </c>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95" t="s">
        <v>189</v>
      </c>
      <c r="B40" s="336"/>
      <c r="C40" s="336"/>
      <c r="D40" s="363">
        <f>IF($C$17&lt;0,0,$C$17)</f>
        <v>0</v>
      </c>
      <c r="E40" s="398" t="s">
        <v>41</v>
      </c>
      <c r="F40" s="365" t="s">
        <v>8</v>
      </c>
      <c r="G40" s="389"/>
      <c r="H40" s="389">
        <f>'Rider Rates'!$B$55</f>
        <v>4.3837099999999997E-2</v>
      </c>
      <c r="I40" s="389"/>
      <c r="J40" s="389">
        <f>SUM(G40:I40)</f>
        <v>4.3837099999999997E-2</v>
      </c>
      <c r="K40" s="367" t="s">
        <v>42</v>
      </c>
      <c r="L40" s="250"/>
      <c r="M40" s="250">
        <f>ROUND(D40*H40,2)</f>
        <v>0</v>
      </c>
      <c r="N40" s="399"/>
      <c r="O40" s="250">
        <f t="shared" si="2"/>
        <v>0</v>
      </c>
      <c r="P40" s="361">
        <f>'Rider Rates'!$D$55</f>
        <v>45383</v>
      </c>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339</v>
      </c>
      <c r="B41" s="336"/>
      <c r="C41" s="336"/>
      <c r="D41" s="363">
        <f>IF($C$17&lt;0,0,$C$17)</f>
        <v>0</v>
      </c>
      <c r="E41" s="364" t="s">
        <v>41</v>
      </c>
      <c r="F41" s="365" t="s">
        <v>8</v>
      </c>
      <c r="G41" s="389"/>
      <c r="H41" s="389"/>
      <c r="I41" s="389">
        <f>'Rider Rates'!$B$66</f>
        <v>8.6240000000000004E-4</v>
      </c>
      <c r="J41" s="389">
        <f t="shared" ref="J41" si="3">SUM(G41:I41)</f>
        <v>8.6240000000000004E-4</v>
      </c>
      <c r="K41" s="367" t="s">
        <v>42</v>
      </c>
      <c r="L41" s="250"/>
      <c r="M41" s="250"/>
      <c r="N41" s="250">
        <f>ROUND($D$41*'Rider Rates'!$B$66,2)</f>
        <v>0</v>
      </c>
      <c r="O41" s="250">
        <f t="shared" ref="O41" si="4">SUM(L41:N41)</f>
        <v>0</v>
      </c>
      <c r="P41" s="361">
        <f>'Rider Rates'!$D$66</f>
        <v>45532</v>
      </c>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96</v>
      </c>
      <c r="B42" s="336"/>
      <c r="C42" s="336"/>
      <c r="D42" s="363">
        <f>IF('Customer Info'!C34=TRUE,0,IF($C$17&lt;0,0,$C$17))</f>
        <v>0</v>
      </c>
      <c r="E42" s="364" t="s">
        <v>41</v>
      </c>
      <c r="F42" s="365" t="s">
        <v>8</v>
      </c>
      <c r="G42" s="389"/>
      <c r="H42" s="389"/>
      <c r="I42" s="389">
        <f>'Rider Rates'!$B$69+'Rider Rates'!$C$69</f>
        <v>0</v>
      </c>
      <c r="J42" s="389">
        <f t="shared" si="0"/>
        <v>0</v>
      </c>
      <c r="K42" s="367" t="s">
        <v>42</v>
      </c>
      <c r="L42" s="250"/>
      <c r="M42" s="250"/>
      <c r="N42" s="250">
        <f>ROUND($D$42*'Rider Rates'!$B$69,2)+ROUND($D$42*'Rider Rates'!$C$69,2)</f>
        <v>0</v>
      </c>
      <c r="O42" s="250">
        <f t="shared" si="2"/>
        <v>0</v>
      </c>
      <c r="P42" s="361">
        <f>'Rider Rates'!$D$69</f>
        <v>45444</v>
      </c>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81</v>
      </c>
      <c r="B43" s="336"/>
      <c r="C43" s="336"/>
      <c r="D43" s="393">
        <f>$N$24</f>
        <v>10</v>
      </c>
      <c r="E43" s="364" t="s">
        <v>122</v>
      </c>
      <c r="F43" s="365" t="s">
        <v>8</v>
      </c>
      <c r="G43" s="400"/>
      <c r="H43" s="356"/>
      <c r="I43" s="401">
        <f>'Rider Rates'!$B$85</f>
        <v>4.94232E-2</v>
      </c>
      <c r="J43" s="401">
        <f t="shared" si="0"/>
        <v>4.94232E-2</v>
      </c>
      <c r="K43" s="367"/>
      <c r="L43" s="250"/>
      <c r="M43" s="250"/>
      <c r="N43" s="250">
        <f>ROUND(D43*I43,2)</f>
        <v>0.49</v>
      </c>
      <c r="O43" s="250">
        <f t="shared" si="2"/>
        <v>0.49</v>
      </c>
      <c r="P43" s="361">
        <f>'Rider Rates'!$D$85</f>
        <v>45562</v>
      </c>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87" t="s">
        <v>82</v>
      </c>
      <c r="B44" s="336"/>
      <c r="C44" s="336"/>
      <c r="D44" s="393">
        <f>$N$24</f>
        <v>10</v>
      </c>
      <c r="E44" s="364" t="s">
        <v>122</v>
      </c>
      <c r="F44" s="365" t="s">
        <v>8</v>
      </c>
      <c r="G44" s="402"/>
      <c r="H44" s="356"/>
      <c r="I44" s="401">
        <f>'Rider Rates'!$B$87</f>
        <v>6.6985699999999995E-2</v>
      </c>
      <c r="J44" s="401">
        <f t="shared" si="0"/>
        <v>6.6985699999999995E-2</v>
      </c>
      <c r="K44" s="367"/>
      <c r="L44" s="250"/>
      <c r="M44" s="250"/>
      <c r="N44" s="250">
        <f>ROUND(D44*I44,2)</f>
        <v>0.67</v>
      </c>
      <c r="O44" s="250">
        <f t="shared" si="2"/>
        <v>0.67</v>
      </c>
      <c r="P44" s="361">
        <f>'Rider Rates'!$D$87</f>
        <v>45167</v>
      </c>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206</v>
      </c>
      <c r="B45" s="336"/>
      <c r="C45" s="336"/>
      <c r="D45" s="393"/>
      <c r="E45" s="398" t="s">
        <v>115</v>
      </c>
      <c r="F45" s="386"/>
      <c r="G45" s="402"/>
      <c r="H45" s="356"/>
      <c r="I45" s="403">
        <f>'Rider Rates'!$B$90</f>
        <v>2.08</v>
      </c>
      <c r="J45" s="403">
        <f t="shared" si="0"/>
        <v>2.08</v>
      </c>
      <c r="K45" s="367"/>
      <c r="L45" s="250"/>
      <c r="M45" s="250"/>
      <c r="N45" s="250">
        <f>I45</f>
        <v>2.08</v>
      </c>
      <c r="O45" s="250">
        <f t="shared" si="2"/>
        <v>2.08</v>
      </c>
      <c r="P45" s="361">
        <f>'Rider Rates'!$D$90</f>
        <v>45657</v>
      </c>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95" t="s">
        <v>239</v>
      </c>
      <c r="B46" s="336"/>
      <c r="C46" s="336"/>
      <c r="D46" s="363">
        <f>IF($C$17&lt;0,0,$C$17)</f>
        <v>0</v>
      </c>
      <c r="E46" s="364" t="s">
        <v>41</v>
      </c>
      <c r="F46" s="365" t="s">
        <v>8</v>
      </c>
      <c r="G46" s="389"/>
      <c r="H46" s="389"/>
      <c r="I46" s="389"/>
      <c r="J46" s="389">
        <f>'Rider Rates'!$B$94</f>
        <v>0</v>
      </c>
      <c r="K46" s="367" t="s">
        <v>42</v>
      </c>
      <c r="L46" s="250"/>
      <c r="M46" s="250"/>
      <c r="N46" s="250"/>
      <c r="O46" s="250">
        <f>ROUND($D46*('Rider Rates'!B$94),2)</f>
        <v>0</v>
      </c>
      <c r="P46" s="361">
        <f>'Rider Rates'!$D$94</f>
        <v>44531</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87" t="s">
        <v>156</v>
      </c>
      <c r="B47" s="336"/>
      <c r="C47" s="336"/>
      <c r="D47" s="393">
        <f>$N$24</f>
        <v>10</v>
      </c>
      <c r="E47" s="364" t="s">
        <v>122</v>
      </c>
      <c r="F47" s="365" t="s">
        <v>8</v>
      </c>
      <c r="G47" s="402"/>
      <c r="H47" s="356"/>
      <c r="I47" s="401">
        <f>'Rider Rates'!$B$105</f>
        <v>0.2363101</v>
      </c>
      <c r="J47" s="401">
        <f t="shared" si="0"/>
        <v>0.2363101</v>
      </c>
      <c r="K47" s="367"/>
      <c r="L47" s="250"/>
      <c r="M47" s="250"/>
      <c r="N47" s="250">
        <f>ROUND(D47*I47,2)</f>
        <v>2.36</v>
      </c>
      <c r="O47" s="250">
        <f t="shared" si="2"/>
        <v>2.36</v>
      </c>
      <c r="P47" s="361">
        <f>'Rider Rates'!$D$105</f>
        <v>45622</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209</v>
      </c>
      <c r="B48" s="336"/>
      <c r="C48" s="336"/>
      <c r="D48" s="393"/>
      <c r="E48" s="398" t="s">
        <v>115</v>
      </c>
      <c r="F48" s="386"/>
      <c r="G48" s="402"/>
      <c r="H48" s="356"/>
      <c r="I48" s="403">
        <f>'Rider Rates'!$B$108</f>
        <v>0</v>
      </c>
      <c r="J48" s="403">
        <f t="shared" si="0"/>
        <v>0</v>
      </c>
      <c r="K48" s="367"/>
      <c r="L48" s="250"/>
      <c r="M48" s="250"/>
      <c r="N48" s="250">
        <f>I48</f>
        <v>0</v>
      </c>
      <c r="O48" s="250">
        <f t="shared" si="2"/>
        <v>0</v>
      </c>
      <c r="P48" s="361">
        <f>'Rider Rates'!$D$108</f>
        <v>44894</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21" x14ac:dyDescent="0.25">
      <c r="A49" s="395" t="s">
        <v>217</v>
      </c>
      <c r="B49" s="336"/>
      <c r="C49" s="336"/>
      <c r="D49" s="393"/>
      <c r="E49" s="398" t="s">
        <v>115</v>
      </c>
      <c r="F49" s="386"/>
      <c r="G49" s="402"/>
      <c r="H49" s="356"/>
      <c r="I49" s="404">
        <f>'Rider Rates'!B121</f>
        <v>0.97</v>
      </c>
      <c r="J49" s="403">
        <f t="shared" si="0"/>
        <v>0.97</v>
      </c>
      <c r="K49" s="367"/>
      <c r="L49" s="250"/>
      <c r="M49" s="250"/>
      <c r="N49" s="405">
        <f>I49</f>
        <v>0.97</v>
      </c>
      <c r="O49" s="250">
        <f t="shared" si="2"/>
        <v>0.97</v>
      </c>
      <c r="P49" s="361">
        <f>'Rider Rates'!D121</f>
        <v>45593</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21" x14ac:dyDescent="0.25">
      <c r="A50" s="387" t="s">
        <v>157</v>
      </c>
      <c r="B50" s="336"/>
      <c r="C50" s="336"/>
      <c r="D50" s="363">
        <f>'Customer Info'!$B$21+'Customer Info'!$B$22</f>
        <v>0</v>
      </c>
      <c r="E50" s="364" t="s">
        <v>41</v>
      </c>
      <c r="F50" s="365" t="s">
        <v>8</v>
      </c>
      <c r="G50" s="389"/>
      <c r="H50" s="389"/>
      <c r="I50" s="401"/>
      <c r="J50" s="396">
        <f>SUM(G50:H50)</f>
        <v>0</v>
      </c>
      <c r="K50" s="367" t="s">
        <v>42</v>
      </c>
      <c r="L50" s="250">
        <f>ROUND(D50*G50,2)</f>
        <v>0</v>
      </c>
      <c r="M50" s="250"/>
      <c r="N50" s="250"/>
      <c r="O50" s="250">
        <f t="shared" si="2"/>
        <v>0</v>
      </c>
      <c r="P50" s="361">
        <f>'Rider Rates'!$D$112</f>
        <v>44531</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21" x14ac:dyDescent="0.25">
      <c r="A51" s="395" t="s">
        <v>208</v>
      </c>
      <c r="B51" s="336"/>
      <c r="C51" s="336"/>
      <c r="D51" s="363">
        <f>IF($C$17&lt;1,0,$C$17)</f>
        <v>0</v>
      </c>
      <c r="E51" s="364" t="s">
        <v>41</v>
      </c>
      <c r="F51" s="358" t="s">
        <v>8</v>
      </c>
      <c r="G51" s="366"/>
      <c r="H51" s="366"/>
      <c r="I51" s="406">
        <f>'Rider Rates'!B117</f>
        <v>0</v>
      </c>
      <c r="J51" s="406">
        <f>SUM(G51:I51)</f>
        <v>0</v>
      </c>
      <c r="K51" s="367" t="s">
        <v>42</v>
      </c>
      <c r="L51" s="250"/>
      <c r="M51" s="250"/>
      <c r="N51" s="250">
        <f>D51*J51</f>
        <v>0</v>
      </c>
      <c r="O51" s="250">
        <f>SUM(L51:N51)</f>
        <v>0</v>
      </c>
      <c r="P51" s="361">
        <f>'Rider Rates'!D117</f>
        <v>45657</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21" x14ac:dyDescent="0.25">
      <c r="A52" s="397" t="s">
        <v>230</v>
      </c>
      <c r="B52" s="336"/>
      <c r="C52" s="336"/>
      <c r="D52" s="363"/>
      <c r="E52" s="364" t="s">
        <v>115</v>
      </c>
      <c r="F52" s="365" t="s">
        <v>8</v>
      </c>
      <c r="G52" s="407"/>
      <c r="H52" s="407"/>
      <c r="I52" s="407">
        <f>'Rider Rates'!$B$125</f>
        <v>0.1</v>
      </c>
      <c r="J52" s="407">
        <f>SUM(G52:I52)</f>
        <v>0.1</v>
      </c>
      <c r="K52" s="367"/>
      <c r="L52" s="408"/>
      <c r="M52" s="408"/>
      <c r="N52" s="408">
        <f>J52</f>
        <v>0.1</v>
      </c>
      <c r="O52" s="408">
        <f>SUM(L52:N52)</f>
        <v>0.1</v>
      </c>
      <c r="P52" s="409">
        <f>'Rider Rates'!$E$125</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21" x14ac:dyDescent="0.25">
      <c r="A53" s="397" t="s">
        <v>242</v>
      </c>
      <c r="B53" s="336"/>
      <c r="C53" s="336"/>
      <c r="D53" s="363">
        <f>C17</f>
        <v>0</v>
      </c>
      <c r="E53" s="364" t="s">
        <v>41</v>
      </c>
      <c r="F53" s="358" t="s">
        <v>8</v>
      </c>
      <c r="G53" s="389"/>
      <c r="H53" s="389"/>
      <c r="I53" s="389">
        <f>'Rider Rates'!$B$130</f>
        <v>0</v>
      </c>
      <c r="J53" s="396">
        <f>SUM(G53:I53)</f>
        <v>0</v>
      </c>
      <c r="K53" s="367" t="s">
        <v>42</v>
      </c>
      <c r="L53" s="250"/>
      <c r="M53" s="250"/>
      <c r="N53" s="250">
        <f>D53*J53</f>
        <v>0</v>
      </c>
      <c r="O53" s="250">
        <f>SUM(L53:N53)</f>
        <v>0</v>
      </c>
      <c r="P53" s="361">
        <f>'Rider Rates'!D130</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21" x14ac:dyDescent="0.25">
      <c r="A54" s="397" t="s">
        <v>241</v>
      </c>
      <c r="B54" s="336"/>
      <c r="C54" s="336"/>
      <c r="D54" s="363"/>
      <c r="E54" s="364" t="s">
        <v>115</v>
      </c>
      <c r="F54" s="365" t="s">
        <v>8</v>
      </c>
      <c r="G54" s="407"/>
      <c r="H54" s="407"/>
      <c r="I54" s="407">
        <f>'Rider Rates'!$B$137</f>
        <v>0</v>
      </c>
      <c r="J54" s="407">
        <f>SUM(G54:I54)</f>
        <v>0</v>
      </c>
      <c r="K54" s="367"/>
      <c r="L54" s="408"/>
      <c r="M54" s="408"/>
      <c r="N54" s="408">
        <f>J54</f>
        <v>0</v>
      </c>
      <c r="O54" s="408">
        <f>SUM(L54:N54)</f>
        <v>0</v>
      </c>
      <c r="P54" s="409">
        <f>'Rider Rates'!$D$133</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21"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21" x14ac:dyDescent="0.25">
      <c r="A56" s="410" t="s">
        <v>71</v>
      </c>
      <c r="B56" s="347"/>
      <c r="C56" s="347"/>
      <c r="D56" s="411"/>
      <c r="E56" s="412"/>
      <c r="F56" s="413"/>
      <c r="G56" s="413"/>
      <c r="H56" s="413"/>
      <c r="I56" s="413"/>
      <c r="J56" s="413"/>
      <c r="K56" s="414"/>
      <c r="L56" s="415">
        <f>SUM(L28:L55)</f>
        <v>0</v>
      </c>
      <c r="M56" s="415">
        <f t="shared" ref="M56:O56" si="5">SUM(M28:M55)</f>
        <v>0</v>
      </c>
      <c r="N56" s="415">
        <f t="shared" si="5"/>
        <v>7.839999999999999</v>
      </c>
      <c r="O56" s="415">
        <f t="shared" si="5"/>
        <v>7.839999999999999</v>
      </c>
      <c r="P56" s="416"/>
      <c r="Q56" s="386"/>
      <c r="R56" s="384"/>
      <c r="S56" s="384"/>
      <c r="T56" s="417"/>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21" x14ac:dyDescent="0.25">
      <c r="A57" s="336"/>
      <c r="B57" s="336"/>
      <c r="C57" s="336"/>
      <c r="D57" s="363"/>
      <c r="E57" s="398"/>
      <c r="F57" s="386"/>
      <c r="G57" s="386"/>
      <c r="H57" s="386"/>
      <c r="I57" s="386"/>
      <c r="J57" s="383"/>
      <c r="K57" s="367"/>
      <c r="L57" s="386"/>
      <c r="M57" s="386"/>
      <c r="N57" s="386"/>
      <c r="O57" s="386"/>
      <c r="P57" s="418"/>
      <c r="Q57" s="386"/>
      <c r="R57" s="384"/>
      <c r="S57" s="384"/>
      <c r="T57" s="417"/>
      <c r="U57" s="336"/>
      <c r="V57" s="336"/>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21" x14ac:dyDescent="0.25">
      <c r="A58" s="380"/>
      <c r="B58" s="380"/>
      <c r="C58" s="380"/>
      <c r="D58" s="380"/>
      <c r="E58" s="380"/>
      <c r="F58" s="380"/>
      <c r="G58" s="380"/>
      <c r="H58" s="380"/>
      <c r="I58" s="380"/>
      <c r="J58" s="380"/>
      <c r="K58" s="380"/>
      <c r="L58" s="419">
        <f>L24+L56</f>
        <v>0</v>
      </c>
      <c r="M58" s="419">
        <f>M24+M56</f>
        <v>0</v>
      </c>
      <c r="N58" s="419">
        <f>N24+N56</f>
        <v>17.84</v>
      </c>
      <c r="O58" s="420">
        <f>O24+O56</f>
        <v>17.84</v>
      </c>
      <c r="P58" s="420"/>
      <c r="Q58" s="386"/>
      <c r="R58" s="384"/>
      <c r="S58" s="384"/>
      <c r="T58" s="417"/>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21" x14ac:dyDescent="0.25">
      <c r="A59" s="421"/>
      <c r="B59" s="336"/>
      <c r="C59" s="336"/>
      <c r="D59" s="336"/>
      <c r="E59" s="336"/>
      <c r="F59" s="336"/>
      <c r="G59" s="336"/>
      <c r="H59" s="336"/>
      <c r="I59" s="336"/>
      <c r="J59" s="336"/>
      <c r="K59" s="336"/>
      <c r="L59" s="336"/>
      <c r="M59" s="336"/>
      <c r="Q59" s="384"/>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21" x14ac:dyDescent="0.25">
      <c r="A60" s="422"/>
      <c r="B60" s="336"/>
      <c r="C60" s="336"/>
      <c r="D60" s="336"/>
      <c r="E60" s="336"/>
      <c r="F60" s="336"/>
      <c r="G60" s="336"/>
      <c r="H60" s="336"/>
      <c r="I60" s="336"/>
      <c r="J60" s="336"/>
      <c r="K60" s="336"/>
      <c r="L60" s="336"/>
      <c r="M60" s="336"/>
      <c r="Q60" s="384"/>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21" x14ac:dyDescent="0.25">
      <c r="A61" s="384" t="s">
        <v>93</v>
      </c>
      <c r="B61" s="336"/>
      <c r="C61" s="336"/>
      <c r="D61" s="384"/>
      <c r="E61" s="336"/>
      <c r="F61" s="336"/>
      <c r="G61" s="336"/>
      <c r="H61" s="336"/>
      <c r="I61" s="336"/>
      <c r="J61" s="336"/>
      <c r="K61" s="336"/>
      <c r="L61" s="336"/>
      <c r="M61" s="336"/>
      <c r="N61" s="336"/>
      <c r="O61" s="378">
        <f>IF($C$17&lt;=0,MIN(O21,O58), O21)</f>
        <v>10</v>
      </c>
      <c r="Q61" s="384"/>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21" x14ac:dyDescent="0.25">
      <c r="A62" s="422"/>
      <c r="B62" s="384"/>
      <c r="C62" s="384"/>
      <c r="D62" s="384"/>
      <c r="E62" s="384"/>
      <c r="F62" s="384"/>
      <c r="G62" s="384"/>
      <c r="H62" s="384"/>
      <c r="I62" s="336"/>
      <c r="J62" s="336"/>
      <c r="K62" s="336"/>
      <c r="L62" s="336"/>
      <c r="M62" s="336"/>
      <c r="Q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21" x14ac:dyDescent="0.25">
      <c r="A63" s="347" t="s">
        <v>117</v>
      </c>
      <c r="O63" s="423">
        <f>IF($C$17&lt;0,O58,IF(O58&gt;O61,O58,O61))</f>
        <v>17.84</v>
      </c>
      <c r="P63" s="424"/>
      <c r="Q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21" x14ac:dyDescent="0.25">
      <c r="A64" s="422"/>
    </row>
    <row r="65" spans="1:16" x14ac:dyDescent="0.25">
      <c r="A65" s="422"/>
      <c r="I65" s="384" t="s">
        <v>121</v>
      </c>
      <c r="J65" s="384"/>
      <c r="K65" s="384"/>
      <c r="L65" s="425"/>
      <c r="M65" s="425"/>
      <c r="N65" s="425"/>
      <c r="O65" s="425">
        <f>ROUND(IF($C$17&lt;1,0,O58/($C$17*100)*10000),2)</f>
        <v>0</v>
      </c>
      <c r="P65" s="370" t="s">
        <v>87</v>
      </c>
    </row>
    <row r="66" spans="1:16" x14ac:dyDescent="0.25">
      <c r="A66" s="422"/>
      <c r="I66" s="426" t="s">
        <v>190</v>
      </c>
      <c r="J66" s="336"/>
      <c r="K66" s="336"/>
      <c r="L66" s="336"/>
      <c r="M66" s="336"/>
      <c r="N66" s="336"/>
      <c r="O66" s="427">
        <f>ROUND(IF($C$17&lt;1,0,(L58)/($C$17*100)*10000),2)</f>
        <v>0</v>
      </c>
      <c r="P66" s="339" t="s">
        <v>87</v>
      </c>
    </row>
    <row r="67" spans="1:16" x14ac:dyDescent="0.25">
      <c r="A67" s="422"/>
    </row>
    <row r="68" spans="1:16" x14ac:dyDescent="0.25">
      <c r="A68" s="422"/>
    </row>
    <row r="69" spans="1:16" x14ac:dyDescent="0.25">
      <c r="A69" s="422"/>
    </row>
    <row r="70" spans="1:16" x14ac:dyDescent="0.25">
      <c r="A70" s="422"/>
    </row>
    <row r="71" spans="1:16" x14ac:dyDescent="0.25">
      <c r="A71" s="422"/>
    </row>
    <row r="72" spans="1:16" x14ac:dyDescent="0.25">
      <c r="A72" s="422"/>
    </row>
    <row r="73" spans="1:16" x14ac:dyDescent="0.25">
      <c r="A73" s="422"/>
    </row>
  </sheetData>
  <sheetProtection algorithmName="SHA-512" hashValue="BlJrmG3qAeHECVU9/qyhko+xgifWBy78fJiZKwxLqSa+w/1K8eXHFULtjVf0Ta/FLkzWl+fS258JcGu23Zpwcg==" saltValue="ZStOfmsLM3FhBddfgEupNw==" spinCount="100000" sheet="1" objects="1" scenarios="1"/>
  <mergeCells count="8">
    <mergeCell ref="G19:J19"/>
    <mergeCell ref="L19:O19"/>
    <mergeCell ref="A1:P1"/>
    <mergeCell ref="A2:P2"/>
    <mergeCell ref="A3:P3"/>
    <mergeCell ref="A4:P4"/>
    <mergeCell ref="A7:K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8961" r:id="rId3" name="Button 1">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68962" r:id="rId4" name="Button 2">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68963" r:id="rId5" name="Button 3">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68964" r:id="rId6" name="Button 4">
              <controlPr defaultSize="0" print="0" autoFill="0" autoPict="0" macro="[0]!Info">
                <anchor moveWithCells="1">
                  <from>
                    <xdr:col>0</xdr:col>
                    <xdr:colOff>68580</xdr:colOff>
                    <xdr:row>0</xdr:row>
                    <xdr:rowOff>76200</xdr:rowOff>
                  </from>
                  <to>
                    <xdr:col>0</xdr:col>
                    <xdr:colOff>579120</xdr:colOff>
                    <xdr:row>2</xdr:row>
                    <xdr:rowOff>7620</xdr:rowOff>
                  </to>
                </anchor>
              </controlPr>
            </control>
          </mc:Choice>
        </mc:AlternateContent>
        <mc:AlternateContent xmlns:mc="http://schemas.openxmlformats.org/markup-compatibility/2006">
          <mc:Choice Requires="x14">
            <control shapeId="168965" r:id="rId7" name="Button 5">
              <controlPr defaultSize="0" print="0" autoFill="0" autoPict="0" macro="[0]!Info">
                <anchor moveWithCells="1">
                  <from>
                    <xdr:col>14</xdr:col>
                    <xdr:colOff>601980</xdr:colOff>
                    <xdr:row>81</xdr:row>
                    <xdr:rowOff>38100</xdr:rowOff>
                  </from>
                  <to>
                    <xdr:col>14</xdr:col>
                    <xdr:colOff>1135380</xdr:colOff>
                    <xdr:row>82</xdr:row>
                    <xdr:rowOff>114300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IB61"/>
  <sheetViews>
    <sheetView showGridLines="0" topLeftCell="A7" zoomScale="80" zoomScaleNormal="80" workbookViewId="0">
      <selection activeCell="A21" sqref="A21"/>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269</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row>
    <row r="6" spans="1:30" x14ac:dyDescent="0.25">
      <c r="A6" s="76">
        <f ca="1">TODAY()</f>
        <v>45657</v>
      </c>
      <c r="B6" s="210" t="s">
        <v>268</v>
      </c>
      <c r="C6" s="76"/>
      <c r="D6" s="76"/>
      <c r="E6" s="76"/>
      <c r="F6" s="76"/>
      <c r="G6" s="76"/>
      <c r="H6" s="76"/>
      <c r="I6" s="76"/>
    </row>
    <row r="7" spans="1:30" ht="24.6" x14ac:dyDescent="0.4">
      <c r="A7" s="505"/>
      <c r="B7" s="505"/>
      <c r="C7" s="505"/>
      <c r="D7" s="505"/>
      <c r="E7" s="505"/>
      <c r="F7" s="505"/>
      <c r="G7" s="505"/>
      <c r="H7" s="505"/>
      <c r="I7" s="505"/>
      <c r="J7" s="505"/>
      <c r="K7" s="505"/>
      <c r="L7" s="505"/>
      <c r="M7" s="505"/>
      <c r="N7" s="505"/>
      <c r="O7" s="505"/>
      <c r="P7" s="505"/>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28" t="s">
        <v>27</v>
      </c>
      <c r="B13" s="22"/>
      <c r="C13" s="22"/>
      <c r="D13" s="22"/>
      <c r="E13" s="22"/>
      <c r="F13" s="22"/>
      <c r="G13" s="22"/>
      <c r="H13" s="22"/>
      <c r="I13" s="22"/>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c r="B16" s="31"/>
      <c r="C16" s="32"/>
      <c r="D16" s="31"/>
      <c r="E16" s="31"/>
      <c r="F16" s="33"/>
      <c r="G16" s="23" t="s">
        <v>15</v>
      </c>
      <c r="H16" s="31"/>
    </row>
    <row r="17" spans="1:221" x14ac:dyDescent="0.25">
      <c r="A17" s="31"/>
      <c r="B17" s="31"/>
      <c r="C17" s="33"/>
      <c r="D17" s="33"/>
      <c r="E17" s="33"/>
      <c r="F17" s="33"/>
      <c r="G17" s="23" t="s">
        <v>15</v>
      </c>
      <c r="H17" s="31"/>
      <c r="I17" s="52" t="s">
        <v>15</v>
      </c>
    </row>
    <row r="19" spans="1:221" x14ac:dyDescent="0.25">
      <c r="A19" s="28" t="s">
        <v>31</v>
      </c>
      <c r="B19" s="22"/>
      <c r="C19" s="22"/>
      <c r="D19" s="22"/>
      <c r="E19" s="22"/>
      <c r="F19" s="22"/>
      <c r="G19" s="489" t="s">
        <v>68</v>
      </c>
      <c r="H19" s="490"/>
      <c r="I19" s="490"/>
      <c r="J19" s="491"/>
      <c r="K19" s="22"/>
      <c r="L19" s="492" t="s">
        <v>69</v>
      </c>
      <c r="M19" s="492"/>
      <c r="N19" s="492"/>
      <c r="O19" s="492"/>
    </row>
    <row r="20" spans="1:221" x14ac:dyDescent="0.25">
      <c r="A20" s="18"/>
      <c r="B20" s="18"/>
      <c r="C20" s="18"/>
      <c r="D20" s="18"/>
      <c r="E20" s="18"/>
      <c r="F20" s="18"/>
      <c r="G20" s="8" t="s">
        <v>65</v>
      </c>
      <c r="H20" s="8" t="s">
        <v>66</v>
      </c>
      <c r="I20" s="8" t="s">
        <v>67</v>
      </c>
      <c r="J20" s="112" t="s">
        <v>34</v>
      </c>
      <c r="K20" s="18"/>
      <c r="L20" s="131" t="s">
        <v>65</v>
      </c>
      <c r="M20" s="131" t="s">
        <v>66</v>
      </c>
      <c r="N20" s="131" t="s">
        <v>67</v>
      </c>
      <c r="O20" s="132" t="s">
        <v>34</v>
      </c>
      <c r="P20" s="43" t="s">
        <v>57</v>
      </c>
    </row>
    <row r="21" spans="1:221" x14ac:dyDescent="0.25">
      <c r="A21" t="s">
        <v>32</v>
      </c>
      <c r="G21" s="86"/>
      <c r="H21" s="86"/>
      <c r="I21" s="86">
        <v>9.4</v>
      </c>
      <c r="J21" s="86">
        <f>SUM(G21:I21)</f>
        <v>9.4</v>
      </c>
      <c r="L21" s="88"/>
      <c r="M21" s="88"/>
      <c r="N21" s="88">
        <f>I21</f>
        <v>9.4</v>
      </c>
      <c r="O21" s="209">
        <f>SUM(L21:N21)</f>
        <v>9.4</v>
      </c>
      <c r="P21" s="245">
        <f>'Rider Rates'!$D$7</f>
        <v>44531</v>
      </c>
    </row>
    <row r="22" spans="1:221" x14ac:dyDescent="0.25">
      <c r="A22" t="s">
        <v>73</v>
      </c>
      <c r="D22" s="1">
        <f>MAX(MIN($C$15,1000),-1000)</f>
        <v>0</v>
      </c>
      <c r="E22" s="35" t="s">
        <v>41</v>
      </c>
      <c r="F22" s="4" t="s">
        <v>8</v>
      </c>
      <c r="G22" s="84"/>
      <c r="H22" s="84"/>
      <c r="I22" s="84">
        <v>2.05802E-2</v>
      </c>
      <c r="J22" s="84">
        <f>SUM(G22:I22)</f>
        <v>2.05802E-2</v>
      </c>
      <c r="K22" s="36" t="s">
        <v>42</v>
      </c>
      <c r="L22" s="87"/>
      <c r="M22" s="87"/>
      <c r="N22" s="87">
        <f>IF(C15&lt;0,0,ROUND($D22*I22,2))</f>
        <v>0</v>
      </c>
      <c r="O22" s="209">
        <f>SUM(L22:N22)</f>
        <v>0</v>
      </c>
      <c r="P22" s="245">
        <v>45261</v>
      </c>
    </row>
    <row r="23" spans="1:221" x14ac:dyDescent="0.25">
      <c r="A23" t="s">
        <v>74</v>
      </c>
      <c r="D23" s="1">
        <f>IF($C$15&gt;0,MAX($C$15-1000,0),MIN($C$15+1000,0))</f>
        <v>0</v>
      </c>
      <c r="E23" s="35" t="s">
        <v>41</v>
      </c>
      <c r="F23" s="4" t="s">
        <v>8</v>
      </c>
      <c r="G23" s="84"/>
      <c r="H23" s="84"/>
      <c r="I23" s="84">
        <v>2.05802E-2</v>
      </c>
      <c r="J23" s="84">
        <f>SUM(G23:I23)</f>
        <v>2.05802E-2</v>
      </c>
      <c r="K23" s="36" t="s">
        <v>42</v>
      </c>
      <c r="L23" s="87"/>
      <c r="M23" s="87"/>
      <c r="N23" s="87">
        <f>ROUND($D23*I23,2)</f>
        <v>0</v>
      </c>
      <c r="O23" s="87">
        <f>SUM(L23:N23)</f>
        <v>0</v>
      </c>
      <c r="P23" s="245">
        <v>45261</v>
      </c>
    </row>
    <row r="24" spans="1:221" x14ac:dyDescent="0.25">
      <c r="A24" s="37" t="s">
        <v>50</v>
      </c>
      <c r="B24" s="37"/>
      <c r="C24" s="37"/>
      <c r="D24" s="38"/>
      <c r="E24" s="38"/>
      <c r="F24" s="37"/>
      <c r="G24" s="37"/>
      <c r="H24" s="37"/>
      <c r="I24" s="37"/>
      <c r="J24" s="37"/>
      <c r="K24" s="39"/>
      <c r="L24" s="40"/>
      <c r="M24" s="40"/>
      <c r="N24" s="40">
        <f>SUM(N21:N23)</f>
        <v>9.4</v>
      </c>
      <c r="O24" s="40">
        <f>SUM(O21:O23)</f>
        <v>9.4</v>
      </c>
    </row>
    <row r="25" spans="1:221" x14ac:dyDescent="0.25">
      <c r="A25" s="89"/>
      <c r="B25" s="89"/>
      <c r="C25" s="90"/>
      <c r="D25" s="90"/>
      <c r="E25" s="90"/>
      <c r="F25" s="90"/>
      <c r="G25" s="91"/>
      <c r="H25" s="91"/>
      <c r="I25" s="91"/>
      <c r="J25" s="91"/>
      <c r="K25" s="89"/>
      <c r="L25" s="89"/>
      <c r="M25" s="89"/>
      <c r="N25" s="89"/>
      <c r="O25" s="89"/>
      <c r="P25" s="89"/>
    </row>
    <row r="26" spans="1:221" x14ac:dyDescent="0.25">
      <c r="A26" s="148" t="s">
        <v>70</v>
      </c>
      <c r="B26" s="166"/>
      <c r="C26" s="166"/>
      <c r="D26" s="167"/>
      <c r="E26" s="167"/>
      <c r="F26" s="166"/>
      <c r="G26" s="167"/>
      <c r="H26" s="167"/>
      <c r="I26" s="167"/>
      <c r="J26" s="167"/>
      <c r="K26" s="167"/>
      <c r="L26" s="167"/>
      <c r="M26" s="167"/>
      <c r="N26" s="167"/>
      <c r="O26" s="167"/>
      <c r="P26" s="160"/>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151"/>
      <c r="B27" s="151"/>
      <c r="C27" s="151"/>
      <c r="D27" s="151"/>
      <c r="E27" s="151"/>
      <c r="F27" s="151"/>
      <c r="G27" s="151"/>
      <c r="H27" s="151"/>
      <c r="I27" s="151"/>
      <c r="J27" s="151"/>
      <c r="K27" s="151"/>
      <c r="L27" s="151"/>
      <c r="M27" s="151"/>
      <c r="N27" s="151"/>
      <c r="O27" s="151"/>
      <c r="P27" s="174"/>
      <c r="Q27" s="106"/>
      <c r="R27" s="175"/>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79</v>
      </c>
      <c r="B28" s="176"/>
      <c r="C28" s="176"/>
      <c r="D28" s="100">
        <f>IF($C$15&lt;0,0,IF($C$15&gt;833000,833000,$C$15))</f>
        <v>0</v>
      </c>
      <c r="E28" s="101" t="s">
        <v>41</v>
      </c>
      <c r="F28" s="102" t="s">
        <v>8</v>
      </c>
      <c r="G28" s="103"/>
      <c r="H28" s="103"/>
      <c r="I28" s="103">
        <f>'Rider Rates'!$B$4</f>
        <v>4.6278999999999999E-3</v>
      </c>
      <c r="J28" s="103">
        <f t="shared" ref="J28:J44" si="0">SUM(G28:I28)</f>
        <v>4.6278999999999999E-3</v>
      </c>
      <c r="K28" s="104" t="s">
        <v>42</v>
      </c>
      <c r="L28" s="105"/>
      <c r="M28" s="105"/>
      <c r="N28" s="105">
        <f t="shared" ref="N28:N33" si="1">ROUND(D28*I28,2)</f>
        <v>0</v>
      </c>
      <c r="O28" s="105">
        <f t="shared" ref="O28:O44" si="2">SUM(L28:N28)</f>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80</v>
      </c>
      <c r="B29" s="78"/>
      <c r="C29" s="78"/>
      <c r="D29" s="123">
        <f>IF($C$15&gt;833000,$C$15-833000,0)</f>
        <v>0</v>
      </c>
      <c r="E29" s="101" t="s">
        <v>41</v>
      </c>
      <c r="F29" s="102" t="s">
        <v>8</v>
      </c>
      <c r="G29" s="103"/>
      <c r="H29" s="103"/>
      <c r="I29" s="103">
        <f>'Rider Rates'!$B$5</f>
        <v>1.7560000000000001E-4</v>
      </c>
      <c r="J29" s="103">
        <f t="shared" si="0"/>
        <v>1.7560000000000001E-4</v>
      </c>
      <c r="K29" s="104" t="s">
        <v>42</v>
      </c>
      <c r="L29" s="105"/>
      <c r="M29" s="105"/>
      <c r="N29" s="105">
        <f t="shared" si="1"/>
        <v>0</v>
      </c>
      <c r="O29" s="105">
        <f t="shared" si="2"/>
        <v>0</v>
      </c>
      <c r="P29" s="245">
        <f>'Rider Rates'!$D$4</f>
        <v>45657</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97</v>
      </c>
      <c r="B30" s="78"/>
      <c r="C30" s="78"/>
      <c r="D30" s="100">
        <f>IF('Customer Info'!$C$32=TRUE,0,IF($C$15&lt;0,0,IF($C$15&gt;2000,2000,$C$15)))</f>
        <v>0</v>
      </c>
      <c r="E30" s="101" t="s">
        <v>41</v>
      </c>
      <c r="F30" s="102" t="s">
        <v>8</v>
      </c>
      <c r="G30" s="103"/>
      <c r="H30" s="103"/>
      <c r="I30" s="177">
        <f>'Rider Rates'!$B$8</f>
        <v>4.6499999999999996E-3</v>
      </c>
      <c r="J30" s="177">
        <f t="shared" si="0"/>
        <v>4.6499999999999996E-3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98</v>
      </c>
      <c r="B31" s="78"/>
      <c r="C31" s="78"/>
      <c r="D31" s="100">
        <f>IF('Customer Info'!$C$32=TRUE,0,IF($C$15&lt;=2000,0,IF($C$15=0,0,IF($C$15-2000&gt;13000,13000,$C$15-2000))))</f>
        <v>0</v>
      </c>
      <c r="E31" s="101" t="s">
        <v>41</v>
      </c>
      <c r="F31" s="102" t="s">
        <v>8</v>
      </c>
      <c r="G31" s="103"/>
      <c r="H31" s="103"/>
      <c r="I31" s="177">
        <f>'Rider Rates'!$B$9</f>
        <v>4.1900000000000001E-3</v>
      </c>
      <c r="J31" s="177">
        <f t="shared" si="0"/>
        <v>4.1900000000000001E-3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99" t="s">
        <v>99</v>
      </c>
      <c r="B32" s="78"/>
      <c r="C32" s="78"/>
      <c r="D32" s="100">
        <f>IF('Customer Info'!$C$32=TRUE,0,IF($C$15=0,0,IF($C$15-15000&gt;=0,$C$15-15000,0)))</f>
        <v>0</v>
      </c>
      <c r="E32" s="101" t="s">
        <v>41</v>
      </c>
      <c r="F32" s="102" t="s">
        <v>8</v>
      </c>
      <c r="G32" s="103"/>
      <c r="H32" s="103"/>
      <c r="I32" s="177">
        <f>'Rider Rates'!$B$10</f>
        <v>3.63E-3</v>
      </c>
      <c r="J32" s="177">
        <f t="shared" si="0"/>
        <v>3.63E-3</v>
      </c>
      <c r="K32" s="104" t="s">
        <v>42</v>
      </c>
      <c r="L32" s="105"/>
      <c r="M32" s="105"/>
      <c r="N32" s="105">
        <f t="shared" si="1"/>
        <v>0</v>
      </c>
      <c r="O32" s="105">
        <f t="shared" si="2"/>
        <v>0</v>
      </c>
      <c r="P32" s="245">
        <f>'Rider Rates'!$D$7</f>
        <v>44531</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159</v>
      </c>
      <c r="B33" s="78"/>
      <c r="C33" s="78"/>
      <c r="D33" s="100">
        <f>IF($C$15&lt;0,0,$C$15)</f>
        <v>0</v>
      </c>
      <c r="E33" s="101" t="s">
        <v>41</v>
      </c>
      <c r="F33" s="102" t="s">
        <v>8</v>
      </c>
      <c r="G33" s="103"/>
      <c r="H33" s="103"/>
      <c r="I33" s="103">
        <f>'Rider Rates'!$B$16</f>
        <v>0</v>
      </c>
      <c r="J33" s="103">
        <f>SUM(G33:I33)</f>
        <v>0</v>
      </c>
      <c r="K33" s="104" t="s">
        <v>42</v>
      </c>
      <c r="L33" s="105"/>
      <c r="M33" s="105"/>
      <c r="N33" s="105">
        <f t="shared" si="1"/>
        <v>0</v>
      </c>
      <c r="O33" s="105">
        <f t="shared" si="2"/>
        <v>0</v>
      </c>
      <c r="P33" s="245">
        <f>'Rider Rates'!$D$16</f>
        <v>45322</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237</v>
      </c>
      <c r="B34" s="78"/>
      <c r="C34" s="78"/>
      <c r="D34" s="195">
        <f>$N$24</f>
        <v>9.4</v>
      </c>
      <c r="E34" s="101" t="s">
        <v>122</v>
      </c>
      <c r="F34" s="102" t="s">
        <v>8</v>
      </c>
      <c r="G34" s="103"/>
      <c r="H34" s="103"/>
      <c r="I34" s="178">
        <f>'Rider Rates'!$B$18+'Rider Rates'!$E$18</f>
        <v>0</v>
      </c>
      <c r="J34" s="178">
        <f>SUM(G34:I34)</f>
        <v>0</v>
      </c>
      <c r="K34" s="104"/>
      <c r="L34" s="105"/>
      <c r="M34" s="105"/>
      <c r="N34" s="105">
        <f>ROUND($D$34*'Rider Rates'!$B$18,2)+ROUND($D$34*'Rider Rates'!$E$18,2)</f>
        <v>0</v>
      </c>
      <c r="O34" s="105">
        <f t="shared" si="2"/>
        <v>0</v>
      </c>
      <c r="P34" s="245">
        <f>MAX('Rider Rates'!$D$18,'Rider Rates'!$F$18)</f>
        <v>44531</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41" t="s">
        <v>210</v>
      </c>
      <c r="B35" s="78"/>
      <c r="C35" s="78"/>
      <c r="D35" s="100">
        <f>IF($C$15&lt;0,0,IF($C$15&gt;833000,833000,$C$15))</f>
        <v>0</v>
      </c>
      <c r="E35" s="101" t="s">
        <v>41</v>
      </c>
      <c r="F35" s="102" t="s">
        <v>8</v>
      </c>
      <c r="G35" s="103"/>
      <c r="H35" s="103"/>
      <c r="I35" s="103">
        <f>'Rider Rates'!D49</f>
        <v>1.8006999999999999E-3</v>
      </c>
      <c r="J35" s="103">
        <f>SUM(G35:I35)</f>
        <v>1.8006999999999999E-3</v>
      </c>
      <c r="K35" s="104" t="s">
        <v>42</v>
      </c>
      <c r="L35" s="105"/>
      <c r="M35" s="105"/>
      <c r="N35" s="105">
        <f>D35*J35</f>
        <v>0</v>
      </c>
      <c r="O35" s="105">
        <f t="shared" si="2"/>
        <v>0</v>
      </c>
      <c r="P35" s="245">
        <f>'Rider Rates'!E49</f>
        <v>45658</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189</v>
      </c>
      <c r="B36" s="78"/>
      <c r="C36" s="78"/>
      <c r="D36" s="100">
        <f>IF($C$15&lt;0,0,$C$15)</f>
        <v>0</v>
      </c>
      <c r="E36" s="113" t="s">
        <v>41</v>
      </c>
      <c r="F36" s="102" t="s">
        <v>8</v>
      </c>
      <c r="G36" s="103"/>
      <c r="H36" s="103">
        <f>'Rider Rates'!$B$56</f>
        <v>2.3467399999999999E-2</v>
      </c>
      <c r="I36" s="103"/>
      <c r="J36" s="103">
        <f>SUM(G36:I36)</f>
        <v>2.3467399999999999E-2</v>
      </c>
      <c r="K36" s="104" t="s">
        <v>42</v>
      </c>
      <c r="L36" s="105"/>
      <c r="M36" s="105">
        <f>ROUND(D36*H36,2)</f>
        <v>0</v>
      </c>
      <c r="N36" s="205"/>
      <c r="O36" s="105">
        <f t="shared" si="2"/>
        <v>0</v>
      </c>
      <c r="P36" s="245">
        <f>'Rider Rates'!$D$56</f>
        <v>45383</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99" t="s">
        <v>96</v>
      </c>
      <c r="B37" s="78"/>
      <c r="C37" s="78"/>
      <c r="D37" s="100">
        <f>IF('Customer Info'!C34=TRUE,0,IF($C$15&lt;0,0,$C$15))</f>
        <v>0</v>
      </c>
      <c r="E37" s="101" t="s">
        <v>41</v>
      </c>
      <c r="F37" s="102" t="s">
        <v>8</v>
      </c>
      <c r="G37" s="103"/>
      <c r="H37" s="103"/>
      <c r="I37" s="103">
        <f>'Rider Rates'!$B$70+'Rider Rates'!$C$70</f>
        <v>0</v>
      </c>
      <c r="J37" s="103">
        <f t="shared" si="0"/>
        <v>0</v>
      </c>
      <c r="K37" s="104" t="s">
        <v>42</v>
      </c>
      <c r="L37" s="105"/>
      <c r="M37" s="105"/>
      <c r="N37" s="105">
        <f>ROUND($D$37*'Rider Rates'!$B$70,2)+ROUND($D$37*'Rider Rates'!$C$70,2)</f>
        <v>0</v>
      </c>
      <c r="O37" s="105">
        <f t="shared" si="2"/>
        <v>0</v>
      </c>
      <c r="P37" s="245">
        <f>'Rider Rates'!$D$70</f>
        <v>45444</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99" t="s">
        <v>96</v>
      </c>
      <c r="B38" s="78"/>
      <c r="C38" s="78"/>
      <c r="D38" s="100"/>
      <c r="E38" s="101" t="s">
        <v>115</v>
      </c>
      <c r="F38" s="102"/>
      <c r="G38" s="103"/>
      <c r="H38" s="103"/>
      <c r="I38" s="196">
        <f>'Rider Rates'!$B$77</f>
        <v>0</v>
      </c>
      <c r="J38" s="196">
        <f>IF('Customer Info'!C34=TRUE,0,SUM(G38:I38))</f>
        <v>0</v>
      </c>
      <c r="K38" s="104"/>
      <c r="L38" s="105"/>
      <c r="M38" s="105"/>
      <c r="N38" s="105">
        <f>J38</f>
        <v>0</v>
      </c>
      <c r="O38" s="105">
        <f>SUM(L38:N38)</f>
        <v>0</v>
      </c>
      <c r="P38" s="245">
        <f>'Rider Rates'!$D$77</f>
        <v>45444</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99" t="s">
        <v>81</v>
      </c>
      <c r="B39" s="78"/>
      <c r="C39" s="78"/>
      <c r="D39" s="195">
        <f>$N$24</f>
        <v>9.4</v>
      </c>
      <c r="E39" s="101" t="s">
        <v>122</v>
      </c>
      <c r="F39" s="102" t="s">
        <v>8</v>
      </c>
      <c r="G39" s="111"/>
      <c r="H39" s="112"/>
      <c r="I39" s="120">
        <f>'Rider Rates'!$B$85</f>
        <v>4.94232E-2</v>
      </c>
      <c r="J39" s="120">
        <f t="shared" si="0"/>
        <v>4.94232E-2</v>
      </c>
      <c r="K39" s="104"/>
      <c r="L39" s="105"/>
      <c r="M39" s="105"/>
      <c r="N39" s="105">
        <f>ROUND(D39*I39,2)</f>
        <v>0.46</v>
      </c>
      <c r="O39" s="105">
        <f t="shared" si="2"/>
        <v>0.46</v>
      </c>
      <c r="P39" s="245">
        <f>'Rider Rates'!$D$85</f>
        <v>45562</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82</v>
      </c>
      <c r="B40" s="78"/>
      <c r="C40" s="78"/>
      <c r="D40" s="195">
        <f>$N$24</f>
        <v>9.4</v>
      </c>
      <c r="E40" s="101" t="s">
        <v>122</v>
      </c>
      <c r="F40" s="102" t="s">
        <v>8</v>
      </c>
      <c r="G40" s="114"/>
      <c r="H40" s="115"/>
      <c r="I40" s="120">
        <f>'Rider Rates'!$B$87</f>
        <v>6.6985699999999995E-2</v>
      </c>
      <c r="J40" s="120">
        <f t="shared" si="0"/>
        <v>6.6985699999999995E-2</v>
      </c>
      <c r="K40" s="104"/>
      <c r="L40" s="105"/>
      <c r="M40" s="105"/>
      <c r="N40" s="105">
        <f>ROUND(D40*I40,2)</f>
        <v>0.63</v>
      </c>
      <c r="O40" s="105">
        <f t="shared" si="2"/>
        <v>0.63</v>
      </c>
      <c r="P40" s="245">
        <f>'Rider Rates'!$D$87</f>
        <v>45167</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210" t="s">
        <v>206</v>
      </c>
      <c r="B41" s="78"/>
      <c r="C41" s="78"/>
      <c r="D41" s="195"/>
      <c r="E41" s="113" t="s">
        <v>115</v>
      </c>
      <c r="F41" s="106"/>
      <c r="G41" s="114"/>
      <c r="H41" s="115"/>
      <c r="I41" s="196">
        <f>'Rider Rates'!$B$91</f>
        <v>17.53</v>
      </c>
      <c r="J41" s="196">
        <f t="shared" si="0"/>
        <v>17.53</v>
      </c>
      <c r="K41" s="104"/>
      <c r="L41" s="105"/>
      <c r="M41" s="105"/>
      <c r="N41" s="105">
        <f>I41</f>
        <v>17.53</v>
      </c>
      <c r="O41" s="105">
        <f t="shared" si="2"/>
        <v>17.53</v>
      </c>
      <c r="P41" s="245">
        <f>'Rider Rates'!$D$91</f>
        <v>45657</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156</v>
      </c>
      <c r="B42" s="78"/>
      <c r="C42" s="78"/>
      <c r="D42" s="195">
        <f>$N$24</f>
        <v>9.4</v>
      </c>
      <c r="E42" s="101" t="s">
        <v>122</v>
      </c>
      <c r="F42" s="102" t="s">
        <v>8</v>
      </c>
      <c r="G42" s="114"/>
      <c r="H42" s="115"/>
      <c r="I42" s="120">
        <f>'Rider Rates'!$B$105</f>
        <v>0.2363101</v>
      </c>
      <c r="J42" s="120">
        <f t="shared" si="0"/>
        <v>0.2363101</v>
      </c>
      <c r="K42" s="104"/>
      <c r="L42" s="105"/>
      <c r="M42" s="105"/>
      <c r="N42" s="105">
        <f>ROUND(D42*I42,2)</f>
        <v>2.2200000000000002</v>
      </c>
      <c r="O42" s="105">
        <f t="shared" si="2"/>
        <v>2.2200000000000002</v>
      </c>
      <c r="P42" s="245">
        <f>'Rider Rates'!$D$105</f>
        <v>45622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210" t="s">
        <v>209</v>
      </c>
      <c r="B43" s="78"/>
      <c r="C43" s="78"/>
      <c r="D43" s="195"/>
      <c r="E43" s="113" t="s">
        <v>115</v>
      </c>
      <c r="F43" s="106"/>
      <c r="G43" s="114"/>
      <c r="H43" s="115"/>
      <c r="I43" s="196">
        <f>'Rider Rates'!$B$109</f>
        <v>0</v>
      </c>
      <c r="J43" s="196">
        <f t="shared" si="0"/>
        <v>0</v>
      </c>
      <c r="K43" s="104"/>
      <c r="L43" s="105"/>
      <c r="M43" s="105"/>
      <c r="N43" s="105">
        <f>I43</f>
        <v>0</v>
      </c>
      <c r="O43" s="105">
        <f t="shared" si="2"/>
        <v>0</v>
      </c>
      <c r="P43" s="245">
        <f>'Rider Rates'!$D$109</f>
        <v>44894</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217</v>
      </c>
      <c r="B44" s="78"/>
      <c r="C44" s="78"/>
      <c r="D44" s="195"/>
      <c r="E44" s="113" t="s">
        <v>115</v>
      </c>
      <c r="F44" s="106"/>
      <c r="G44" s="114"/>
      <c r="H44" s="115"/>
      <c r="I44" s="258">
        <f>'Rider Rates'!B122</f>
        <v>4.84</v>
      </c>
      <c r="J44" s="196">
        <f t="shared" si="0"/>
        <v>4.84</v>
      </c>
      <c r="K44" s="104"/>
      <c r="L44" s="105"/>
      <c r="M44" s="105"/>
      <c r="N44" s="260">
        <f>I44</f>
        <v>4.84</v>
      </c>
      <c r="O44" s="105">
        <f t="shared" si="2"/>
        <v>4.84</v>
      </c>
      <c r="P44" s="245">
        <f>'Rider Rates'!D122</f>
        <v>45593</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208</v>
      </c>
      <c r="B45" s="78"/>
      <c r="C45" s="78"/>
      <c r="D45" s="100">
        <f>IF($C$15&lt;1,0,$C$15)</f>
        <v>0</v>
      </c>
      <c r="E45" s="101" t="s">
        <v>41</v>
      </c>
      <c r="F45" s="249" t="s">
        <v>8</v>
      </c>
      <c r="G45" s="165"/>
      <c r="H45" s="165"/>
      <c r="I45" s="251">
        <f>'Rider Rates'!B118</f>
        <v>0</v>
      </c>
      <c r="J45" s="251">
        <f>SUM(G45:I45)</f>
        <v>0</v>
      </c>
      <c r="K45" s="104" t="s">
        <v>42</v>
      </c>
      <c r="L45" s="105"/>
      <c r="M45" s="105"/>
      <c r="N45" s="105">
        <f>D45*J45</f>
        <v>0</v>
      </c>
      <c r="O45" s="105">
        <f>SUM(L45:N45)</f>
        <v>0</v>
      </c>
      <c r="P45" s="245">
        <f>'Rider Rates'!D118</f>
        <v>45657</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78" t="s">
        <v>233</v>
      </c>
      <c r="B46" s="78"/>
      <c r="C46" s="78"/>
      <c r="D46" s="100">
        <f>IF(C15&lt;0,0,IF(C15&gt;833000,833000,C15))</f>
        <v>0</v>
      </c>
      <c r="E46" s="101" t="s">
        <v>41</v>
      </c>
      <c r="F46" s="102" t="s">
        <v>8</v>
      </c>
      <c r="G46" s="265"/>
      <c r="H46" s="265"/>
      <c r="I46" s="265">
        <f>'Rider Rates'!B126</f>
        <v>2.9050000000000001E-4</v>
      </c>
      <c r="J46" s="265">
        <f>SUM(G46:I46)</f>
        <v>2.9050000000000001E-4</v>
      </c>
      <c r="K46" s="104" t="s">
        <v>42</v>
      </c>
      <c r="L46" s="266"/>
      <c r="M46" s="266"/>
      <c r="N46" s="266">
        <f>IF(D46*J46&gt;'Rider Rates'!$C$126,'Rider Rates'!$C$126,D46*J46)</f>
        <v>0</v>
      </c>
      <c r="O46" s="266">
        <f>SUM(L46:N46)</f>
        <v>0</v>
      </c>
      <c r="P46" s="264">
        <f>'Rider Rates'!$E$126</f>
        <v>45658</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78" t="s">
        <v>234</v>
      </c>
      <c r="B47" s="78"/>
      <c r="C47" s="78"/>
      <c r="D47" s="123">
        <f>IF(C15&gt;833000,C15-833000,0)</f>
        <v>0</v>
      </c>
      <c r="E47" s="101" t="s">
        <v>41</v>
      </c>
      <c r="F47" s="102" t="s">
        <v>8</v>
      </c>
      <c r="G47" s="265"/>
      <c r="H47" s="265"/>
      <c r="I47" s="265">
        <f>'Rider Rates'!B127</f>
        <v>0</v>
      </c>
      <c r="J47" s="265">
        <f>SUM(G47:I47)</f>
        <v>0</v>
      </c>
      <c r="K47" s="104" t="s">
        <v>42</v>
      </c>
      <c r="L47" s="266"/>
      <c r="M47" s="266"/>
      <c r="N47" s="266">
        <f>D47*J47</f>
        <v>0</v>
      </c>
      <c r="O47" s="266">
        <f>SUM(L47:N47)</f>
        <v>0</v>
      </c>
      <c r="P47" s="264">
        <f>'Rider Rates'!$E$127</f>
        <v>45658</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41" t="s">
        <v>242</v>
      </c>
      <c r="B48" s="78"/>
      <c r="C48" s="78"/>
      <c r="D48" s="100">
        <f>C15</f>
        <v>0</v>
      </c>
      <c r="E48" s="101" t="s">
        <v>41</v>
      </c>
      <c r="F48" s="249" t="s">
        <v>8</v>
      </c>
      <c r="G48" s="103"/>
      <c r="H48" s="103"/>
      <c r="I48" s="103">
        <f>'Rider Rates'!$B$131</f>
        <v>0</v>
      </c>
      <c r="J48" s="237">
        <f>SUM(G48:I48)</f>
        <v>0</v>
      </c>
      <c r="K48" s="104" t="s">
        <v>42</v>
      </c>
      <c r="L48" s="105"/>
      <c r="M48" s="105"/>
      <c r="N48" s="105">
        <f>D48*J48</f>
        <v>0</v>
      </c>
      <c r="O48" s="105">
        <f>SUM(L48:N48)</f>
        <v>0</v>
      </c>
      <c r="P48" s="245">
        <f>'Rider Rates'!$D$131</f>
        <v>44531</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241" t="s">
        <v>241</v>
      </c>
      <c r="B49" s="78"/>
      <c r="C49" s="78"/>
      <c r="D49" s="100"/>
      <c r="E49" s="101" t="s">
        <v>115</v>
      </c>
      <c r="F49" s="102" t="s">
        <v>8</v>
      </c>
      <c r="G49" s="263"/>
      <c r="H49" s="263"/>
      <c r="I49" s="263">
        <f>'Rider Rates'!$B$138</f>
        <v>0</v>
      </c>
      <c r="J49" s="263">
        <f>SUM(G49:I49)</f>
        <v>0</v>
      </c>
      <c r="K49" s="104"/>
      <c r="L49" s="209"/>
      <c r="M49" s="209"/>
      <c r="N49" s="209">
        <f>J49</f>
        <v>0</v>
      </c>
      <c r="O49" s="209">
        <f>SUM(L49:N49)</f>
        <v>0</v>
      </c>
      <c r="P49" s="264">
        <f>'Rider Rates'!D138</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41" t="s">
        <v>243</v>
      </c>
      <c r="B50" s="78"/>
      <c r="C50" s="78"/>
      <c r="D50" s="100"/>
      <c r="E50" s="101"/>
      <c r="F50" s="102"/>
      <c r="G50" s="263"/>
      <c r="H50" s="263"/>
      <c r="I50" s="263"/>
      <c r="J50" s="263"/>
      <c r="K50" s="104"/>
      <c r="L50" s="209"/>
      <c r="M50" s="209"/>
      <c r="N50" s="209"/>
      <c r="O50" s="209"/>
      <c r="P50" s="264"/>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179" t="s">
        <v>71</v>
      </c>
      <c r="B51" s="148"/>
      <c r="C51" s="148"/>
      <c r="D51" s="180"/>
      <c r="E51" s="181"/>
      <c r="F51" s="182"/>
      <c r="G51" s="182"/>
      <c r="H51" s="182"/>
      <c r="I51" s="182"/>
      <c r="J51" s="182"/>
      <c r="K51" s="183"/>
      <c r="L51" s="169">
        <f>SUM(L28:L50)</f>
        <v>0</v>
      </c>
      <c r="M51" s="169">
        <f t="shared" ref="M51:O51" si="3">SUM(M28:M50)</f>
        <v>0</v>
      </c>
      <c r="N51" s="169">
        <f t="shared" si="3"/>
        <v>25.68</v>
      </c>
      <c r="O51" s="169">
        <f t="shared" si="3"/>
        <v>25.68</v>
      </c>
      <c r="P51" s="184"/>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c r="B52" s="78"/>
      <c r="C52" s="78"/>
      <c r="D52" s="100"/>
      <c r="E52" s="113"/>
      <c r="F52" s="106"/>
      <c r="G52" s="106"/>
      <c r="H52" s="106"/>
      <c r="I52" s="106"/>
      <c r="J52" s="107"/>
      <c r="K52" s="104"/>
      <c r="L52" s="106"/>
      <c r="M52" s="106"/>
      <c r="N52" s="106"/>
      <c r="O52" s="106"/>
      <c r="P52" s="164"/>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185" t="s">
        <v>94</v>
      </c>
      <c r="B53" s="170"/>
      <c r="C53" s="170"/>
      <c r="D53" s="170"/>
      <c r="E53" s="170"/>
      <c r="F53" s="170"/>
      <c r="G53" s="170"/>
      <c r="H53" s="170"/>
      <c r="I53" s="170"/>
      <c r="J53" s="170"/>
      <c r="K53" s="170"/>
      <c r="L53" s="186">
        <f>L24+L51</f>
        <v>0</v>
      </c>
      <c r="M53" s="186">
        <f>M24+M51</f>
        <v>0</v>
      </c>
      <c r="N53" s="186">
        <f>N24+N51</f>
        <v>35.08</v>
      </c>
      <c r="O53" s="187">
        <f>O24+O51</f>
        <v>35.08</v>
      </c>
      <c r="P53" s="187"/>
      <c r="Q53" s="106"/>
      <c r="R53" s="188"/>
      <c r="S53" s="108"/>
      <c r="T53" s="109"/>
      <c r="U53" s="78"/>
      <c r="V53" s="10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78"/>
      <c r="B54" s="78"/>
      <c r="C54" s="78"/>
      <c r="D54" s="78"/>
      <c r="E54" s="78"/>
      <c r="F54" s="78"/>
      <c r="G54" s="78"/>
      <c r="H54" s="78"/>
      <c r="I54" s="78"/>
      <c r="J54" s="78"/>
      <c r="K54" s="78"/>
      <c r="L54" s="78"/>
      <c r="M54" s="78"/>
      <c r="N54" s="151"/>
      <c r="O54" s="151"/>
      <c r="P54" s="151"/>
      <c r="Q54" s="166"/>
      <c r="R54" s="166"/>
      <c r="S54" s="166"/>
      <c r="T54" s="189"/>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78"/>
      <c r="B55" s="78"/>
      <c r="C55" s="78"/>
      <c r="D55" s="78"/>
      <c r="E55" s="78"/>
      <c r="F55" s="78"/>
      <c r="G55" s="78"/>
      <c r="H55" s="78"/>
      <c r="I55" s="78"/>
      <c r="J55" s="78"/>
      <c r="K55" s="78"/>
      <c r="L55" s="78"/>
      <c r="M55" s="78"/>
      <c r="N55" s="151"/>
      <c r="O55" s="151"/>
      <c r="P55" s="151"/>
      <c r="Q55" s="166"/>
      <c r="R55" s="166"/>
      <c r="S55" s="166"/>
      <c r="T55" s="189"/>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66" t="s">
        <v>93</v>
      </c>
      <c r="B56" s="78"/>
      <c r="C56" s="78"/>
      <c r="D56" s="78"/>
      <c r="E56" s="78"/>
      <c r="F56" s="78"/>
      <c r="G56" s="78"/>
      <c r="H56" s="78"/>
      <c r="I56" s="78"/>
      <c r="J56" s="78"/>
      <c r="K56" s="78"/>
      <c r="L56" s="78"/>
      <c r="M56" s="78"/>
      <c r="N56" s="78"/>
      <c r="O56" s="109">
        <f>O21+O51</f>
        <v>35.08</v>
      </c>
      <c r="P56" s="151"/>
      <c r="Q56" s="166"/>
      <c r="R56" s="166"/>
      <c r="S56" s="166"/>
      <c r="T56" s="189"/>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166" t="s">
        <v>15</v>
      </c>
      <c r="B57" s="166"/>
      <c r="C57" s="166"/>
      <c r="D57" s="166"/>
      <c r="E57" s="166"/>
      <c r="F57" s="166"/>
      <c r="G57" s="166"/>
      <c r="H57" s="166"/>
      <c r="I57" s="78"/>
      <c r="J57" s="78"/>
      <c r="K57" s="78"/>
      <c r="L57" s="78"/>
      <c r="M57" s="78"/>
      <c r="N57" s="151"/>
      <c r="O57" s="151"/>
      <c r="P57" s="151"/>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48" t="s">
        <v>117</v>
      </c>
      <c r="B58" s="151"/>
      <c r="C58" s="151"/>
      <c r="D58" s="151"/>
      <c r="E58" s="151"/>
      <c r="F58" s="151"/>
      <c r="G58" s="151"/>
      <c r="H58" s="151"/>
      <c r="I58" s="151"/>
      <c r="J58" s="151"/>
      <c r="K58" s="151"/>
      <c r="L58" s="151"/>
      <c r="M58" s="151"/>
      <c r="N58" s="151"/>
      <c r="O58" s="190">
        <f>IF($D$17&lt;0,O53,IF(O53&gt;O56,O53,O56))</f>
        <v>35.08</v>
      </c>
      <c r="P58" s="160"/>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ht="15" customHeight="1" x14ac:dyDescent="0.25">
      <c r="A59" s="148"/>
      <c r="B59" s="151"/>
      <c r="C59" s="151"/>
      <c r="D59" s="151"/>
      <c r="E59" s="151"/>
      <c r="F59" s="151"/>
      <c r="G59" s="151"/>
      <c r="H59" s="151"/>
      <c r="I59" s="151"/>
      <c r="J59" s="151"/>
      <c r="K59" s="151"/>
      <c r="L59" s="151"/>
      <c r="M59" s="151"/>
      <c r="N59" s="151"/>
      <c r="O59" s="190"/>
      <c r="P59" s="160"/>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row>
    <row r="60" spans="1:236" x14ac:dyDescent="0.25">
      <c r="A60" s="148"/>
      <c r="B60" s="166"/>
      <c r="C60" s="166"/>
      <c r="D60" s="166"/>
      <c r="E60" s="166"/>
      <c r="F60" s="166"/>
      <c r="G60" s="166"/>
      <c r="H60" s="166"/>
      <c r="I60" s="166" t="s">
        <v>121</v>
      </c>
      <c r="J60" s="166"/>
      <c r="K60" s="166"/>
      <c r="L60" s="191"/>
      <c r="M60" s="191"/>
      <c r="N60" s="191"/>
      <c r="O60" s="191">
        <f>ROUND(IF($C$15&lt;1,0,O53/($C$15*100)*10000),2)</f>
        <v>0</v>
      </c>
      <c r="P60" s="37" t="s">
        <v>87</v>
      </c>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HE60" s="78"/>
      <c r="HF60" s="78"/>
      <c r="HG60" s="78"/>
      <c r="HH60" s="78"/>
      <c r="HI60" s="78"/>
      <c r="HJ60" s="78"/>
      <c r="HK60" s="78"/>
      <c r="HL60" s="78"/>
      <c r="HM60" s="78"/>
      <c r="HN60" s="78"/>
    </row>
    <row r="61" spans="1:236" x14ac:dyDescent="0.25">
      <c r="B61" s="78"/>
      <c r="C61" s="78"/>
      <c r="D61" s="78"/>
      <c r="E61" s="78"/>
      <c r="F61" s="78"/>
      <c r="G61" s="78"/>
      <c r="H61" s="192"/>
      <c r="I61" s="242" t="s">
        <v>190</v>
      </c>
      <c r="J61" s="78"/>
      <c r="K61" s="78"/>
      <c r="L61" s="78"/>
      <c r="M61" s="78"/>
      <c r="N61" s="78"/>
      <c r="O61" s="243">
        <f>ROUND(IF($C$15&lt;1,0,(L53)/($C$15*100)*10000),2)</f>
        <v>0</v>
      </c>
      <c r="P61" s="25" t="s">
        <v>87</v>
      </c>
      <c r="Q61" s="78"/>
      <c r="R61" s="78"/>
      <c r="S61" s="78"/>
      <c r="T61" s="78"/>
      <c r="U61" s="78"/>
      <c r="V61" s="78"/>
      <c r="W61" s="78"/>
      <c r="X61" s="78"/>
      <c r="Y61" s="78"/>
      <c r="Z61" s="78"/>
      <c r="AA61" s="78"/>
      <c r="AB61" s="78"/>
      <c r="AC61" s="78"/>
      <c r="AD61" s="78"/>
      <c r="AE61" s="78"/>
      <c r="AF61" s="78"/>
      <c r="AG61" s="78"/>
      <c r="AH61" s="78"/>
      <c r="AI61" s="78"/>
      <c r="AJ61" s="78"/>
      <c r="AK61" s="78"/>
    </row>
  </sheetData>
  <sheetProtection algorithmName="SHA-512" hashValue="oc+1jWJhBkmEymJamBBSjOIdAH5fKXm1ohvUb7j0bektXshWF00d7fQFWW0qJXkv2OZVH2rnB6nJGZ9tXSJp8A==" saltValue="i13jeZmygk40ps39pXZ1RA=="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Button 1">
              <controlPr defaultSize="0" print="0" autoFill="0" autoPict="0" macro="[0]!Info">
                <anchor moveWithCells="1">
                  <from>
                    <xdr:col>0</xdr:col>
                    <xdr:colOff>68580</xdr:colOff>
                    <xdr:row>0</xdr:row>
                    <xdr:rowOff>38100</xdr:rowOff>
                  </from>
                  <to>
                    <xdr:col>0</xdr:col>
                    <xdr:colOff>571500</xdr:colOff>
                    <xdr:row>0</xdr:row>
                    <xdr:rowOff>259080</xdr:rowOff>
                  </to>
                </anchor>
              </controlPr>
            </control>
          </mc:Choice>
        </mc:AlternateContent>
        <mc:AlternateContent xmlns:mc="http://schemas.openxmlformats.org/markup-compatibility/2006">
          <mc:Choice Requires="x14">
            <control shapeId="80898" r:id="rId5" name="Button 2">
              <controlPr defaultSize="0" print="0" autoFill="0" autoPict="0" macro="[0]!Info">
                <anchor moveWithCells="1">
                  <from>
                    <xdr:col>15</xdr:col>
                    <xdr:colOff>297180</xdr:colOff>
                    <xdr:row>68</xdr:row>
                    <xdr:rowOff>76200</xdr:rowOff>
                  </from>
                  <to>
                    <xdr:col>15</xdr:col>
                    <xdr:colOff>807720</xdr:colOff>
                    <xdr:row>69</xdr:row>
                    <xdr:rowOff>152400</xdr:rowOff>
                  </to>
                </anchor>
              </controlPr>
            </control>
          </mc:Choice>
        </mc:AlternateContent>
        <mc:AlternateContent xmlns:mc="http://schemas.openxmlformats.org/markup-compatibility/2006">
          <mc:Choice Requires="x14">
            <control shapeId="80899"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0900"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0901"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0902"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2DA1-9BFD-4CEA-95E9-D566FA62B19B}">
  <sheetPr codeName="Sheet13"/>
  <dimension ref="A1:IB66"/>
  <sheetViews>
    <sheetView showGridLines="0" topLeftCell="A19" zoomScale="80" zoomScaleNormal="80" workbookViewId="0">
      <selection activeCell="Q58" sqref="Q58"/>
    </sheetView>
  </sheetViews>
  <sheetFormatPr defaultRowHeight="13.2" x14ac:dyDescent="0.25"/>
  <cols>
    <col min="1" max="1" width="31" customWidth="1"/>
    <col min="2" max="2" width="2.109375" customWidth="1"/>
    <col min="3" max="3" width="21.109375" customWidth="1"/>
    <col min="4" max="4" width="15.44140625" customWidth="1"/>
    <col min="5" max="5" width="10.109375" customWidth="1"/>
    <col min="6" max="6" width="5.5546875" customWidth="1"/>
    <col min="7" max="8" width="13.44140625" customWidth="1"/>
    <col min="9" max="9" width="14.5546875" customWidth="1"/>
    <col min="10" max="10" width="13.44140625" customWidth="1"/>
    <col min="11" max="11" width="7" customWidth="1"/>
    <col min="12" max="12" width="15.109375" customWidth="1"/>
    <col min="13" max="13" width="17.44140625" bestFit="1" customWidth="1"/>
    <col min="14" max="14" width="16.5546875" customWidth="1"/>
    <col min="15" max="15" width="19.109375" bestFit="1" customWidth="1"/>
    <col min="16" max="16" width="12.88671875" bestFit="1" customWidth="1"/>
    <col min="18" max="18" width="9.109375" hidden="1" customWidth="1"/>
    <col min="19" max="26" width="10.44140625" hidden="1" customWidth="1"/>
    <col min="27" max="27" width="10.5546875" hidden="1" customWidth="1"/>
    <col min="28" max="30" width="10.44140625" hidden="1" customWidth="1"/>
  </cols>
  <sheetData>
    <row r="1" spans="1:30" ht="21" x14ac:dyDescent="0.4">
      <c r="A1" s="494" t="s">
        <v>120</v>
      </c>
      <c r="B1" s="494"/>
      <c r="C1" s="494"/>
      <c r="D1" s="494"/>
      <c r="E1" s="494"/>
      <c r="F1" s="494"/>
      <c r="G1" s="494"/>
      <c r="H1" s="494"/>
      <c r="I1" s="494"/>
      <c r="J1" s="494"/>
      <c r="K1" s="494"/>
      <c r="L1" s="494"/>
      <c r="M1" s="494"/>
      <c r="N1" s="494"/>
      <c r="O1" s="494"/>
      <c r="P1" s="494"/>
    </row>
    <row r="2" spans="1:30" ht="21" x14ac:dyDescent="0.4">
      <c r="A2" s="479" t="s">
        <v>278</v>
      </c>
      <c r="B2" s="479"/>
      <c r="C2" s="479"/>
      <c r="D2" s="479"/>
      <c r="E2" s="479"/>
      <c r="F2" s="479"/>
      <c r="G2" s="479"/>
      <c r="H2" s="479"/>
      <c r="I2" s="479"/>
      <c r="J2" s="479"/>
      <c r="K2" s="479"/>
      <c r="L2" s="479"/>
      <c r="M2" s="479"/>
      <c r="N2" s="479"/>
      <c r="O2" s="479"/>
      <c r="P2" s="479"/>
    </row>
    <row r="3" spans="1:30" ht="17.399999999999999" x14ac:dyDescent="0.3">
      <c r="A3" s="495" t="s">
        <v>84</v>
      </c>
      <c r="B3" s="495"/>
      <c r="C3" s="495"/>
      <c r="D3" s="495"/>
      <c r="E3" s="495"/>
      <c r="F3" s="495"/>
      <c r="G3" s="495"/>
      <c r="H3" s="495"/>
      <c r="I3" s="495"/>
      <c r="J3" s="495"/>
      <c r="K3" s="495"/>
      <c r="L3" s="495"/>
      <c r="M3" s="495"/>
      <c r="N3" s="495"/>
      <c r="O3" s="495"/>
      <c r="P3" s="495"/>
    </row>
    <row r="4" spans="1:30"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30" ht="15" x14ac:dyDescent="0.25">
      <c r="A5" s="75"/>
      <c r="B5" s="75"/>
      <c r="C5" s="75"/>
      <c r="D5" s="75"/>
      <c r="E5" s="75"/>
      <c r="F5" s="75"/>
      <c r="G5" s="75"/>
      <c r="H5" s="75"/>
      <c r="I5" s="75"/>
      <c r="J5" s="75"/>
      <c r="K5" s="75"/>
    </row>
    <row r="6" spans="1:30" x14ac:dyDescent="0.25">
      <c r="A6" s="327">
        <f ca="1">TODAY()</f>
        <v>45657</v>
      </c>
      <c r="B6" s="210" t="s">
        <v>229</v>
      </c>
      <c r="C6" s="327"/>
      <c r="D6" s="327"/>
      <c r="E6" s="327"/>
      <c r="F6" s="327"/>
      <c r="G6" s="327"/>
      <c r="H6" s="327"/>
      <c r="I6" s="327"/>
    </row>
    <row r="7" spans="1:30" ht="24.6" x14ac:dyDescent="0.4">
      <c r="A7" s="505"/>
      <c r="B7" s="505"/>
      <c r="C7" s="505"/>
      <c r="D7" s="505"/>
      <c r="E7" s="505"/>
      <c r="F7" s="505"/>
      <c r="G7" s="505"/>
      <c r="H7" s="505"/>
      <c r="I7" s="505"/>
      <c r="J7" s="505"/>
      <c r="K7" s="505"/>
      <c r="L7" s="505"/>
      <c r="M7" s="505"/>
      <c r="N7" s="505"/>
      <c r="O7" s="505"/>
      <c r="P7" s="505"/>
    </row>
    <row r="8" spans="1:30" x14ac:dyDescent="0.25">
      <c r="C8" s="18"/>
      <c r="D8" s="18"/>
      <c r="E8" s="18"/>
      <c r="F8" s="18"/>
      <c r="G8" s="18"/>
      <c r="H8" s="18"/>
      <c r="I8" s="18"/>
      <c r="J8" s="18"/>
      <c r="K8" s="18"/>
    </row>
    <row r="9" spans="1:30" ht="15" x14ac:dyDescent="0.25">
      <c r="A9" s="23" t="s">
        <v>2</v>
      </c>
      <c r="B9" s="24"/>
      <c r="C9" s="25">
        <f>'Customer Info'!B7</f>
        <v>0</v>
      </c>
      <c r="I9" s="26"/>
    </row>
    <row r="10" spans="1:30" ht="15" x14ac:dyDescent="0.25">
      <c r="A10" s="27" t="s">
        <v>26</v>
      </c>
      <c r="B10" s="24"/>
      <c r="C10" s="25">
        <f>'Customer Info'!B8</f>
        <v>0</v>
      </c>
    </row>
    <row r="11" spans="1:30" x14ac:dyDescent="0.25">
      <c r="A11" s="23" t="s">
        <v>3</v>
      </c>
      <c r="B11" s="200">
        <f>'Customer Info'!B9</f>
        <v>1</v>
      </c>
      <c r="C11" s="194" t="str">
        <f>LOOKUP(B11,R11:AD11,R12:AD12)</f>
        <v>January</v>
      </c>
      <c r="D11" s="133">
        <f>'Customer Info'!C9</f>
        <v>2025</v>
      </c>
      <c r="S11">
        <v>1</v>
      </c>
      <c r="T11">
        <v>2</v>
      </c>
      <c r="U11">
        <v>3</v>
      </c>
      <c r="V11">
        <v>4</v>
      </c>
      <c r="W11">
        <v>5</v>
      </c>
      <c r="X11">
        <v>6</v>
      </c>
      <c r="Y11">
        <v>7</v>
      </c>
      <c r="Z11">
        <v>8</v>
      </c>
      <c r="AA11">
        <v>9</v>
      </c>
      <c r="AB11">
        <v>10</v>
      </c>
      <c r="AC11">
        <v>11</v>
      </c>
      <c r="AD11">
        <v>12</v>
      </c>
    </row>
    <row r="12" spans="1:30" x14ac:dyDescent="0.25">
      <c r="A12" s="493"/>
      <c r="B12" s="493"/>
      <c r="C12" s="493"/>
      <c r="D12" s="493"/>
      <c r="E12" s="493"/>
      <c r="F12" s="493"/>
      <c r="G12" s="493"/>
      <c r="H12" s="493"/>
      <c r="I12" s="493"/>
      <c r="J12" s="92"/>
      <c r="K12" s="92"/>
      <c r="L12" s="128"/>
      <c r="M12" s="128"/>
      <c r="N12" s="128"/>
      <c r="O12" s="128"/>
      <c r="P12" s="128"/>
      <c r="R12" t="s">
        <v>115</v>
      </c>
      <c r="S12" s="145" t="s">
        <v>102</v>
      </c>
      <c r="T12" s="145" t="s">
        <v>103</v>
      </c>
      <c r="U12" s="145" t="s">
        <v>104</v>
      </c>
      <c r="V12" s="145" t="s">
        <v>105</v>
      </c>
      <c r="W12" s="145" t="s">
        <v>106</v>
      </c>
      <c r="X12" s="145" t="s">
        <v>107</v>
      </c>
      <c r="Y12" s="145" t="s">
        <v>108</v>
      </c>
      <c r="Z12" s="145" t="s">
        <v>109</v>
      </c>
      <c r="AA12" s="145" t="s">
        <v>110</v>
      </c>
      <c r="AB12" s="145" t="s">
        <v>112</v>
      </c>
      <c r="AC12" s="145" t="s">
        <v>111</v>
      </c>
      <c r="AD12" s="145" t="s">
        <v>113</v>
      </c>
    </row>
    <row r="13" spans="1:30" x14ac:dyDescent="0.25">
      <c r="A13" s="28" t="s">
        <v>27</v>
      </c>
      <c r="B13" s="22"/>
      <c r="C13" s="22"/>
      <c r="D13" s="22"/>
      <c r="E13" s="22"/>
      <c r="F13" s="22"/>
      <c r="G13" s="22"/>
      <c r="H13" s="22"/>
      <c r="I13" s="22"/>
      <c r="R13" s="3" t="s">
        <v>187</v>
      </c>
      <c r="S13">
        <f>'Rider Rates'!$C$22</f>
        <v>7.0209999999999995E-2</v>
      </c>
      <c r="T13">
        <f>'Rider Rates'!$C$22</f>
        <v>7.0209999999999995E-2</v>
      </c>
      <c r="U13">
        <f>'Rider Rates'!$C$22</f>
        <v>7.0209999999999995E-2</v>
      </c>
      <c r="V13">
        <f>'Rider Rates'!$C$22</f>
        <v>7.0209999999999995E-2</v>
      </c>
      <c r="W13">
        <f>'Rider Rates'!$C$22</f>
        <v>7.0209999999999995E-2</v>
      </c>
      <c r="X13">
        <f>'Rider Rates'!$B$22</f>
        <v>7.0209999999999995E-2</v>
      </c>
      <c r="Y13">
        <f>'Rider Rates'!$B$22</f>
        <v>7.0209999999999995E-2</v>
      </c>
      <c r="Z13">
        <f>'Rider Rates'!$B$22</f>
        <v>7.0209999999999995E-2</v>
      </c>
      <c r="AA13">
        <f>'Rider Rates'!$B$22</f>
        <v>7.0209999999999995E-2</v>
      </c>
      <c r="AB13">
        <f>'Rider Rates'!$C$22</f>
        <v>7.0209999999999995E-2</v>
      </c>
      <c r="AC13">
        <f>'Rider Rates'!$C$22</f>
        <v>7.0209999999999995E-2</v>
      </c>
      <c r="AD13">
        <f>'Rider Rates'!$C$22</f>
        <v>7.0209999999999995E-2</v>
      </c>
    </row>
    <row r="14" spans="1:30" x14ac:dyDescent="0.25">
      <c r="A14" s="18"/>
      <c r="B14" s="18"/>
      <c r="C14" s="18"/>
      <c r="D14" s="18"/>
      <c r="E14" s="18"/>
      <c r="F14" s="18"/>
      <c r="G14" s="18"/>
      <c r="H14" s="18"/>
      <c r="I14" s="18"/>
      <c r="R14" s="78"/>
      <c r="S14" s="193"/>
      <c r="T14" s="193"/>
      <c r="U14" s="193"/>
      <c r="V14" s="193"/>
      <c r="W14" s="193"/>
      <c r="X14" s="193"/>
      <c r="Y14" s="193"/>
      <c r="Z14" s="193"/>
      <c r="AA14" s="193"/>
      <c r="AB14" s="193"/>
      <c r="AC14" s="193"/>
      <c r="AD14" s="193"/>
    </row>
    <row r="15" spans="1:30" x14ac:dyDescent="0.25">
      <c r="A15" s="31" t="s">
        <v>52</v>
      </c>
      <c r="B15" s="31"/>
      <c r="C15" s="32">
        <f>IF('Customer Info'!B21+'Customer Info'!B22-'Customer Info'!B23&lt;0,0,'Customer Info'!B21+'Customer Info'!B22-'Customer Info'!B23)</f>
        <v>0</v>
      </c>
      <c r="D15" s="31" t="s">
        <v>41</v>
      </c>
      <c r="E15" s="31"/>
      <c r="F15" s="33"/>
      <c r="G15" s="31"/>
      <c r="H15" s="31"/>
      <c r="I15" s="31"/>
      <c r="R15" s="78"/>
      <c r="S15" s="193"/>
      <c r="T15" s="193"/>
      <c r="U15" s="193"/>
      <c r="V15" s="193"/>
      <c r="W15" s="193"/>
      <c r="X15" s="193"/>
      <c r="Y15" s="193"/>
      <c r="Z15" s="193"/>
      <c r="AA15" s="193"/>
      <c r="AB15" s="193"/>
      <c r="AC15" s="193"/>
      <c r="AD15" s="193"/>
    </row>
    <row r="16" spans="1:30" x14ac:dyDescent="0.25">
      <c r="A16" s="31" t="s">
        <v>225</v>
      </c>
      <c r="B16" s="31"/>
      <c r="C16" s="32">
        <f>'Customer Info'!B21</f>
        <v>0</v>
      </c>
      <c r="D16" s="31" t="s">
        <v>41</v>
      </c>
      <c r="E16" s="31"/>
      <c r="F16" s="33"/>
      <c r="G16" s="23" t="s">
        <v>15</v>
      </c>
      <c r="H16" s="31"/>
    </row>
    <row r="17" spans="1:221" x14ac:dyDescent="0.25">
      <c r="A17" s="31" t="s">
        <v>226</v>
      </c>
      <c r="B17" s="31"/>
      <c r="C17" s="32">
        <f>'Customer Info'!B22</f>
        <v>0</v>
      </c>
      <c r="D17" s="262" t="s">
        <v>41</v>
      </c>
      <c r="E17" s="33"/>
      <c r="F17" s="33"/>
      <c r="G17" s="23" t="s">
        <v>15</v>
      </c>
      <c r="H17" s="31"/>
      <c r="I17" s="52" t="s">
        <v>15</v>
      </c>
    </row>
    <row r="19" spans="1:221" x14ac:dyDescent="0.25">
      <c r="A19" s="28" t="s">
        <v>31</v>
      </c>
      <c r="B19" s="22"/>
      <c r="C19" s="22"/>
      <c r="D19" s="22"/>
      <c r="E19" s="22"/>
      <c r="F19" s="22"/>
      <c r="G19" s="489" t="s">
        <v>68</v>
      </c>
      <c r="H19" s="490"/>
      <c r="I19" s="490"/>
      <c r="J19" s="491"/>
      <c r="K19" s="22"/>
      <c r="L19" s="492" t="s">
        <v>69</v>
      </c>
      <c r="M19" s="492"/>
      <c r="N19" s="492"/>
      <c r="O19" s="492"/>
    </row>
    <row r="20" spans="1:221" x14ac:dyDescent="0.25">
      <c r="A20" s="18"/>
      <c r="B20" s="18"/>
      <c r="C20" s="18"/>
      <c r="D20" s="18"/>
      <c r="E20" s="18"/>
      <c r="F20" s="18"/>
      <c r="G20" s="8" t="s">
        <v>65</v>
      </c>
      <c r="H20" s="8" t="s">
        <v>66</v>
      </c>
      <c r="I20" s="8" t="s">
        <v>67</v>
      </c>
      <c r="J20" s="112" t="s">
        <v>34</v>
      </c>
      <c r="K20" s="18"/>
      <c r="L20" s="328" t="s">
        <v>65</v>
      </c>
      <c r="M20" s="328" t="s">
        <v>66</v>
      </c>
      <c r="N20" s="328" t="s">
        <v>67</v>
      </c>
      <c r="O20" s="132" t="s">
        <v>34</v>
      </c>
      <c r="P20" s="43" t="s">
        <v>57</v>
      </c>
    </row>
    <row r="21" spans="1:221" x14ac:dyDescent="0.25">
      <c r="A21" t="s">
        <v>32</v>
      </c>
      <c r="G21" s="86"/>
      <c r="H21" s="86"/>
      <c r="I21" s="86">
        <v>9.4</v>
      </c>
      <c r="J21" s="86">
        <f>SUM(G21:I21)</f>
        <v>9.4</v>
      </c>
      <c r="L21" s="88"/>
      <c r="M21" s="88"/>
      <c r="N21" s="88">
        <f>I21</f>
        <v>9.4</v>
      </c>
      <c r="O21" s="209">
        <f>SUM(L21:N21)</f>
        <v>9.4</v>
      </c>
      <c r="P21" s="245">
        <v>44531</v>
      </c>
    </row>
    <row r="22" spans="1:221" x14ac:dyDescent="0.25">
      <c r="A22" s="287" t="s">
        <v>132</v>
      </c>
      <c r="D22" s="1">
        <f>C15</f>
        <v>0</v>
      </c>
      <c r="E22" s="35" t="s">
        <v>41</v>
      </c>
      <c r="F22" s="4" t="s">
        <v>8</v>
      </c>
      <c r="G22" s="84"/>
      <c r="H22" s="84"/>
      <c r="I22" s="84">
        <v>2.05802E-2</v>
      </c>
      <c r="J22" s="84">
        <f>SUM(G22:I22)</f>
        <v>2.05802E-2</v>
      </c>
      <c r="K22" s="36" t="s">
        <v>42</v>
      </c>
      <c r="L22" s="87"/>
      <c r="M22" s="87"/>
      <c r="N22" s="87">
        <f>IF(C15&lt;0,0,ROUND($D22*I22,2))</f>
        <v>0</v>
      </c>
      <c r="O22" s="209">
        <f>SUM(L22:N22)</f>
        <v>0</v>
      </c>
      <c r="P22" s="245">
        <v>44531</v>
      </c>
    </row>
    <row r="23" spans="1:221" x14ac:dyDescent="0.25">
      <c r="A23" s="37" t="s">
        <v>50</v>
      </c>
      <c r="B23" s="37"/>
      <c r="C23" s="37"/>
      <c r="D23" s="38"/>
      <c r="E23" s="38"/>
      <c r="F23" s="37"/>
      <c r="G23" s="37"/>
      <c r="H23" s="37"/>
      <c r="I23" s="37"/>
      <c r="J23" s="37"/>
      <c r="K23" s="39"/>
      <c r="L23" s="40"/>
      <c r="M23" s="40"/>
      <c r="N23" s="40">
        <f>SUM(N21:N22)</f>
        <v>9.4</v>
      </c>
      <c r="O23" s="40">
        <f>SUM(O21:O22)</f>
        <v>9.4</v>
      </c>
    </row>
    <row r="24" spans="1:221" x14ac:dyDescent="0.25">
      <c r="A24" s="89"/>
      <c r="B24" s="89"/>
      <c r="C24" s="90"/>
      <c r="D24" s="90"/>
      <c r="E24" s="90"/>
      <c r="F24" s="90"/>
      <c r="G24" s="91"/>
      <c r="H24" s="91"/>
      <c r="I24" s="91"/>
      <c r="J24" s="91"/>
      <c r="K24" s="89"/>
      <c r="L24" s="89"/>
      <c r="M24" s="89"/>
      <c r="N24" s="89"/>
      <c r="O24" s="89"/>
      <c r="P24" s="89"/>
    </row>
    <row r="25" spans="1:221" x14ac:dyDescent="0.25">
      <c r="A25" s="148" t="s">
        <v>70</v>
      </c>
      <c r="B25" s="166"/>
      <c r="C25" s="166"/>
      <c r="D25" s="167"/>
      <c r="E25" s="167"/>
      <c r="F25" s="166"/>
      <c r="G25" s="167"/>
      <c r="H25" s="167"/>
      <c r="I25" s="167"/>
      <c r="J25" s="167"/>
      <c r="K25" s="167"/>
      <c r="L25" s="167"/>
      <c r="M25" s="167"/>
      <c r="N25" s="167"/>
      <c r="O25" s="167"/>
      <c r="P25" s="160"/>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row>
    <row r="26" spans="1:221" x14ac:dyDescent="0.25">
      <c r="A26" s="151"/>
      <c r="B26" s="151"/>
      <c r="C26" s="151"/>
      <c r="D26" s="151"/>
      <c r="E26" s="151"/>
      <c r="F26" s="151"/>
      <c r="G26" s="151"/>
      <c r="H26" s="151"/>
      <c r="I26" s="151"/>
      <c r="J26" s="151"/>
      <c r="K26" s="151"/>
      <c r="L26" s="151"/>
      <c r="M26" s="151"/>
      <c r="N26" s="151"/>
      <c r="O26" s="151"/>
      <c r="P26" s="174"/>
      <c r="Q26" s="106"/>
      <c r="R26" s="175"/>
      <c r="S26" s="108"/>
      <c r="T26" s="109"/>
      <c r="U26" s="78"/>
      <c r="V26" s="110"/>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row>
    <row r="27" spans="1:221" x14ac:dyDescent="0.25">
      <c r="A27" s="99" t="s">
        <v>79</v>
      </c>
      <c r="B27" s="176"/>
      <c r="C27" s="176"/>
      <c r="D27" s="100">
        <f>IF($C$15&lt;0,0,IF($C$15&gt;833000,833000,$C$15))</f>
        <v>0</v>
      </c>
      <c r="E27" s="101" t="s">
        <v>41</v>
      </c>
      <c r="F27" s="102" t="s">
        <v>8</v>
      </c>
      <c r="G27" s="103"/>
      <c r="H27" s="103"/>
      <c r="I27" s="103">
        <f>'Rider Rates'!$B$4</f>
        <v>4.6278999999999999E-3</v>
      </c>
      <c r="J27" s="103">
        <f t="shared" ref="J27:J48" si="0">SUM(G27:I27)</f>
        <v>4.6278999999999999E-3</v>
      </c>
      <c r="K27" s="104" t="s">
        <v>42</v>
      </c>
      <c r="L27" s="105"/>
      <c r="M27" s="105"/>
      <c r="N27" s="105">
        <f t="shared" ref="N27:N32" si="1">ROUND(D27*I27,2)</f>
        <v>0</v>
      </c>
      <c r="O27" s="105">
        <f t="shared" ref="O27:O49" si="2">SUM(L27:N27)</f>
        <v>0</v>
      </c>
      <c r="P27" s="245">
        <f>'Rider Rates'!$D$4</f>
        <v>45657</v>
      </c>
      <c r="Q27" s="106"/>
      <c r="R27" s="107"/>
      <c r="S27" s="108"/>
      <c r="T27" s="109"/>
      <c r="U27" s="78"/>
      <c r="V27" s="110"/>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row>
    <row r="28" spans="1:221" x14ac:dyDescent="0.25">
      <c r="A28" s="99" t="s">
        <v>80</v>
      </c>
      <c r="B28" s="78"/>
      <c r="C28" s="78"/>
      <c r="D28" s="123">
        <f>IF($C$15&gt;833000,$C$15-833000,0)</f>
        <v>0</v>
      </c>
      <c r="E28" s="101" t="s">
        <v>41</v>
      </c>
      <c r="F28" s="102" t="s">
        <v>8</v>
      </c>
      <c r="G28" s="103"/>
      <c r="H28" s="103"/>
      <c r="I28" s="103">
        <f>'Rider Rates'!$B$5</f>
        <v>1.7560000000000001E-4</v>
      </c>
      <c r="J28" s="103">
        <f t="shared" si="0"/>
        <v>1.7560000000000001E-4</v>
      </c>
      <c r="K28" s="104" t="s">
        <v>42</v>
      </c>
      <c r="L28" s="105"/>
      <c r="M28" s="105"/>
      <c r="N28" s="105">
        <f t="shared" si="1"/>
        <v>0</v>
      </c>
      <c r="O28" s="105">
        <f t="shared" si="2"/>
        <v>0</v>
      </c>
      <c r="P28" s="245">
        <f>'Rider Rates'!$D$4</f>
        <v>45657</v>
      </c>
      <c r="Q28" s="106"/>
      <c r="R28" s="107"/>
      <c r="S28" s="108"/>
      <c r="T28" s="109"/>
      <c r="U28" s="78"/>
      <c r="V28" s="110"/>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row>
    <row r="29" spans="1:221" x14ac:dyDescent="0.25">
      <c r="A29" s="99" t="s">
        <v>97</v>
      </c>
      <c r="B29" s="78"/>
      <c r="C29" s="78"/>
      <c r="D29" s="100">
        <f>IF('Customer Info'!$C$32=TRUE,0,IF($C$15&lt;0,0,IF($C$15&gt;2000,2000,$C$15)))</f>
        <v>0</v>
      </c>
      <c r="E29" s="101" t="s">
        <v>41</v>
      </c>
      <c r="F29" s="102" t="s">
        <v>8</v>
      </c>
      <c r="G29" s="103"/>
      <c r="H29" s="103"/>
      <c r="I29" s="177">
        <f>'Rider Rates'!$B$8</f>
        <v>4.6499999999999996E-3</v>
      </c>
      <c r="J29" s="177">
        <f t="shared" si="0"/>
        <v>4.6499999999999996E-3</v>
      </c>
      <c r="K29" s="104" t="s">
        <v>42</v>
      </c>
      <c r="L29" s="105"/>
      <c r="M29" s="105"/>
      <c r="N29" s="105">
        <f t="shared" si="1"/>
        <v>0</v>
      </c>
      <c r="O29" s="105">
        <f t="shared" si="2"/>
        <v>0</v>
      </c>
      <c r="P29" s="245">
        <f>'Rider Rates'!$D$7</f>
        <v>44531</v>
      </c>
      <c r="Q29" s="106"/>
      <c r="R29" s="107"/>
      <c r="S29" s="108"/>
      <c r="T29" s="109"/>
      <c r="U29" s="78"/>
      <c r="V29" s="110"/>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row>
    <row r="30" spans="1:221" x14ac:dyDescent="0.25">
      <c r="A30" s="99" t="s">
        <v>98</v>
      </c>
      <c r="B30" s="78"/>
      <c r="C30" s="78"/>
      <c r="D30" s="100">
        <f>IF('Customer Info'!$C$32=TRUE,0,IF($C$15&lt;=2000,0,IF($C$15=0,0,IF($C$15-2000&gt;13000,13000,$C$15-2000))))</f>
        <v>0</v>
      </c>
      <c r="E30" s="101" t="s">
        <v>41</v>
      </c>
      <c r="F30" s="102" t="s">
        <v>8</v>
      </c>
      <c r="G30" s="103"/>
      <c r="H30" s="103"/>
      <c r="I30" s="177">
        <f>'Rider Rates'!$B$9</f>
        <v>4.1900000000000001E-3</v>
      </c>
      <c r="J30" s="177">
        <f t="shared" si="0"/>
        <v>4.1900000000000001E-3</v>
      </c>
      <c r="K30" s="104" t="s">
        <v>42</v>
      </c>
      <c r="L30" s="105"/>
      <c r="M30" s="105"/>
      <c r="N30" s="105">
        <f t="shared" si="1"/>
        <v>0</v>
      </c>
      <c r="O30" s="105">
        <f t="shared" si="2"/>
        <v>0</v>
      </c>
      <c r="P30" s="245">
        <f>'Rider Rates'!$D$7</f>
        <v>44531</v>
      </c>
      <c r="Q30" s="106"/>
      <c r="R30" s="107"/>
      <c r="S30" s="108"/>
      <c r="T30" s="109"/>
      <c r="U30" s="78"/>
      <c r="V30" s="110"/>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row>
    <row r="31" spans="1:221" x14ac:dyDescent="0.25">
      <c r="A31" s="99" t="s">
        <v>99</v>
      </c>
      <c r="B31" s="78"/>
      <c r="C31" s="78"/>
      <c r="D31" s="100">
        <f>IF('Customer Info'!$C$32=TRUE,0,IF($C$15=0,0,IF($C$15-15000&gt;=0,$C$15-15000,0)))</f>
        <v>0</v>
      </c>
      <c r="E31" s="101" t="s">
        <v>41</v>
      </c>
      <c r="F31" s="102" t="s">
        <v>8</v>
      </c>
      <c r="G31" s="103"/>
      <c r="H31" s="103"/>
      <c r="I31" s="177">
        <f>'Rider Rates'!$B$10</f>
        <v>3.63E-3</v>
      </c>
      <c r="J31" s="177">
        <f t="shared" si="0"/>
        <v>3.63E-3</v>
      </c>
      <c r="K31" s="104" t="s">
        <v>42</v>
      </c>
      <c r="L31" s="105"/>
      <c r="M31" s="105"/>
      <c r="N31" s="105">
        <f t="shared" si="1"/>
        <v>0</v>
      </c>
      <c r="O31" s="105">
        <f t="shared" si="2"/>
        <v>0</v>
      </c>
      <c r="P31" s="245">
        <f>'Rider Rates'!$D$7</f>
        <v>44531</v>
      </c>
      <c r="Q31" s="106"/>
      <c r="R31" s="107"/>
      <c r="S31" s="108"/>
      <c r="T31" s="109"/>
      <c r="U31" s="78"/>
      <c r="V31" s="110"/>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row>
    <row r="32" spans="1:221" x14ac:dyDescent="0.25">
      <c r="A32" s="210" t="s">
        <v>159</v>
      </c>
      <c r="B32" s="78"/>
      <c r="C32" s="78"/>
      <c r="D32" s="100">
        <f>IF($C$15&lt;0,0,$C$15)</f>
        <v>0</v>
      </c>
      <c r="E32" s="101" t="s">
        <v>41</v>
      </c>
      <c r="F32" s="102" t="s">
        <v>8</v>
      </c>
      <c r="G32" s="103"/>
      <c r="H32" s="103"/>
      <c r="I32" s="103">
        <f>'Rider Rates'!$B$16</f>
        <v>0</v>
      </c>
      <c r="J32" s="103">
        <f>SUM(G32:I32)</f>
        <v>0</v>
      </c>
      <c r="K32" s="104" t="s">
        <v>42</v>
      </c>
      <c r="L32" s="105"/>
      <c r="M32" s="105"/>
      <c r="N32" s="105">
        <f t="shared" si="1"/>
        <v>0</v>
      </c>
      <c r="O32" s="105">
        <f t="shared" si="2"/>
        <v>0</v>
      </c>
      <c r="P32" s="245">
        <f>'Rider Rates'!$D$16</f>
        <v>45322</v>
      </c>
      <c r="Q32" s="106"/>
      <c r="R32" s="107"/>
      <c r="S32" s="108"/>
      <c r="T32" s="109"/>
      <c r="U32" s="78"/>
      <c r="V32" s="110"/>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row>
    <row r="33" spans="1:221" x14ac:dyDescent="0.25">
      <c r="A33" s="210" t="s">
        <v>237</v>
      </c>
      <c r="B33" s="78"/>
      <c r="C33" s="78"/>
      <c r="D33" s="195">
        <f>$N$23</f>
        <v>9.4</v>
      </c>
      <c r="E33" s="101" t="s">
        <v>122</v>
      </c>
      <c r="F33" s="102" t="s">
        <v>8</v>
      </c>
      <c r="G33" s="103"/>
      <c r="H33" s="103"/>
      <c r="I33" s="178">
        <f>'Rider Rates'!$B$18+'Rider Rates'!$E$18</f>
        <v>0</v>
      </c>
      <c r="J33" s="178">
        <f>SUM(G33:I33)</f>
        <v>0</v>
      </c>
      <c r="K33" s="104"/>
      <c r="L33" s="105"/>
      <c r="M33" s="105"/>
      <c r="N33" s="105">
        <f>ROUND($D$33*'Rider Rates'!$B$18,2)+ROUND($D$33*'Rider Rates'!$E$18,2)</f>
        <v>0</v>
      </c>
      <c r="O33" s="105">
        <f t="shared" si="2"/>
        <v>0</v>
      </c>
      <c r="P33" s="245">
        <f>MAX('Rider Rates'!$D$18,'Rider Rates'!$F$18)</f>
        <v>44531</v>
      </c>
      <c r="Q33" s="106"/>
      <c r="R33" s="107"/>
      <c r="S33" s="108"/>
      <c r="T33" s="109"/>
      <c r="U33" s="78"/>
      <c r="V33" s="110"/>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row>
    <row r="34" spans="1:221" x14ac:dyDescent="0.25">
      <c r="A34" s="210" t="s">
        <v>186</v>
      </c>
      <c r="B34" s="78"/>
      <c r="C34" s="78"/>
      <c r="D34" s="100">
        <f>'GS-PEV OAD'!C16+'GS-PEV OAD'!C17</f>
        <v>0</v>
      </c>
      <c r="E34" s="101" t="s">
        <v>41</v>
      </c>
      <c r="F34" s="102" t="s">
        <v>8</v>
      </c>
      <c r="G34" s="103"/>
      <c r="H34" s="103"/>
      <c r="I34" s="103"/>
      <c r="J34" s="237">
        <f>SUM(G34:H34)</f>
        <v>0</v>
      </c>
      <c r="K34" s="104" t="s">
        <v>42</v>
      </c>
      <c r="L34" s="105"/>
      <c r="M34" s="105"/>
      <c r="N34" s="105"/>
      <c r="O34" s="105">
        <f t="shared" si="2"/>
        <v>0</v>
      </c>
      <c r="P34" s="245">
        <f>'Rider Rates'!$D$22</f>
        <v>45444</v>
      </c>
      <c r="Q34" s="106"/>
      <c r="R34" s="107"/>
      <c r="S34" s="108"/>
      <c r="T34" s="109"/>
      <c r="U34" s="78"/>
      <c r="V34" s="110"/>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row>
    <row r="35" spans="1:221" x14ac:dyDescent="0.25">
      <c r="A35" s="210" t="s">
        <v>162</v>
      </c>
      <c r="B35" s="78"/>
      <c r="C35" s="78"/>
      <c r="D35" s="100">
        <f>C16</f>
        <v>0</v>
      </c>
      <c r="E35" s="101" t="s">
        <v>41</v>
      </c>
      <c r="F35" s="102" t="s">
        <v>8</v>
      </c>
      <c r="G35" s="103"/>
      <c r="H35" s="103"/>
      <c r="I35" s="103"/>
      <c r="J35" s="237">
        <f>SUM(G35:H35)</f>
        <v>0</v>
      </c>
      <c r="K35" s="104" t="s">
        <v>42</v>
      </c>
      <c r="L35" s="105"/>
      <c r="M35" s="105"/>
      <c r="N35" s="105"/>
      <c r="O35" s="105">
        <f t="shared" si="2"/>
        <v>0</v>
      </c>
      <c r="P35" s="245">
        <f>'Rider Rates'!$D$35</f>
        <v>45444</v>
      </c>
      <c r="Q35" s="106"/>
      <c r="R35" s="107"/>
      <c r="S35" s="108"/>
      <c r="T35" s="109"/>
      <c r="U35" s="78"/>
      <c r="V35" s="110"/>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row>
    <row r="36" spans="1:221" x14ac:dyDescent="0.25">
      <c r="A36" s="210" t="s">
        <v>219</v>
      </c>
      <c r="B36" s="78"/>
      <c r="C36" s="78"/>
      <c r="D36" s="100">
        <f>C17</f>
        <v>0</v>
      </c>
      <c r="E36" s="101" t="s">
        <v>41</v>
      </c>
      <c r="F36" s="249" t="s">
        <v>8</v>
      </c>
      <c r="G36" s="103"/>
      <c r="H36" s="103"/>
      <c r="I36" s="103"/>
      <c r="J36" s="237">
        <f>SUM(G36:H36)</f>
        <v>0</v>
      </c>
      <c r="K36" s="104" t="s">
        <v>42</v>
      </c>
      <c r="L36" s="105"/>
      <c r="M36" s="105"/>
      <c r="N36" s="105"/>
      <c r="O36" s="105">
        <f t="shared" si="2"/>
        <v>0</v>
      </c>
      <c r="P36" s="245">
        <f>'Rider Rates'!D36</f>
        <v>45444</v>
      </c>
      <c r="Q36" s="106"/>
      <c r="R36" s="107"/>
      <c r="S36" s="108"/>
      <c r="T36" s="109"/>
      <c r="U36" s="78"/>
      <c r="V36" s="110"/>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row>
    <row r="37" spans="1:221" x14ac:dyDescent="0.25">
      <c r="A37" s="210" t="s">
        <v>193</v>
      </c>
      <c r="B37" s="78"/>
      <c r="C37" s="78"/>
      <c r="D37" s="100">
        <f>C16+C17</f>
        <v>0</v>
      </c>
      <c r="E37" s="101" t="s">
        <v>41</v>
      </c>
      <c r="F37" s="102" t="s">
        <v>8</v>
      </c>
      <c r="G37" s="103"/>
      <c r="H37" s="103"/>
      <c r="I37" s="103"/>
      <c r="J37" s="237">
        <f>SUM(G37:H37)</f>
        <v>0</v>
      </c>
      <c r="K37" s="104" t="s">
        <v>42</v>
      </c>
      <c r="L37" s="105"/>
      <c r="M37" s="105"/>
      <c r="N37" s="105"/>
      <c r="O37" s="105">
        <f t="shared" si="2"/>
        <v>0</v>
      </c>
      <c r="P37" s="245">
        <f>'Rider Rates'!$D$45</f>
        <v>45657</v>
      </c>
      <c r="Q37" s="106"/>
      <c r="R37" s="107"/>
      <c r="S37" s="108"/>
      <c r="T37" s="109"/>
      <c r="U37" s="78"/>
      <c r="V37" s="110"/>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row>
    <row r="38" spans="1:221" x14ac:dyDescent="0.25">
      <c r="A38" s="241" t="s">
        <v>210</v>
      </c>
      <c r="B38" s="78"/>
      <c r="C38" s="78"/>
      <c r="D38" s="100">
        <f>IF($C$15&lt;0,0,IF($C$15&gt;833000,833000,$C$15))</f>
        <v>0</v>
      </c>
      <c r="E38" s="101" t="s">
        <v>41</v>
      </c>
      <c r="F38" s="102" t="s">
        <v>8</v>
      </c>
      <c r="G38" s="103"/>
      <c r="H38" s="103"/>
      <c r="I38" s="103">
        <f>'Rider Rates'!D49</f>
        <v>1.8006999999999999E-3</v>
      </c>
      <c r="J38" s="103">
        <f>SUM(G38:I38)</f>
        <v>1.8006999999999999E-3</v>
      </c>
      <c r="K38" s="104" t="s">
        <v>42</v>
      </c>
      <c r="L38" s="105"/>
      <c r="M38" s="105"/>
      <c r="N38" s="105">
        <f>D38*J38</f>
        <v>0</v>
      </c>
      <c r="O38" s="105">
        <f t="shared" si="2"/>
        <v>0</v>
      </c>
      <c r="P38" s="245">
        <f>'Rider Rates'!E49</f>
        <v>45658</v>
      </c>
      <c r="Q38" s="106"/>
      <c r="R38" s="107"/>
      <c r="S38" s="108"/>
      <c r="T38" s="109"/>
      <c r="U38" s="78"/>
      <c r="V38" s="110"/>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row>
    <row r="39" spans="1:221" x14ac:dyDescent="0.25">
      <c r="A39" s="210" t="s">
        <v>189</v>
      </c>
      <c r="B39" s="78"/>
      <c r="C39" s="78"/>
      <c r="D39" s="100">
        <f>IF($C$15&lt;0,0,$C$15)</f>
        <v>0</v>
      </c>
      <c r="E39" s="113" t="s">
        <v>41</v>
      </c>
      <c r="F39" s="102" t="s">
        <v>8</v>
      </c>
      <c r="G39" s="103"/>
      <c r="H39" s="103">
        <f>'Rider Rates'!$B$56</f>
        <v>2.3467399999999999E-2</v>
      </c>
      <c r="I39" s="103"/>
      <c r="J39" s="103">
        <f>SUM(G39:I39)</f>
        <v>2.3467399999999999E-2</v>
      </c>
      <c r="K39" s="104" t="s">
        <v>42</v>
      </c>
      <c r="L39" s="105"/>
      <c r="M39" s="105">
        <f>ROUND(D39*H39,2)</f>
        <v>0</v>
      </c>
      <c r="N39" s="205"/>
      <c r="O39" s="105">
        <f t="shared" si="2"/>
        <v>0</v>
      </c>
      <c r="P39" s="245">
        <f>'Rider Rates'!$D$56</f>
        <v>45383</v>
      </c>
      <c r="Q39" s="106"/>
      <c r="R39" s="107"/>
      <c r="S39" s="108"/>
      <c r="T39" s="109"/>
      <c r="U39" s="78"/>
      <c r="V39" s="110"/>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row>
    <row r="40" spans="1:221" x14ac:dyDescent="0.25">
      <c r="A40" s="99" t="s">
        <v>96</v>
      </c>
      <c r="B40" s="78"/>
      <c r="C40" s="78"/>
      <c r="D40" s="100">
        <f>IF('Customer Info'!C34=TRUE,0,IF($C$15&lt;0,0,$C$15))</f>
        <v>0</v>
      </c>
      <c r="E40" s="101" t="s">
        <v>41</v>
      </c>
      <c r="F40" s="102" t="s">
        <v>8</v>
      </c>
      <c r="G40" s="103"/>
      <c r="H40" s="103"/>
      <c r="I40" s="103">
        <f>'Rider Rates'!$B$70+'Rider Rates'!$C$70</f>
        <v>0</v>
      </c>
      <c r="J40" s="103">
        <f t="shared" si="0"/>
        <v>0</v>
      </c>
      <c r="K40" s="104" t="s">
        <v>42</v>
      </c>
      <c r="L40" s="105"/>
      <c r="M40" s="105"/>
      <c r="N40" s="105">
        <f>ROUND($D$40*'Rider Rates'!$B$70,2)+ROUND($D$40*'Rider Rates'!$C$70,2)</f>
        <v>0</v>
      </c>
      <c r="O40" s="105">
        <f t="shared" si="2"/>
        <v>0</v>
      </c>
      <c r="P40" s="245">
        <f>'Rider Rates'!$D$70</f>
        <v>45444</v>
      </c>
      <c r="Q40" s="106"/>
      <c r="R40" s="107"/>
      <c r="S40" s="108"/>
      <c r="T40" s="109"/>
      <c r="U40" s="78"/>
      <c r="V40" s="110"/>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row>
    <row r="41" spans="1:221" x14ac:dyDescent="0.25">
      <c r="A41" s="99" t="s">
        <v>96</v>
      </c>
      <c r="B41" s="78"/>
      <c r="C41" s="78"/>
      <c r="D41" s="100"/>
      <c r="E41" s="101" t="s">
        <v>115</v>
      </c>
      <c r="F41" s="102"/>
      <c r="G41" s="103"/>
      <c r="H41" s="103"/>
      <c r="I41" s="196">
        <f>'Rider Rates'!$B$77</f>
        <v>0</v>
      </c>
      <c r="J41" s="196">
        <f>IF('Customer Info'!C34=TRUE,0,SUM(G41:I41))</f>
        <v>0</v>
      </c>
      <c r="K41" s="104"/>
      <c r="L41" s="105"/>
      <c r="M41" s="105"/>
      <c r="N41" s="105">
        <f>J41</f>
        <v>0</v>
      </c>
      <c r="O41" s="105">
        <f>SUM(L41:N41)</f>
        <v>0</v>
      </c>
      <c r="P41" s="245">
        <f>'Rider Rates'!$D$77</f>
        <v>45444</v>
      </c>
      <c r="Q41" s="106"/>
      <c r="R41" s="107"/>
      <c r="S41" s="108"/>
      <c r="T41" s="109"/>
      <c r="U41" s="78"/>
      <c r="V41" s="110"/>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row>
    <row r="42" spans="1:221" x14ac:dyDescent="0.25">
      <c r="A42" s="99" t="s">
        <v>81</v>
      </c>
      <c r="B42" s="78"/>
      <c r="C42" s="78"/>
      <c r="D42" s="195">
        <f>$N$23</f>
        <v>9.4</v>
      </c>
      <c r="E42" s="101" t="s">
        <v>122</v>
      </c>
      <c r="F42" s="102" t="s">
        <v>8</v>
      </c>
      <c r="G42" s="111"/>
      <c r="H42" s="112"/>
      <c r="I42" s="120">
        <f>'Rider Rates'!$B$85</f>
        <v>4.94232E-2</v>
      </c>
      <c r="J42" s="120">
        <f t="shared" si="0"/>
        <v>4.94232E-2</v>
      </c>
      <c r="K42" s="104"/>
      <c r="L42" s="105"/>
      <c r="M42" s="105"/>
      <c r="N42" s="105">
        <f>ROUND(D42*I42,2)</f>
        <v>0.46</v>
      </c>
      <c r="O42" s="105">
        <f t="shared" si="2"/>
        <v>0.46</v>
      </c>
      <c r="P42" s="245">
        <f>'Rider Rates'!$D$85</f>
        <v>45562</v>
      </c>
      <c r="Q42" s="106"/>
      <c r="R42" s="107"/>
      <c r="S42" s="108"/>
      <c r="T42" s="109"/>
      <c r="U42" s="78"/>
      <c r="V42" s="110"/>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row>
    <row r="43" spans="1:221" x14ac:dyDescent="0.25">
      <c r="A43" s="99" t="s">
        <v>82</v>
      </c>
      <c r="B43" s="78"/>
      <c r="C43" s="78"/>
      <c r="D43" s="195">
        <f>$N$23</f>
        <v>9.4</v>
      </c>
      <c r="E43" s="101" t="s">
        <v>122</v>
      </c>
      <c r="F43" s="102" t="s">
        <v>8</v>
      </c>
      <c r="G43" s="114"/>
      <c r="H43" s="115"/>
      <c r="I43" s="120">
        <f>'Rider Rates'!$B$87</f>
        <v>6.6985699999999995E-2</v>
      </c>
      <c r="J43" s="120">
        <f t="shared" si="0"/>
        <v>6.6985699999999995E-2</v>
      </c>
      <c r="K43" s="104"/>
      <c r="L43" s="105"/>
      <c r="M43" s="105"/>
      <c r="N43" s="105">
        <f>ROUND(D43*I43,2)</f>
        <v>0.63</v>
      </c>
      <c r="O43" s="105">
        <f t="shared" si="2"/>
        <v>0.63</v>
      </c>
      <c r="P43" s="245">
        <f>'Rider Rates'!$D$87</f>
        <v>45167</v>
      </c>
      <c r="Q43" s="106"/>
      <c r="R43" s="107"/>
      <c r="S43" s="108"/>
      <c r="T43" s="109"/>
      <c r="U43" s="78"/>
      <c r="V43" s="110"/>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row>
    <row r="44" spans="1:221" x14ac:dyDescent="0.25">
      <c r="A44" s="210" t="s">
        <v>206</v>
      </c>
      <c r="B44" s="78"/>
      <c r="C44" s="78"/>
      <c r="D44" s="195"/>
      <c r="E44" s="113" t="s">
        <v>115</v>
      </c>
      <c r="F44" s="106"/>
      <c r="G44" s="114"/>
      <c r="H44" s="115"/>
      <c r="I44" s="196">
        <f>'Rider Rates'!$B$91</f>
        <v>17.53</v>
      </c>
      <c r="J44" s="196">
        <f t="shared" si="0"/>
        <v>17.53</v>
      </c>
      <c r="K44" s="104"/>
      <c r="L44" s="105"/>
      <c r="M44" s="105"/>
      <c r="N44" s="105">
        <f>I44</f>
        <v>17.53</v>
      </c>
      <c r="O44" s="105">
        <f t="shared" si="2"/>
        <v>17.53</v>
      </c>
      <c r="P44" s="245">
        <f>'Rider Rates'!$D$91</f>
        <v>45657</v>
      </c>
      <c r="Q44" s="106"/>
      <c r="R44" s="107"/>
      <c r="S44" s="108"/>
      <c r="T44" s="109"/>
      <c r="U44" s="78"/>
      <c r="V44" s="110"/>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row>
    <row r="45" spans="1:221" x14ac:dyDescent="0.25">
      <c r="A45" s="210" t="s">
        <v>239</v>
      </c>
      <c r="B45" s="78"/>
      <c r="C45" s="78"/>
      <c r="D45" s="100">
        <f>IF($C$15&lt;0,0,$C$15)</f>
        <v>0</v>
      </c>
      <c r="E45" s="101" t="s">
        <v>41</v>
      </c>
      <c r="F45" s="102" t="s">
        <v>8</v>
      </c>
      <c r="G45" s="103"/>
      <c r="H45" s="103"/>
      <c r="I45" s="103"/>
      <c r="J45" s="103">
        <f>'Rider Rates'!$B$95</f>
        <v>0</v>
      </c>
      <c r="K45" s="104" t="s">
        <v>42</v>
      </c>
      <c r="L45" s="105"/>
      <c r="M45" s="105"/>
      <c r="N45" s="105"/>
      <c r="O45" s="105">
        <f>ROUND($D45*('Rider Rates'!B$95),2)</f>
        <v>0</v>
      </c>
      <c r="P45" s="245">
        <f>'Rider Rates'!$D$95</f>
        <v>44531</v>
      </c>
      <c r="Q45" s="106"/>
      <c r="R45" s="107"/>
      <c r="S45" s="108"/>
      <c r="T45" s="109"/>
      <c r="U45" s="78"/>
      <c r="V45" s="110"/>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row>
    <row r="46" spans="1:221" x14ac:dyDescent="0.25">
      <c r="A46" s="99" t="s">
        <v>156</v>
      </c>
      <c r="B46" s="78"/>
      <c r="C46" s="78"/>
      <c r="D46" s="195">
        <f>$N$23</f>
        <v>9.4</v>
      </c>
      <c r="E46" s="101" t="s">
        <v>122</v>
      </c>
      <c r="F46" s="102" t="s">
        <v>8</v>
      </c>
      <c r="G46" s="114"/>
      <c r="H46" s="115"/>
      <c r="I46" s="120">
        <f>'Rider Rates'!$B$105</f>
        <v>0.2363101</v>
      </c>
      <c r="J46" s="120">
        <f t="shared" si="0"/>
        <v>0.2363101</v>
      </c>
      <c r="K46" s="104"/>
      <c r="L46" s="105"/>
      <c r="M46" s="105"/>
      <c r="N46" s="105">
        <f>ROUND(D46*I46,2)</f>
        <v>2.2200000000000002</v>
      </c>
      <c r="O46" s="105">
        <f t="shared" si="2"/>
        <v>2.2200000000000002</v>
      </c>
      <c r="P46" s="245">
        <f>'Rider Rates'!$D$105</f>
        <v>45622</v>
      </c>
      <c r="Q46" s="106"/>
      <c r="R46" s="107"/>
      <c r="S46" s="108"/>
      <c r="T46" s="109"/>
      <c r="U46" s="78"/>
      <c r="V46" s="110"/>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row>
    <row r="47" spans="1:221" x14ac:dyDescent="0.25">
      <c r="A47" s="210" t="s">
        <v>209</v>
      </c>
      <c r="B47" s="78"/>
      <c r="C47" s="78"/>
      <c r="D47" s="195"/>
      <c r="E47" s="113" t="s">
        <v>115</v>
      </c>
      <c r="F47" s="106"/>
      <c r="G47" s="114"/>
      <c r="H47" s="115"/>
      <c r="I47" s="196">
        <f>'Rider Rates'!$B$109</f>
        <v>0</v>
      </c>
      <c r="J47" s="196">
        <f t="shared" si="0"/>
        <v>0</v>
      </c>
      <c r="K47" s="104"/>
      <c r="L47" s="105"/>
      <c r="M47" s="105"/>
      <c r="N47" s="105">
        <f>I47</f>
        <v>0</v>
      </c>
      <c r="O47" s="105">
        <f t="shared" si="2"/>
        <v>0</v>
      </c>
      <c r="P47" s="245">
        <f>'Rider Rates'!$D$109</f>
        <v>44894</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217</v>
      </c>
      <c r="B48" s="78"/>
      <c r="C48" s="78"/>
      <c r="D48" s="195"/>
      <c r="E48" s="113" t="s">
        <v>115</v>
      </c>
      <c r="F48" s="106"/>
      <c r="G48" s="114"/>
      <c r="H48" s="115"/>
      <c r="I48" s="258">
        <f>'Rider Rates'!B122</f>
        <v>4.84</v>
      </c>
      <c r="J48" s="196">
        <f t="shared" si="0"/>
        <v>4.84</v>
      </c>
      <c r="K48" s="104"/>
      <c r="L48" s="105"/>
      <c r="M48" s="105"/>
      <c r="N48" s="260">
        <f>I48</f>
        <v>4.84</v>
      </c>
      <c r="O48" s="105">
        <f t="shared" si="2"/>
        <v>4.84</v>
      </c>
      <c r="P48" s="245">
        <f>'Rider Rates'!D122</f>
        <v>45593</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36" x14ac:dyDescent="0.25">
      <c r="A49" s="99" t="s">
        <v>157</v>
      </c>
      <c r="B49" s="78"/>
      <c r="C49" s="78"/>
      <c r="D49" s="100">
        <f>C16+C17</f>
        <v>0</v>
      </c>
      <c r="E49" s="101" t="s">
        <v>41</v>
      </c>
      <c r="F49" s="102" t="s">
        <v>8</v>
      </c>
      <c r="G49" s="103"/>
      <c r="H49" s="103"/>
      <c r="I49" s="120"/>
      <c r="J49" s="237">
        <f>SUM(G49:H49)</f>
        <v>0</v>
      </c>
      <c r="K49" s="104" t="s">
        <v>42</v>
      </c>
      <c r="L49" s="105"/>
      <c r="M49" s="105"/>
      <c r="N49" s="105"/>
      <c r="O49" s="105">
        <f t="shared" si="2"/>
        <v>0</v>
      </c>
      <c r="P49" s="245">
        <f>'Rider Rates'!$D$112</f>
        <v>44531</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36" x14ac:dyDescent="0.25">
      <c r="A50" s="210" t="s">
        <v>208</v>
      </c>
      <c r="B50" s="78"/>
      <c r="C50" s="78"/>
      <c r="D50" s="100">
        <f>IF($C$15&lt;1,0,$C$15)</f>
        <v>0</v>
      </c>
      <c r="E50" s="101" t="s">
        <v>41</v>
      </c>
      <c r="F50" s="249" t="s">
        <v>8</v>
      </c>
      <c r="G50" s="165"/>
      <c r="H50" s="165"/>
      <c r="I50" s="251">
        <f>'Rider Rates'!B118</f>
        <v>0</v>
      </c>
      <c r="J50" s="251">
        <f>SUM(G50:I50)</f>
        <v>0</v>
      </c>
      <c r="K50" s="104" t="s">
        <v>42</v>
      </c>
      <c r="L50" s="105"/>
      <c r="M50" s="105"/>
      <c r="N50" s="105">
        <f>D50*J50</f>
        <v>0</v>
      </c>
      <c r="O50" s="105">
        <f>SUM(L50:N50)</f>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36" x14ac:dyDescent="0.25">
      <c r="A51" s="78" t="s">
        <v>233</v>
      </c>
      <c r="B51" s="78"/>
      <c r="C51" s="78"/>
      <c r="D51" s="100">
        <f>IF(C15&lt;0,0,IF(C15&gt;833000,833000,C15))</f>
        <v>0</v>
      </c>
      <c r="E51" s="101" t="s">
        <v>41</v>
      </c>
      <c r="F51" s="102" t="s">
        <v>8</v>
      </c>
      <c r="G51" s="265"/>
      <c r="H51" s="265"/>
      <c r="I51" s="265">
        <f>'Rider Rates'!$B$126</f>
        <v>2.9050000000000001E-4</v>
      </c>
      <c r="J51" s="265">
        <f>SUM(G51:I51)</f>
        <v>2.9050000000000001E-4</v>
      </c>
      <c r="K51" s="104" t="s">
        <v>42</v>
      </c>
      <c r="L51" s="266"/>
      <c r="M51" s="266"/>
      <c r="N51" s="266">
        <f>IF(D51*J51&gt;'Rider Rates'!$C$126,'Rider Rates'!$C$126,D51*J51)</f>
        <v>0</v>
      </c>
      <c r="O51" s="266">
        <f>SUM(L51:N51)</f>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36" x14ac:dyDescent="0.25">
      <c r="A52" s="78" t="s">
        <v>234</v>
      </c>
      <c r="B52" s="78"/>
      <c r="C52" s="78"/>
      <c r="D52" s="123">
        <f>IF(C15&gt;833000,C15-833000,0)</f>
        <v>0</v>
      </c>
      <c r="E52" s="101" t="s">
        <v>41</v>
      </c>
      <c r="F52" s="102" t="s">
        <v>8</v>
      </c>
      <c r="G52" s="265"/>
      <c r="H52" s="265"/>
      <c r="I52" s="265">
        <f>'Rider Rates'!$B$127</f>
        <v>0</v>
      </c>
      <c r="J52" s="265">
        <f>SUM(G52:I52)</f>
        <v>0</v>
      </c>
      <c r="K52" s="104" t="s">
        <v>42</v>
      </c>
      <c r="L52" s="266"/>
      <c r="M52" s="266"/>
      <c r="N52" s="266">
        <f>D52*J52</f>
        <v>0</v>
      </c>
      <c r="O52" s="266">
        <f>SUM(L52:N52)</f>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36" x14ac:dyDescent="0.25">
      <c r="A53" s="241" t="s">
        <v>242</v>
      </c>
      <c r="B53" s="78"/>
      <c r="C53" s="78"/>
      <c r="D53" s="100">
        <f>C15</f>
        <v>0</v>
      </c>
      <c r="E53" s="101" t="s">
        <v>41</v>
      </c>
      <c r="F53" s="249" t="s">
        <v>8</v>
      </c>
      <c r="G53" s="103"/>
      <c r="H53" s="103"/>
      <c r="I53" s="103">
        <f>'Rider Rates'!$B$131</f>
        <v>0</v>
      </c>
      <c r="J53" s="237">
        <f>SUM(G53:I53)</f>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36" x14ac:dyDescent="0.25">
      <c r="A54" s="241" t="s">
        <v>241</v>
      </c>
      <c r="B54" s="78"/>
      <c r="C54" s="78"/>
      <c r="D54" s="100"/>
      <c r="E54" s="101" t="s">
        <v>115</v>
      </c>
      <c r="F54" s="102" t="s">
        <v>8</v>
      </c>
      <c r="G54" s="263"/>
      <c r="H54" s="263"/>
      <c r="I54" s="263">
        <f>'Rider Rates'!$B$138</f>
        <v>0</v>
      </c>
      <c r="J54" s="263">
        <f>SUM(G54:I54)</f>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36"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36" x14ac:dyDescent="0.25">
      <c r="A56" s="179" t="s">
        <v>71</v>
      </c>
      <c r="B56" s="148"/>
      <c r="C56" s="148"/>
      <c r="D56" s="180"/>
      <c r="E56" s="181"/>
      <c r="F56" s="182"/>
      <c r="G56" s="182"/>
      <c r="H56" s="182"/>
      <c r="I56" s="182"/>
      <c r="J56" s="182"/>
      <c r="K56" s="183"/>
      <c r="L56" s="169">
        <f>SUM(L27:L55)</f>
        <v>0</v>
      </c>
      <c r="M56" s="169">
        <f t="shared" ref="M56:O56" si="3">SUM(M27:M55)</f>
        <v>0</v>
      </c>
      <c r="N56" s="169">
        <f t="shared" si="3"/>
        <v>25.68</v>
      </c>
      <c r="O56" s="169">
        <f t="shared" si="3"/>
        <v>25.68</v>
      </c>
      <c r="P56" s="18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36" x14ac:dyDescent="0.25">
      <c r="A57" s="78"/>
      <c r="B57" s="78"/>
      <c r="C57" s="78"/>
      <c r="D57" s="100"/>
      <c r="E57" s="113"/>
      <c r="F57" s="106"/>
      <c r="G57" s="106"/>
      <c r="H57" s="106"/>
      <c r="I57" s="106"/>
      <c r="J57" s="107"/>
      <c r="K57" s="104"/>
      <c r="L57" s="106"/>
      <c r="M57" s="106"/>
      <c r="N57" s="106"/>
      <c r="O57" s="106"/>
      <c r="P57" s="164"/>
      <c r="Q57" s="106"/>
      <c r="R57" s="107"/>
      <c r="S57" s="108"/>
      <c r="T57" s="109"/>
      <c r="U57" s="78"/>
      <c r="V57" s="110"/>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row>
    <row r="58" spans="1:236" x14ac:dyDescent="0.25">
      <c r="A58" s="185" t="s">
        <v>94</v>
      </c>
      <c r="B58" s="170"/>
      <c r="C58" s="170"/>
      <c r="D58" s="170"/>
      <c r="E58" s="170"/>
      <c r="F58" s="170"/>
      <c r="G58" s="170"/>
      <c r="H58" s="170"/>
      <c r="I58" s="170"/>
      <c r="J58" s="170"/>
      <c r="K58" s="170"/>
      <c r="L58" s="186">
        <f>L23+L56</f>
        <v>0</v>
      </c>
      <c r="M58" s="186">
        <f>M23+M56</f>
        <v>0</v>
      </c>
      <c r="N58" s="186">
        <f>N23+N56</f>
        <v>35.08</v>
      </c>
      <c r="O58" s="187">
        <f>O23+O56</f>
        <v>35.08</v>
      </c>
      <c r="P58" s="187"/>
      <c r="Q58" s="106"/>
      <c r="R58" s="188"/>
      <c r="S58" s="108"/>
      <c r="T58" s="109"/>
      <c r="U58" s="78"/>
      <c r="V58" s="10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row>
    <row r="59" spans="1:236" x14ac:dyDescent="0.25">
      <c r="A59" s="78"/>
      <c r="B59" s="78"/>
      <c r="C59" s="78"/>
      <c r="D59" s="78"/>
      <c r="E59" s="78"/>
      <c r="F59" s="78"/>
      <c r="G59" s="78"/>
      <c r="H59" s="78"/>
      <c r="I59" s="78"/>
      <c r="J59" s="78"/>
      <c r="K59" s="78"/>
      <c r="L59" s="78"/>
      <c r="M59" s="78"/>
      <c r="N59" s="151"/>
      <c r="O59" s="151"/>
      <c r="P59" s="151"/>
      <c r="Q59" s="166"/>
      <c r="R59" s="166"/>
      <c r="S59" s="166"/>
      <c r="T59" s="189"/>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78"/>
      <c r="GE59" s="78"/>
      <c r="GF59" s="78"/>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row>
    <row r="60" spans="1:236" x14ac:dyDescent="0.25">
      <c r="A60" s="78"/>
      <c r="B60" s="78"/>
      <c r="C60" s="78"/>
      <c r="D60" s="78"/>
      <c r="E60" s="78"/>
      <c r="F60" s="78"/>
      <c r="G60" s="78"/>
      <c r="H60" s="78"/>
      <c r="I60" s="78"/>
      <c r="J60" s="78"/>
      <c r="K60" s="78"/>
      <c r="L60" s="78"/>
      <c r="M60" s="78"/>
      <c r="N60" s="151"/>
      <c r="O60" s="151"/>
      <c r="P60" s="151"/>
      <c r="Q60" s="166"/>
      <c r="R60" s="166"/>
      <c r="S60" s="166"/>
      <c r="T60" s="189"/>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c r="EU60" s="78"/>
      <c r="EV60" s="78"/>
      <c r="EW60" s="78"/>
      <c r="EX60" s="78"/>
      <c r="EY60" s="78"/>
      <c r="EZ60" s="78"/>
      <c r="FA60" s="78"/>
      <c r="FB60" s="78"/>
      <c r="FC60" s="78"/>
      <c r="FD60" s="78"/>
      <c r="FE60" s="78"/>
      <c r="FF60" s="78"/>
      <c r="FG60" s="78"/>
      <c r="FH60" s="78"/>
      <c r="FI60" s="78"/>
      <c r="FJ60" s="78"/>
      <c r="FK60" s="78"/>
      <c r="FL60" s="78"/>
      <c r="FM60" s="78"/>
      <c r="FN60" s="78"/>
      <c r="FO60" s="78"/>
      <c r="FP60" s="78"/>
      <c r="FQ60" s="78"/>
      <c r="FR60" s="78"/>
      <c r="FS60" s="78"/>
      <c r="FT60" s="78"/>
      <c r="FU60" s="78"/>
      <c r="FV60" s="78"/>
      <c r="FW60" s="78"/>
      <c r="FX60" s="78"/>
      <c r="FY60" s="78"/>
      <c r="FZ60" s="78"/>
      <c r="GA60" s="78"/>
      <c r="GB60" s="78"/>
      <c r="GC60" s="78"/>
      <c r="GD60" s="78"/>
      <c r="GE60" s="78"/>
      <c r="GF60" s="78"/>
      <c r="GG60" s="78"/>
      <c r="GH60" s="78"/>
      <c r="GI60" s="78"/>
      <c r="GJ60" s="78"/>
      <c r="GK60" s="78"/>
      <c r="GL60" s="78"/>
      <c r="GM60" s="78"/>
      <c r="GN60" s="78"/>
      <c r="GO60" s="78"/>
      <c r="GP60" s="78"/>
      <c r="GQ60" s="78"/>
      <c r="GR60" s="78"/>
      <c r="GS60" s="78"/>
      <c r="GT60" s="78"/>
      <c r="GU60" s="78"/>
      <c r="GV60" s="78"/>
      <c r="GW60" s="78"/>
      <c r="GX60" s="78"/>
      <c r="GY60" s="78"/>
      <c r="GZ60" s="78"/>
      <c r="HA60" s="78"/>
      <c r="HB60" s="78"/>
      <c r="HC60" s="78"/>
      <c r="HD60" s="78"/>
      <c r="HE60" s="78"/>
      <c r="HF60" s="78"/>
      <c r="HG60" s="78"/>
      <c r="HH60" s="78"/>
      <c r="HI60" s="78"/>
      <c r="HJ60" s="78"/>
      <c r="HK60" s="78"/>
      <c r="HL60" s="78"/>
      <c r="HM60" s="78"/>
    </row>
    <row r="61" spans="1:236" x14ac:dyDescent="0.25">
      <c r="A61" s="166" t="s">
        <v>93</v>
      </c>
      <c r="B61" s="78"/>
      <c r="C61" s="78"/>
      <c r="D61" s="78"/>
      <c r="E61" s="78"/>
      <c r="F61" s="78"/>
      <c r="G61" s="78"/>
      <c r="H61" s="78"/>
      <c r="I61" s="78"/>
      <c r="J61" s="78"/>
      <c r="K61" s="78"/>
      <c r="L61" s="78"/>
      <c r="M61" s="78"/>
      <c r="N61" s="78"/>
      <c r="O61" s="109">
        <f>O21+O56</f>
        <v>35.08</v>
      </c>
      <c r="P61" s="151"/>
      <c r="Q61" s="166"/>
      <c r="R61" s="166"/>
      <c r="S61" s="166"/>
      <c r="T61" s="189"/>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row>
    <row r="62" spans="1:236" x14ac:dyDescent="0.25">
      <c r="A62" s="166" t="s">
        <v>15</v>
      </c>
      <c r="B62" s="166"/>
      <c r="C62" s="166"/>
      <c r="D62" s="166"/>
      <c r="E62" s="166"/>
      <c r="F62" s="166"/>
      <c r="G62" s="166"/>
      <c r="H62" s="166"/>
      <c r="I62" s="78"/>
      <c r="J62" s="78"/>
      <c r="K62" s="78"/>
      <c r="L62" s="78"/>
      <c r="M62" s="78"/>
      <c r="N62" s="151"/>
      <c r="O62" s="151"/>
      <c r="P62" s="151"/>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78"/>
      <c r="GU62" s="78"/>
      <c r="GV62" s="78"/>
      <c r="GW62" s="78"/>
      <c r="GX62" s="78"/>
      <c r="GY62" s="78"/>
      <c r="GZ62" s="78"/>
      <c r="HA62" s="78"/>
      <c r="HB62" s="78"/>
      <c r="HC62" s="78"/>
      <c r="HD62" s="78"/>
      <c r="HE62" s="78"/>
      <c r="HF62" s="78"/>
      <c r="HG62" s="78"/>
      <c r="HH62" s="78"/>
      <c r="HI62" s="78"/>
      <c r="HJ62" s="78"/>
      <c r="HK62" s="78"/>
      <c r="HL62" s="78"/>
      <c r="HM62" s="78"/>
    </row>
    <row r="63" spans="1:236" x14ac:dyDescent="0.25">
      <c r="A63" s="148" t="s">
        <v>117</v>
      </c>
      <c r="B63" s="151"/>
      <c r="C63" s="151"/>
      <c r="D63" s="151"/>
      <c r="E63" s="151"/>
      <c r="F63" s="151"/>
      <c r="G63" s="151"/>
      <c r="H63" s="151"/>
      <c r="I63" s="151"/>
      <c r="J63" s="151"/>
      <c r="K63" s="151"/>
      <c r="L63" s="151"/>
      <c r="M63" s="151"/>
      <c r="N63" s="151"/>
      <c r="O63" s="190">
        <f>IF($D$17&lt;0,O58,IF(O58&gt;O61,O58,O61))</f>
        <v>35.08</v>
      </c>
      <c r="P63" s="160"/>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row>
    <row r="64" spans="1:236" ht="15" customHeight="1" x14ac:dyDescent="0.25">
      <c r="A64" s="148"/>
      <c r="B64" s="151"/>
      <c r="C64" s="151"/>
      <c r="D64" s="151"/>
      <c r="E64" s="151"/>
      <c r="F64" s="151"/>
      <c r="G64" s="151"/>
      <c r="H64" s="151"/>
      <c r="I64" s="151"/>
      <c r="J64" s="151"/>
      <c r="K64" s="151"/>
      <c r="L64" s="151"/>
      <c r="M64" s="151"/>
      <c r="N64" s="151"/>
      <c r="O64" s="190"/>
      <c r="P64" s="160"/>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X64" s="78"/>
      <c r="FY64" s="78"/>
      <c r="FZ64" s="78"/>
      <c r="GA64" s="78"/>
      <c r="GB64" s="78"/>
      <c r="GC64" s="78"/>
      <c r="GD64" s="78"/>
      <c r="GE64" s="78"/>
      <c r="GF64" s="78"/>
      <c r="GG64" s="78"/>
      <c r="GH64" s="78"/>
      <c r="GI64" s="78"/>
      <c r="GJ64" s="78"/>
      <c r="GK64" s="78"/>
      <c r="GL64" s="78"/>
      <c r="GM64" s="78"/>
      <c r="GN64" s="78"/>
      <c r="GO64" s="78"/>
      <c r="GP64" s="78"/>
      <c r="GQ64" s="78"/>
      <c r="GR64" s="78"/>
      <c r="GS64" s="78"/>
      <c r="GT64" s="78"/>
      <c r="GU64" s="78"/>
      <c r="GV64" s="78"/>
      <c r="GW64" s="78"/>
      <c r="GX64" s="78"/>
      <c r="GY64" s="78"/>
      <c r="GZ64" s="78"/>
      <c r="HA64" s="78"/>
      <c r="HB64" s="78"/>
      <c r="HC64" s="78"/>
      <c r="HD64" s="78"/>
      <c r="HE64" s="78"/>
      <c r="HF64" s="78"/>
      <c r="HG64" s="78"/>
      <c r="HH64" s="78"/>
      <c r="HI64" s="78"/>
      <c r="HJ64" s="78"/>
      <c r="HK64" s="78"/>
      <c r="HL64" s="78"/>
      <c r="HM64" s="78"/>
      <c r="HN64" s="78"/>
      <c r="HO64" s="78"/>
      <c r="HP64" s="78"/>
      <c r="HQ64" s="78"/>
      <c r="HR64" s="78"/>
      <c r="HS64" s="78"/>
      <c r="HT64" s="78"/>
      <c r="HU64" s="78"/>
      <c r="HV64" s="78"/>
      <c r="HW64" s="78"/>
      <c r="HX64" s="78"/>
      <c r="HY64" s="78"/>
      <c r="HZ64" s="78"/>
      <c r="IA64" s="78"/>
      <c r="IB64" s="78"/>
    </row>
    <row r="65" spans="1:222" x14ac:dyDescent="0.25">
      <c r="A65" s="148"/>
      <c r="B65" s="166"/>
      <c r="C65" s="166"/>
      <c r="D65" s="166"/>
      <c r="E65" s="166"/>
      <c r="F65" s="166"/>
      <c r="G65" s="166"/>
      <c r="H65" s="166"/>
      <c r="I65" s="166" t="s">
        <v>121</v>
      </c>
      <c r="J65" s="166"/>
      <c r="K65" s="166"/>
      <c r="L65" s="191"/>
      <c r="M65" s="191"/>
      <c r="N65" s="191"/>
      <c r="O65" s="191">
        <f>ROUND(IF($C$15&lt;1,0,O58/($C$15*100)*10000),2)</f>
        <v>0</v>
      </c>
      <c r="P65" s="37" t="s">
        <v>87</v>
      </c>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HE65" s="78"/>
      <c r="HF65" s="78"/>
      <c r="HG65" s="78"/>
      <c r="HH65" s="78"/>
      <c r="HI65" s="78"/>
      <c r="HJ65" s="78"/>
      <c r="HK65" s="78"/>
      <c r="HL65" s="78"/>
      <c r="HM65" s="78"/>
      <c r="HN65" s="78"/>
    </row>
    <row r="66" spans="1:222" x14ac:dyDescent="0.25">
      <c r="B66" s="78"/>
      <c r="C66" s="78"/>
      <c r="D66" s="78"/>
      <c r="E66" s="78"/>
      <c r="F66" s="78"/>
      <c r="G66" s="78"/>
      <c r="H66" s="192"/>
      <c r="I66" s="242" t="s">
        <v>190</v>
      </c>
      <c r="J66" s="78"/>
      <c r="K66" s="78"/>
      <c r="L66" s="78"/>
      <c r="M66" s="78"/>
      <c r="N66" s="78"/>
      <c r="O66" s="243">
        <f>ROUND(IF($C$15&lt;1,0,(L58)/($C$15*100)*10000),2)</f>
        <v>0</v>
      </c>
      <c r="P66" s="25" t="s">
        <v>87</v>
      </c>
      <c r="Q66" s="78"/>
      <c r="R66" s="78"/>
      <c r="S66" s="78"/>
      <c r="T66" s="78"/>
      <c r="U66" s="78"/>
      <c r="V66" s="78"/>
      <c r="W66" s="78"/>
      <c r="X66" s="78"/>
      <c r="Y66" s="78"/>
      <c r="Z66" s="78"/>
      <c r="AA66" s="78"/>
      <c r="AB66" s="78"/>
      <c r="AC66" s="78"/>
      <c r="AD66" s="78"/>
      <c r="AE66" s="78"/>
      <c r="AF66" s="78"/>
      <c r="AG66" s="78"/>
      <c r="AH66" s="78"/>
      <c r="AI66" s="78"/>
      <c r="AJ66" s="78"/>
      <c r="AK66" s="78"/>
    </row>
  </sheetData>
  <sheetProtection algorithmName="SHA-512" hashValue="GjT6mKnGb23aojzZd9dAFNd+W/WDC9wGp/WGfnqjVDmR1Es6IuVHd1Du4LV95mQJZBGa7W78TL2Nf9aUfpk+pg==" saltValue="/OfzJIfaci5kLf8e3dkJj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Button 1">
              <controlPr defaultSize="0" print="0" autoFill="0" autoPict="0" macro="[0]!Info">
                <anchor moveWithCells="1">
                  <from>
                    <xdr:col>0</xdr:col>
                    <xdr:colOff>68580</xdr:colOff>
                    <xdr:row>0</xdr:row>
                    <xdr:rowOff>38100</xdr:rowOff>
                  </from>
                  <to>
                    <xdr:col>0</xdr:col>
                    <xdr:colOff>571500</xdr:colOff>
                    <xdr:row>0</xdr:row>
                    <xdr:rowOff>259080</xdr:rowOff>
                  </to>
                </anchor>
              </controlPr>
            </control>
          </mc:Choice>
        </mc:AlternateContent>
        <mc:AlternateContent xmlns:mc="http://schemas.openxmlformats.org/markup-compatibility/2006">
          <mc:Choice Requires="x14">
            <control shapeId="129026" r:id="rId5"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29027"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9028"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9029"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9030"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IV89"/>
  <sheetViews>
    <sheetView showGridLines="0" topLeftCell="A30" zoomScale="80" zoomScaleNormal="80" workbookViewId="0">
      <selection activeCell="A45" sqref="A45:XFD45"/>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289</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282">
        <f ca="1">TODAY()</f>
        <v>45657</v>
      </c>
      <c r="B6" s="99" t="s">
        <v>291</v>
      </c>
      <c r="C6" s="282"/>
      <c r="D6" s="282"/>
      <c r="E6" s="282"/>
      <c r="F6" s="282"/>
      <c r="G6" s="282"/>
      <c r="H6" s="282"/>
      <c r="I6" s="282"/>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Rates'!$C$23</f>
        <v>7.0209999999999995E-2</v>
      </c>
      <c r="T12" s="207">
        <f>'Rider Rates'!$C$23</f>
        <v>7.0209999999999995E-2</v>
      </c>
      <c r="U12" s="207">
        <f>'Rider Rates'!$C$23</f>
        <v>7.0209999999999995E-2</v>
      </c>
      <c r="V12" s="207">
        <f>'Rider Rates'!$C$23</f>
        <v>7.0209999999999995E-2</v>
      </c>
      <c r="W12" s="207">
        <f>'Rider Rates'!$C$23</f>
        <v>7.0209999999999995E-2</v>
      </c>
      <c r="X12" s="207">
        <f>'Rider Rates'!$B$23</f>
        <v>7.0209999999999995E-2</v>
      </c>
      <c r="Y12" s="207">
        <f>'Rider Rates'!$B$23</f>
        <v>7.0209999999999995E-2</v>
      </c>
      <c r="Z12" s="207">
        <f>'Rider Rates'!$B$23</f>
        <v>7.0209999999999995E-2</v>
      </c>
      <c r="AA12" s="207">
        <f>'Rider Rates'!$B$23</f>
        <v>7.0209999999999995E-2</v>
      </c>
      <c r="AB12" s="207">
        <f>'Rider Rates'!$C$23</f>
        <v>7.0209999999999995E-2</v>
      </c>
      <c r="AC12" s="207">
        <f>'Rider Rates'!$C$23</f>
        <v>7.0209999999999995E-2</v>
      </c>
      <c r="AD12" s="207">
        <f>'Rider Rates'!$C$23</f>
        <v>7.0209999999999995E-2</v>
      </c>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284</v>
      </c>
      <c r="B17" s="31"/>
      <c r="C17" s="32">
        <f>'Customer Info'!$B$27</f>
        <v>0</v>
      </c>
      <c r="D17" s="32">
        <f>$C$17*$C$20</f>
        <v>0</v>
      </c>
      <c r="E17" s="31" t="s">
        <v>287</v>
      </c>
      <c r="F17" s="33"/>
      <c r="G17" s="31"/>
      <c r="H17" s="31"/>
      <c r="I17" s="31"/>
      <c r="J17" s="31"/>
      <c r="K17" s="31"/>
      <c r="L17" s="31"/>
      <c r="M17" s="31"/>
      <c r="N17" s="31"/>
      <c r="O17" s="31"/>
    </row>
    <row r="18" spans="1:30" x14ac:dyDescent="0.25">
      <c r="A18" s="31" t="s">
        <v>285</v>
      </c>
      <c r="B18" s="31"/>
      <c r="C18" s="285">
        <f>IF('Customer Info'!$B$18=0,0,ROUND(MAX(ROUND('Customer Info'!$B$18*'GS SEC OAD'!C20,1),ROUND('Customer Info'!$B$19*'GS SEC OAD'!C20,1))/'Customer Info'!$D$29,1))</f>
        <v>0</v>
      </c>
      <c r="D18" s="285">
        <f>$C$18</f>
        <v>0</v>
      </c>
      <c r="E18" s="31" t="s">
        <v>288</v>
      </c>
      <c r="F18" s="33"/>
      <c r="G18" s="31"/>
      <c r="H18" s="31"/>
      <c r="I18" s="31"/>
      <c r="J18" s="31"/>
      <c r="K18" s="31"/>
      <c r="L18" s="31"/>
      <c r="M18" s="31"/>
      <c r="N18" s="31"/>
      <c r="O18" s="31"/>
    </row>
    <row r="19" spans="1:30" x14ac:dyDescent="0.25">
      <c r="A19" s="31" t="s">
        <v>286</v>
      </c>
      <c r="B19" s="31"/>
      <c r="C19" s="32"/>
      <c r="D19" s="285">
        <f>MAX(100,ROUND(1.15*(MAX('Customer Info'!$B$18*'GS SEC OAD'!C20,'Customer Info'!$B$19*'GS SEC OAD'!C20)),1))</f>
        <v>100</v>
      </c>
      <c r="E19" s="31" t="s">
        <v>288</v>
      </c>
      <c r="F19" s="33"/>
      <c r="G19" s="31"/>
      <c r="H19" s="31"/>
      <c r="I19" s="31"/>
      <c r="J19" s="31"/>
      <c r="K19" s="31"/>
      <c r="L19" s="31"/>
      <c r="M19" s="31"/>
      <c r="N19" s="31"/>
      <c r="O19" s="31"/>
    </row>
    <row r="20" spans="1:30" x14ac:dyDescent="0.25">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07" t="s">
        <v>15</v>
      </c>
      <c r="E21" s="507"/>
      <c r="F21" s="507"/>
      <c r="G21" s="507"/>
      <c r="H21" s="507"/>
      <c r="K21" s="31"/>
      <c r="L21" s="31"/>
      <c r="M21" s="31"/>
      <c r="N21" s="31"/>
      <c r="O21" s="50"/>
    </row>
    <row r="22" spans="1:30" x14ac:dyDescent="0.25">
      <c r="A22" s="31" t="s">
        <v>15</v>
      </c>
      <c r="B22" s="31"/>
      <c r="C22" s="82" t="s">
        <v>15</v>
      </c>
      <c r="D22" s="507" t="s">
        <v>15</v>
      </c>
      <c r="E22" s="507"/>
      <c r="F22" s="507"/>
      <c r="G22" s="507"/>
      <c r="H22" s="507"/>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489" t="s">
        <v>68</v>
      </c>
      <c r="H24" s="490"/>
      <c r="I24" s="490"/>
      <c r="J24" s="491"/>
      <c r="K24" s="22"/>
      <c r="L24" s="492" t="s">
        <v>69</v>
      </c>
      <c r="M24" s="492"/>
      <c r="N24" s="492"/>
      <c r="O24" s="492"/>
    </row>
    <row r="25" spans="1:30" x14ac:dyDescent="0.25">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5">
      <c r="A26" t="s">
        <v>32</v>
      </c>
      <c r="G26" s="86"/>
      <c r="H26" s="86"/>
      <c r="I26" s="86">
        <v>9.4</v>
      </c>
      <c r="J26" s="86">
        <f>SUM(G26:I26)</f>
        <v>9.4</v>
      </c>
      <c r="L26" s="88"/>
      <c r="M26" s="88"/>
      <c r="N26" s="88">
        <f>I26</f>
        <v>9.4</v>
      </c>
      <c r="O26" s="209">
        <f>SUM(L26:N26)</f>
        <v>9.4</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7.01</v>
      </c>
      <c r="J28" s="85">
        <f>SUM(G28:I28)</f>
        <v>7.01</v>
      </c>
      <c r="K28" s="36" t="s">
        <v>44</v>
      </c>
      <c r="L28" s="87"/>
      <c r="M28" s="87"/>
      <c r="N28" s="87">
        <f>ROUND($D28*I28,2)</f>
        <v>0</v>
      </c>
      <c r="O28" s="209">
        <f>SUM(L28:N28)</f>
        <v>0</v>
      </c>
      <c r="P28" s="245">
        <v>44531</v>
      </c>
    </row>
    <row r="29" spans="1:30" x14ac:dyDescent="0.25">
      <c r="A29" t="s">
        <v>260</v>
      </c>
      <c r="D29" s="49">
        <f>IF(D18&lt;=100,0,ROUND(IF(D18-D19&gt;0,D18-D19),1))</f>
        <v>0</v>
      </c>
      <c r="E29" s="29" t="s">
        <v>258</v>
      </c>
      <c r="F29" s="4" t="s">
        <v>8</v>
      </c>
      <c r="G29" s="116"/>
      <c r="H29" s="85"/>
      <c r="I29" s="85">
        <v>1.25</v>
      </c>
      <c r="J29" s="116">
        <f>SUM(G29:I29)</f>
        <v>1.25</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9.4</v>
      </c>
      <c r="O30" s="40">
        <f>SUM(O26:O29)</f>
        <v>9.4</v>
      </c>
    </row>
    <row r="31" spans="1:30" x14ac:dyDescent="0.25">
      <c r="A31" s="89"/>
      <c r="B31" s="89"/>
      <c r="C31" s="90"/>
      <c r="D31" s="90"/>
      <c r="E31" s="90"/>
      <c r="F31" s="90"/>
      <c r="G31" s="91"/>
      <c r="H31" s="91"/>
      <c r="I31" s="91"/>
      <c r="J31" s="91"/>
      <c r="K31" s="89"/>
      <c r="L31" s="89"/>
      <c r="M31" s="89"/>
      <c r="N31" s="89"/>
      <c r="O31" s="89"/>
      <c r="P31" s="89"/>
    </row>
    <row r="32" spans="1:30" x14ac:dyDescent="0.25">
      <c r="A32" s="41" t="s">
        <v>70</v>
      </c>
      <c r="D32" s="1"/>
      <c r="E32" s="1"/>
      <c r="K32" s="36"/>
      <c r="L32" s="36"/>
      <c r="M32" s="36"/>
      <c r="N32" s="36"/>
      <c r="O32" s="34"/>
      <c r="P32" s="34"/>
    </row>
    <row r="33" spans="1:221" x14ac:dyDescent="0.25">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5">
      <c r="A39" s="241" t="s">
        <v>237</v>
      </c>
      <c r="B39" s="78"/>
      <c r="C39" s="78"/>
      <c r="D39" s="208">
        <f>$N$30</f>
        <v>9.4</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1.8006999999999999E-3</v>
      </c>
      <c r="J40" s="103">
        <f>SUM(G40:I40)</f>
        <v>1.8006999999999999E-3</v>
      </c>
      <c r="K40" s="104" t="s">
        <v>42</v>
      </c>
      <c r="L40" s="105"/>
      <c r="M40" s="105"/>
      <c r="N40" s="87">
        <f>D40*J40</f>
        <v>0</v>
      </c>
      <c r="O40" s="105">
        <f t="shared" si="0"/>
        <v>0</v>
      </c>
      <c r="P40" s="245">
        <f>'Rider Rates'!E49</f>
        <v>45658</v>
      </c>
    </row>
    <row r="41" spans="1:221" x14ac:dyDescent="0.25">
      <c r="A41" s="210" t="s">
        <v>189</v>
      </c>
      <c r="B41" s="78"/>
      <c r="C41" s="78"/>
      <c r="D41" s="1">
        <f>IF($C$16&lt;0,0,$C$16)</f>
        <v>0</v>
      </c>
      <c r="E41" s="113" t="s">
        <v>41</v>
      </c>
      <c r="F41" s="102" t="s">
        <v>8</v>
      </c>
      <c r="G41" s="103"/>
      <c r="H41" s="103">
        <f>'Rider Rates'!$B$57</f>
        <v>6.0079999999999997E-4</v>
      </c>
      <c r="I41" s="103"/>
      <c r="J41" s="103">
        <f>SUM(G41:I41)</f>
        <v>6.0079999999999997E-4</v>
      </c>
      <c r="K41" s="104" t="s">
        <v>42</v>
      </c>
      <c r="L41" s="105"/>
      <c r="M41" s="105">
        <f>ROUND(D41*H41,2)</f>
        <v>0</v>
      </c>
      <c r="N41" s="205"/>
      <c r="O41" s="105">
        <f t="shared" si="0"/>
        <v>0</v>
      </c>
      <c r="P41" s="245">
        <f>'Rider Rates'!$D$57</f>
        <v>45383</v>
      </c>
    </row>
    <row r="42" spans="1:221" x14ac:dyDescent="0.25">
      <c r="A42" s="210" t="s">
        <v>189</v>
      </c>
      <c r="B42" s="78"/>
      <c r="C42" s="78"/>
      <c r="D42" s="49">
        <f>D28</f>
        <v>0</v>
      </c>
      <c r="E42" s="35" t="s">
        <v>64</v>
      </c>
      <c r="F42" s="4" t="s">
        <v>8</v>
      </c>
      <c r="G42" s="103"/>
      <c r="H42" s="239">
        <f>'Rider Rates'!$B$62</f>
        <v>6.73</v>
      </c>
      <c r="I42" s="103"/>
      <c r="J42" s="239">
        <f>SUM(G42:I42)</f>
        <v>6.73</v>
      </c>
      <c r="K42" s="104" t="s">
        <v>44</v>
      </c>
      <c r="L42" s="105"/>
      <c r="M42" s="105">
        <f>ROUND(D42*H42,2)</f>
        <v>0</v>
      </c>
      <c r="N42" s="205"/>
      <c r="O42" s="105">
        <f t="shared" si="0"/>
        <v>0</v>
      </c>
      <c r="P42" s="245">
        <f>'Rider Rates'!$D$62</f>
        <v>45383</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81</v>
      </c>
      <c r="B45" s="78"/>
      <c r="C45" s="78"/>
      <c r="D45" s="208">
        <f>$N$30</f>
        <v>9.4</v>
      </c>
      <c r="E45" s="101" t="s">
        <v>122</v>
      </c>
      <c r="F45" s="102" t="s">
        <v>8</v>
      </c>
      <c r="G45" s="111"/>
      <c r="H45" s="112"/>
      <c r="I45" s="120">
        <f>'Rider Rates'!$B$85</f>
        <v>4.94232E-2</v>
      </c>
      <c r="J45" s="120">
        <f>SUM(H45:I45)</f>
        <v>4.94232E-2</v>
      </c>
      <c r="K45" s="104"/>
      <c r="L45" s="105"/>
      <c r="M45" s="105"/>
      <c r="N45" s="105">
        <f>ROUND(N$30*I45,2)</f>
        <v>0.46</v>
      </c>
      <c r="O45" s="209">
        <f t="shared" si="0"/>
        <v>0.46</v>
      </c>
      <c r="P45" s="245">
        <f>'Rider Rates'!$D$85</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99" t="s">
        <v>82</v>
      </c>
      <c r="B46" s="78"/>
      <c r="C46" s="78"/>
      <c r="D46" s="208">
        <f>$N$30</f>
        <v>9.4</v>
      </c>
      <c r="E46" s="101" t="s">
        <v>122</v>
      </c>
      <c r="F46" s="102" t="s">
        <v>8</v>
      </c>
      <c r="G46" s="114"/>
      <c r="H46" s="115"/>
      <c r="I46" s="120">
        <f>'Rider Rates'!$B$87</f>
        <v>6.6985699999999995E-2</v>
      </c>
      <c r="J46" s="120">
        <f>SUM(H46:I46)</f>
        <v>6.6985699999999995E-2</v>
      </c>
      <c r="K46" s="104"/>
      <c r="L46" s="105"/>
      <c r="M46" s="105"/>
      <c r="N46" s="105">
        <f>ROUND(N$30*I46,2)</f>
        <v>0.63</v>
      </c>
      <c r="O46" s="209">
        <f t="shared" si="0"/>
        <v>0.63</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5">
      <c r="A47" s="210" t="s">
        <v>206</v>
      </c>
      <c r="B47" s="78"/>
      <c r="C47" s="78"/>
      <c r="D47" s="195"/>
      <c r="E47" s="113" t="s">
        <v>115</v>
      </c>
      <c r="F47" s="106"/>
      <c r="G47" s="114"/>
      <c r="H47" s="115"/>
      <c r="I47" s="196">
        <f>'Rider Rates'!$B$91</f>
        <v>17.53</v>
      </c>
      <c r="J47" s="196">
        <f>SUM(G47:I47)</f>
        <v>17.53</v>
      </c>
      <c r="K47" s="104"/>
      <c r="L47" s="105"/>
      <c r="M47" s="105"/>
      <c r="N47" s="105">
        <f>I47</f>
        <v>17.53</v>
      </c>
      <c r="O47" s="105">
        <f>SUM(L47:N47)</f>
        <v>17.53</v>
      </c>
      <c r="P47" s="245">
        <f>'Rider Rates'!$D$91</f>
        <v>45657</v>
      </c>
    </row>
    <row r="48" spans="1:221" x14ac:dyDescent="0.25">
      <c r="A48" s="99" t="s">
        <v>156</v>
      </c>
      <c r="B48" s="78"/>
      <c r="C48" s="78"/>
      <c r="D48" s="208">
        <f>$N$30</f>
        <v>9.4</v>
      </c>
      <c r="E48" s="101" t="s">
        <v>122</v>
      </c>
      <c r="F48" s="102" t="s">
        <v>8</v>
      </c>
      <c r="G48" s="114"/>
      <c r="H48" s="115"/>
      <c r="I48" s="120">
        <f>'Rider Rates'!$B$105</f>
        <v>0.2363101</v>
      </c>
      <c r="J48" s="120">
        <f>SUM(H48:I48)</f>
        <v>0.2363101</v>
      </c>
      <c r="K48" s="104"/>
      <c r="L48" s="105"/>
      <c r="M48" s="105"/>
      <c r="N48" s="105">
        <f>ROUND(N$30*I48,2)</f>
        <v>2.2200000000000002</v>
      </c>
      <c r="O48" s="105">
        <f t="shared" si="0"/>
        <v>2.2200000000000002</v>
      </c>
      <c r="P48" s="245">
        <f>'Rider Rates'!$D$105</f>
        <v>45622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209</v>
      </c>
      <c r="B49" s="78"/>
      <c r="C49" s="78"/>
      <c r="D49" s="195"/>
      <c r="E49" s="113" t="s">
        <v>115</v>
      </c>
      <c r="F49" s="106"/>
      <c r="G49" s="114"/>
      <c r="H49" s="115"/>
      <c r="I49" s="196">
        <f>'Rider Rates'!$B$109</f>
        <v>0</v>
      </c>
      <c r="J49" s="196">
        <f t="shared" ref="J49:J55" si="1">SUM(G49:I49)</f>
        <v>0</v>
      </c>
      <c r="K49" s="104"/>
      <c r="L49" s="105"/>
      <c r="M49" s="105"/>
      <c r="N49" s="105">
        <f>I49</f>
        <v>0</v>
      </c>
      <c r="O49" s="105">
        <f t="shared" ref="O49:O53" si="2">SUM(L49:N49)</f>
        <v>0</v>
      </c>
      <c r="P49" s="245">
        <f>'Rider Rates'!$D$109</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217</v>
      </c>
      <c r="B50" s="78"/>
      <c r="C50" s="78"/>
      <c r="D50" s="195"/>
      <c r="E50" s="113" t="s">
        <v>115</v>
      </c>
      <c r="F50" s="106"/>
      <c r="G50" s="114"/>
      <c r="H50" s="115"/>
      <c r="I50" s="258">
        <f>'Rider Rates'!B122</f>
        <v>4.84</v>
      </c>
      <c r="J50" s="196">
        <f t="shared" si="1"/>
        <v>4.84</v>
      </c>
      <c r="K50" s="104"/>
      <c r="L50" s="105"/>
      <c r="M50" s="105"/>
      <c r="N50" s="260">
        <f>I50</f>
        <v>4.84</v>
      </c>
      <c r="O50" s="105">
        <f t="shared" si="2"/>
        <v>4.84</v>
      </c>
      <c r="P50" s="245">
        <f>'Rider Rates'!D122</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208</v>
      </c>
      <c r="B51" s="78"/>
      <c r="C51" s="78"/>
      <c r="D51" s="1">
        <f>IF($C$16&lt;1,0,$C$16)</f>
        <v>0</v>
      </c>
      <c r="E51" s="101" t="s">
        <v>41</v>
      </c>
      <c r="F51" s="249" t="s">
        <v>8</v>
      </c>
      <c r="G51" s="165"/>
      <c r="H51" s="165"/>
      <c r="I51" s="251">
        <f>'Rider Rates'!B118</f>
        <v>0</v>
      </c>
      <c r="J51" s="251">
        <f t="shared" si="1"/>
        <v>0</v>
      </c>
      <c r="K51" s="104" t="s">
        <v>42</v>
      </c>
      <c r="L51" s="105"/>
      <c r="M51" s="105"/>
      <c r="N51" s="105">
        <f>D51*I51</f>
        <v>0</v>
      </c>
      <c r="O51" s="105">
        <f t="shared" si="2"/>
        <v>0</v>
      </c>
      <c r="P51" s="245">
        <f>'Rider Rates'!D118</f>
        <v>45657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233</v>
      </c>
      <c r="B52" s="78"/>
      <c r="C52" s="78"/>
      <c r="D52" s="100">
        <f>IF(C16&lt;0,0,IF(C16&gt;833000,833000,C16))</f>
        <v>0</v>
      </c>
      <c r="E52" s="101" t="s">
        <v>41</v>
      </c>
      <c r="F52" s="102" t="s">
        <v>8</v>
      </c>
      <c r="G52" s="265"/>
      <c r="H52" s="265"/>
      <c r="I52" s="265">
        <f>'Rider Rates'!$B$126</f>
        <v>2.9050000000000001E-4</v>
      </c>
      <c r="J52" s="265">
        <f t="shared" si="1"/>
        <v>2.9050000000000001E-4</v>
      </c>
      <c r="K52" s="104" t="s">
        <v>42</v>
      </c>
      <c r="L52" s="266"/>
      <c r="M52" s="266"/>
      <c r="N52" s="266">
        <f>IF(D52*J52&gt;'Rider Rates'!$C$126,'Rider Rates'!$C$126,D52*J52)</f>
        <v>0</v>
      </c>
      <c r="O52" s="266">
        <f t="shared" si="2"/>
        <v>0</v>
      </c>
      <c r="P52" s="264">
        <f>'Rider Rates'!$E$126</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78" t="s">
        <v>234</v>
      </c>
      <c r="B53" s="78"/>
      <c r="C53" s="78"/>
      <c r="D53" s="123">
        <f>IF(C16&gt;833000,C16-833000,0)</f>
        <v>0</v>
      </c>
      <c r="E53" s="101" t="s">
        <v>41</v>
      </c>
      <c r="F53" s="102" t="s">
        <v>8</v>
      </c>
      <c r="G53" s="265"/>
      <c r="H53" s="265"/>
      <c r="I53" s="265">
        <f>'Rider Rates'!$B$127</f>
        <v>0</v>
      </c>
      <c r="J53" s="265">
        <f t="shared" si="1"/>
        <v>0</v>
      </c>
      <c r="K53" s="104" t="s">
        <v>42</v>
      </c>
      <c r="L53" s="266"/>
      <c r="M53" s="266"/>
      <c r="N53" s="266">
        <f>D53*J53</f>
        <v>0</v>
      </c>
      <c r="O53" s="266">
        <f t="shared" si="2"/>
        <v>0</v>
      </c>
      <c r="P53" s="264">
        <f>'Rider Rates'!$E$127</f>
        <v>45658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242</v>
      </c>
      <c r="B54" s="78"/>
      <c r="C54" s="78"/>
      <c r="D54" s="100">
        <f>D16</f>
        <v>0</v>
      </c>
      <c r="E54" s="101" t="s">
        <v>41</v>
      </c>
      <c r="F54" s="249" t="s">
        <v>8</v>
      </c>
      <c r="G54" s="103"/>
      <c r="H54" s="103"/>
      <c r="I54" s="103">
        <f>'Rider Rates'!$B$131</f>
        <v>0</v>
      </c>
      <c r="J54" s="237">
        <f t="shared" si="1"/>
        <v>0</v>
      </c>
      <c r="K54" s="104" t="s">
        <v>42</v>
      </c>
      <c r="L54" s="105"/>
      <c r="M54" s="105"/>
      <c r="N54" s="105">
        <f>D54*J54</f>
        <v>0</v>
      </c>
      <c r="O54" s="105">
        <f>SUM(L54:N54)</f>
        <v>0</v>
      </c>
      <c r="P54" s="245">
        <f>'Rider Rates'!$D$131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241</v>
      </c>
      <c r="B55" s="78"/>
      <c r="C55" s="78"/>
      <c r="D55" s="100"/>
      <c r="E55" s="101" t="s">
        <v>115</v>
      </c>
      <c r="F55" s="102" t="s">
        <v>8</v>
      </c>
      <c r="G55" s="263"/>
      <c r="H55" s="263"/>
      <c r="I55" s="263">
        <f>'Rider Rates'!$B$138</f>
        <v>0</v>
      </c>
      <c r="J55" s="263">
        <f t="shared" si="1"/>
        <v>0</v>
      </c>
      <c r="K55" s="104"/>
      <c r="L55" s="209"/>
      <c r="M55" s="209"/>
      <c r="N55" s="209">
        <f>J55</f>
        <v>0</v>
      </c>
      <c r="O55" s="209">
        <f>SUM(L55:N55)</f>
        <v>0</v>
      </c>
      <c r="P55" s="264">
        <f>'Rider Rates'!$D$138</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243</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179" t="s">
        <v>71</v>
      </c>
      <c r="B57" s="148"/>
      <c r="C57" s="148"/>
      <c r="D57" s="180"/>
      <c r="E57" s="181"/>
      <c r="F57" s="182"/>
      <c r="G57" s="182"/>
      <c r="H57" s="182"/>
      <c r="I57" s="182"/>
      <c r="J57" s="182"/>
      <c r="K57" s="183"/>
      <c r="L57" s="169">
        <f>SUM(L34:L56)</f>
        <v>0</v>
      </c>
      <c r="M57" s="169">
        <f t="shared" ref="M57:O57" si="3">SUM(M34:M56)</f>
        <v>0</v>
      </c>
      <c r="N57" s="169">
        <f t="shared" si="3"/>
        <v>25.68</v>
      </c>
      <c r="O57" s="169">
        <f t="shared" si="3"/>
        <v>25.68</v>
      </c>
      <c r="P57" s="184"/>
    </row>
    <row r="58" spans="1:221" x14ac:dyDescent="0.25">
      <c r="A58" s="37"/>
      <c r="D58" s="1"/>
      <c r="E58" s="35"/>
      <c r="F58" s="4"/>
      <c r="G58" s="42"/>
      <c r="H58" s="42"/>
      <c r="I58" s="42"/>
      <c r="J58" s="42"/>
      <c r="K58" s="36"/>
      <c r="L58" s="36"/>
      <c r="M58" s="36"/>
      <c r="N58" s="36"/>
      <c r="O58" s="34"/>
      <c r="P58" s="36"/>
    </row>
    <row r="59" spans="1:221" x14ac:dyDescent="0.25">
      <c r="A59" s="284" t="s">
        <v>72</v>
      </c>
      <c r="B59" s="92"/>
      <c r="C59" s="92"/>
      <c r="D59" s="92"/>
      <c r="E59" s="92"/>
      <c r="F59" s="92"/>
      <c r="G59" s="92"/>
      <c r="H59" s="92"/>
      <c r="I59" s="92"/>
      <c r="J59" s="92"/>
      <c r="K59" s="92"/>
      <c r="L59" s="98">
        <f>L30+L57</f>
        <v>0</v>
      </c>
      <c r="M59" s="98">
        <f>M30+M57</f>
        <v>0</v>
      </c>
      <c r="N59" s="98">
        <f>N30+N57</f>
        <v>35.08</v>
      </c>
      <c r="O59" s="98">
        <f>O30+O57</f>
        <v>35.08</v>
      </c>
      <c r="P59" s="98"/>
    </row>
    <row r="60" spans="1:221" x14ac:dyDescent="0.25">
      <c r="A60" s="37"/>
      <c r="B60" s="37"/>
      <c r="C60" s="37"/>
      <c r="D60" s="37"/>
      <c r="E60" s="37"/>
      <c r="F60" s="37"/>
      <c r="G60" s="37"/>
      <c r="H60" s="37"/>
      <c r="I60" s="37"/>
      <c r="J60" s="37"/>
      <c r="K60" s="37"/>
      <c r="L60" s="37"/>
      <c r="M60" s="37"/>
      <c r="N60" s="37"/>
      <c r="O60" s="40"/>
      <c r="P60" s="40"/>
    </row>
    <row r="61" spans="1:221" x14ac:dyDescent="0.25">
      <c r="A61" s="37" t="s">
        <v>37</v>
      </c>
      <c r="B61" s="37"/>
      <c r="C61" s="37"/>
      <c r="D61" s="37"/>
      <c r="E61" s="37"/>
      <c r="F61" s="37"/>
      <c r="G61" s="37"/>
      <c r="H61" s="37"/>
      <c r="I61" s="37"/>
      <c r="J61" s="37"/>
      <c r="K61" s="37"/>
      <c r="L61" s="37"/>
      <c r="M61" s="37"/>
      <c r="N61" s="37"/>
      <c r="O61" s="45">
        <f>O26+O28+O57</f>
        <v>35.08</v>
      </c>
      <c r="P61" s="245">
        <v>40967</v>
      </c>
    </row>
    <row r="62" spans="1:221" x14ac:dyDescent="0.25">
      <c r="A62" s="37"/>
      <c r="B62" s="37"/>
      <c r="C62" s="37"/>
      <c r="D62" s="37"/>
      <c r="E62" s="37"/>
      <c r="F62" s="37"/>
      <c r="G62" s="46"/>
      <c r="H62" s="46"/>
      <c r="I62" s="46"/>
      <c r="J62" s="46"/>
      <c r="K62" s="36"/>
      <c r="L62" s="36"/>
      <c r="M62" s="36"/>
      <c r="N62" s="36"/>
      <c r="O62" s="40"/>
    </row>
    <row r="63" spans="1:221" x14ac:dyDescent="0.25">
      <c r="A63" s="41" t="s">
        <v>117</v>
      </c>
      <c r="B63" s="37"/>
      <c r="C63" s="37"/>
      <c r="D63" s="37"/>
      <c r="E63" s="37"/>
      <c r="F63" s="37"/>
      <c r="G63" s="46"/>
      <c r="H63" s="46"/>
      <c r="I63" s="46"/>
      <c r="J63" s="46"/>
      <c r="K63" s="36"/>
      <c r="L63" s="36"/>
      <c r="M63" s="36"/>
      <c r="N63" s="36"/>
      <c r="O63" s="138">
        <f>MAX($O$59,$O$61)</f>
        <v>35.08</v>
      </c>
    </row>
    <row r="64" spans="1:221" x14ac:dyDescent="0.25">
      <c r="A64" s="37"/>
      <c r="B64" s="37"/>
      <c r="C64" s="37"/>
      <c r="D64" s="37"/>
      <c r="E64" s="37"/>
      <c r="F64" s="37"/>
      <c r="G64" s="46"/>
      <c r="H64" s="46"/>
      <c r="I64" s="46"/>
      <c r="J64" s="46"/>
      <c r="K64" s="36"/>
      <c r="L64" s="36"/>
      <c r="M64" s="36"/>
      <c r="N64" s="36"/>
      <c r="O64" s="40"/>
    </row>
    <row r="65" spans="1:16" x14ac:dyDescent="0.25">
      <c r="A65" s="37"/>
      <c r="B65" s="37"/>
      <c r="C65" s="37"/>
      <c r="D65" s="37"/>
      <c r="E65" s="37"/>
      <c r="F65" s="37"/>
      <c r="G65" s="96" t="s">
        <v>86</v>
      </c>
      <c r="H65" s="46"/>
      <c r="I65" s="37"/>
      <c r="J65" s="46"/>
      <c r="K65" s="36"/>
      <c r="L65" s="191"/>
      <c r="M65" s="191"/>
      <c r="N65" s="191"/>
      <c r="O65" s="191">
        <f>ROUND(IF($C$16&lt;1,0,$O$63/($C$16*100)*10000),2)</f>
        <v>0</v>
      </c>
      <c r="P65" s="37" t="s">
        <v>87</v>
      </c>
    </row>
    <row r="66" spans="1:16" x14ac:dyDescent="0.25">
      <c r="A66" s="37"/>
      <c r="B66" s="37"/>
      <c r="C66" s="37"/>
      <c r="D66" s="37"/>
      <c r="E66" s="37"/>
      <c r="F66" s="37"/>
      <c r="G66" s="242" t="s">
        <v>190</v>
      </c>
      <c r="H66" s="136"/>
      <c r="I66" s="133"/>
      <c r="J66" s="136"/>
      <c r="K66" s="137"/>
      <c r="L66" s="78"/>
      <c r="M66" s="78"/>
      <c r="N66" s="78"/>
      <c r="O66" s="243">
        <f>ROUND(IF($C$16&lt;1,0,(L59)/($C$16*100)*10000),2)</f>
        <v>0</v>
      </c>
      <c r="P66" s="25" t="s">
        <v>87</v>
      </c>
    </row>
    <row r="67" spans="1:16" x14ac:dyDescent="0.25">
      <c r="A67" s="37"/>
      <c r="B67" s="37"/>
      <c r="C67" s="37"/>
      <c r="D67" s="37"/>
      <c r="E67" s="37"/>
      <c r="F67" s="37"/>
      <c r="G67" s="96"/>
      <c r="H67" s="46"/>
      <c r="I67" s="96"/>
      <c r="J67" s="46"/>
      <c r="K67" s="36"/>
      <c r="L67" s="36"/>
      <c r="M67" s="36"/>
      <c r="N67" s="36"/>
      <c r="O67" s="130"/>
      <c r="P67" s="37"/>
    </row>
    <row r="68" spans="1:16" ht="20.25" customHeight="1" x14ac:dyDescent="0.4">
      <c r="A68" s="3"/>
      <c r="B68" s="37"/>
      <c r="C68" s="37"/>
      <c r="D68" s="228" t="str">
        <f>IF('Customer Info'!$C$32=TRUE,"Notice: Billing Charge does not include Self Assessed KWH Tax"," ")</f>
        <v xml:space="preserve"> </v>
      </c>
      <c r="E68" s="3"/>
      <c r="F68" s="4"/>
      <c r="G68" s="121"/>
      <c r="H68" s="55"/>
      <c r="I68" s="34"/>
      <c r="J68" s="55"/>
      <c r="K68" s="37"/>
      <c r="L68" s="37"/>
      <c r="M68" s="37"/>
      <c r="N68" s="34"/>
    </row>
    <row r="69" spans="1:16" x14ac:dyDescent="0.25">
      <c r="A69" s="37"/>
      <c r="B69" s="37"/>
      <c r="C69" s="37"/>
      <c r="D69" s="54"/>
      <c r="E69" s="3"/>
      <c r="F69" s="4"/>
      <c r="G69" s="55"/>
      <c r="H69" s="55"/>
      <c r="I69" s="93"/>
      <c r="J69" s="55"/>
      <c r="K69" s="37"/>
      <c r="L69" s="37"/>
      <c r="M69" s="37"/>
      <c r="N69" s="37"/>
      <c r="O69" s="40"/>
    </row>
    <row r="70" spans="1:16" x14ac:dyDescent="0.25">
      <c r="A70" s="37"/>
      <c r="B70" s="37"/>
      <c r="C70" s="37"/>
      <c r="D70" s="54"/>
      <c r="E70" s="3"/>
      <c r="F70" s="4"/>
      <c r="G70" s="55"/>
      <c r="H70" s="55"/>
      <c r="I70" s="55"/>
      <c r="J70" s="55"/>
      <c r="K70" s="37"/>
      <c r="L70" s="37"/>
      <c r="M70" s="37"/>
      <c r="N70" s="37"/>
      <c r="O70" s="40"/>
    </row>
    <row r="71" spans="1:16" x14ac:dyDescent="0.25">
      <c r="A71" s="41"/>
      <c r="B71" s="37"/>
      <c r="C71" s="37"/>
      <c r="D71" s="37"/>
      <c r="E71" s="37"/>
      <c r="F71" s="37"/>
      <c r="G71" s="37"/>
      <c r="H71" s="37"/>
      <c r="J71" s="37"/>
      <c r="K71" s="37"/>
      <c r="L71" s="40"/>
      <c r="M71" s="40"/>
      <c r="N71" s="40"/>
      <c r="O71" s="138"/>
    </row>
    <row r="72" spans="1:16" x14ac:dyDescent="0.25">
      <c r="B72" s="37"/>
      <c r="C72" s="37"/>
      <c r="D72" s="37"/>
      <c r="E72" s="37"/>
      <c r="F72" s="37"/>
      <c r="G72" s="96"/>
      <c r="H72" s="37"/>
      <c r="I72" s="37"/>
      <c r="J72" s="37"/>
      <c r="K72" s="37"/>
      <c r="L72" s="60"/>
      <c r="M72" s="60"/>
      <c r="N72" s="60"/>
      <c r="O72" s="130"/>
      <c r="P72" s="37"/>
    </row>
    <row r="73" spans="1:16" x14ac:dyDescent="0.25">
      <c r="G73" s="133"/>
      <c r="H73" s="56"/>
      <c r="I73" s="133"/>
      <c r="J73" s="56"/>
      <c r="K73" s="56"/>
      <c r="L73" s="134"/>
      <c r="M73" s="134"/>
      <c r="N73" s="134"/>
      <c r="O73" s="135"/>
      <c r="P73" s="25"/>
    </row>
    <row r="75" spans="1:16" x14ac:dyDescent="0.25">
      <c r="A75" s="477"/>
    </row>
    <row r="76" spans="1:16" x14ac:dyDescent="0.25">
      <c r="A76" s="477"/>
    </row>
    <row r="77" spans="1:16" x14ac:dyDescent="0.25">
      <c r="A77" s="477"/>
    </row>
    <row r="78" spans="1:16" x14ac:dyDescent="0.25">
      <c r="A78" s="477"/>
    </row>
    <row r="79" spans="1:16" x14ac:dyDescent="0.25">
      <c r="A79" s="477"/>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sheetData>
  <sheetProtection algorithmName="SHA-512" hashValue="6/7ex1/9BG2wRErLLbn5bU1hW+vkYKS3/cKbJBAdpyjUjEff0D/Et8w1P7yYzU2bu/BvoTx3k53gwbvBtMA5XA==" saltValue="yVgV7ntKW0NM3YEvo434vw=="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5:A89"/>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121858" r:id="rId5" name="Button 2">
              <controlPr defaultSize="0" print="0" autoFill="0" autoPict="0" macro="[0]!Info">
                <anchor moveWithCells="1">
                  <from>
                    <xdr:col>15</xdr:col>
                    <xdr:colOff>411480</xdr:colOff>
                    <xdr:row>83</xdr:row>
                    <xdr:rowOff>76200</xdr:rowOff>
                  </from>
                  <to>
                    <xdr:col>16</xdr:col>
                    <xdr:colOff>38100</xdr:colOff>
                    <xdr:row>84</xdr:row>
                    <xdr:rowOff>144780</xdr:rowOff>
                  </to>
                </anchor>
              </controlPr>
            </control>
          </mc:Choice>
        </mc:AlternateContent>
        <mc:AlternateContent xmlns:mc="http://schemas.openxmlformats.org/markup-compatibility/2006">
          <mc:Choice Requires="x14">
            <control shapeId="121859"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1860"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1861"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1862"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1863"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1864"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1865"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1866"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1867"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1868"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1869"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1870"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1871"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1872"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1873"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1874"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1875"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1876"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1877"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1878"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1879"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1880"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1881"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1882"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1883"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1884"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1885"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1886"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1887"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1888"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1889"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1890"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1891"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1892"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1893"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1894"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1895"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1896"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1897"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1898"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1899"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1900"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1901"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1902"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1903"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1904"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1905"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1906"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1907"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1908"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1909"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1910"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1911"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1912"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1913"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1914"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pageSetUpPr fitToPage="1"/>
  </sheetPr>
  <dimension ref="A1:IV89"/>
  <sheetViews>
    <sheetView showGridLines="0" topLeftCell="A15" zoomScale="80" zoomScaleNormal="80" workbookViewId="0">
      <selection activeCell="A26" sqref="A26"/>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0"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290</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282">
        <f ca="1">TODAY()</f>
        <v>45657</v>
      </c>
      <c r="B6" s="99" t="s">
        <v>292</v>
      </c>
      <c r="C6" s="274"/>
      <c r="D6" s="274"/>
      <c r="E6" s="274"/>
      <c r="F6" s="274"/>
      <c r="G6" s="274"/>
      <c r="H6" s="274"/>
      <c r="I6" s="274"/>
      <c r="J6" s="274"/>
      <c r="K6" s="274"/>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Rates'!$C$24</f>
        <v>6.7849999999999994E-2</v>
      </c>
      <c r="T12" s="207">
        <f>'Rider Rates'!$C$24</f>
        <v>6.7849999999999994E-2</v>
      </c>
      <c r="U12" s="207">
        <f>'Rider Rates'!$C$24</f>
        <v>6.7849999999999994E-2</v>
      </c>
      <c r="V12" s="207">
        <f>'Rider Rates'!$C$24</f>
        <v>6.7849999999999994E-2</v>
      </c>
      <c r="W12" s="207">
        <f>'Rider Rates'!$C$24</f>
        <v>6.7849999999999994E-2</v>
      </c>
      <c r="X12" s="207">
        <f>'Rider Rates'!$B$24</f>
        <v>6.7849999999999994E-2</v>
      </c>
      <c r="Y12" s="207">
        <f>'Rider Rates'!$B$24</f>
        <v>6.7849999999999994E-2</v>
      </c>
      <c r="Z12" s="207">
        <f>'Rider Rates'!$B$24</f>
        <v>6.7849999999999994E-2</v>
      </c>
      <c r="AA12" s="207">
        <f>'Rider Rates'!$B$24</f>
        <v>6.7849999999999994E-2</v>
      </c>
      <c r="AB12" s="207">
        <f>'Rider Rates'!$C$24</f>
        <v>6.7849999999999994E-2</v>
      </c>
      <c r="AC12" s="207">
        <f>'Rider Rates'!$C$24</f>
        <v>6.7849999999999994E-2</v>
      </c>
      <c r="AD12" s="207">
        <f>'Rider Rates'!$C$24</f>
        <v>6.7849999999999994E-2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ROUND(C14*C20,1)</f>
        <v>0</v>
      </c>
      <c r="E14" s="29" t="s">
        <v>45</v>
      </c>
      <c r="F14" s="30"/>
      <c r="G14" s="29" t="s">
        <v>15</v>
      </c>
      <c r="I14" s="53" t="s">
        <v>15</v>
      </c>
      <c r="J14" s="29"/>
      <c r="K14" s="29"/>
      <c r="L14" s="29"/>
      <c r="M14" s="29"/>
      <c r="N14" s="29"/>
    </row>
    <row r="15" spans="1:256" x14ac:dyDescent="0.25">
      <c r="A15" s="31" t="s">
        <v>29</v>
      </c>
      <c r="B15" s="31"/>
      <c r="C15" s="44">
        <f>'Customer Info'!B19</f>
        <v>0</v>
      </c>
      <c r="D15" s="44">
        <f>C15*C20</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C16*C20</f>
        <v>0</v>
      </c>
      <c r="E16" s="31" t="s">
        <v>41</v>
      </c>
      <c r="F16" s="33"/>
      <c r="G16" s="31"/>
      <c r="H16" s="31"/>
      <c r="I16" s="31"/>
      <c r="J16" s="31"/>
      <c r="K16" s="31"/>
      <c r="L16" s="31"/>
      <c r="M16" s="31"/>
      <c r="N16" s="31"/>
      <c r="O16" s="31"/>
    </row>
    <row r="17" spans="1:30" x14ac:dyDescent="0.25">
      <c r="A17" s="31" t="s">
        <v>284</v>
      </c>
      <c r="B17" s="31"/>
      <c r="C17" s="32">
        <f>'Customer Info'!$B$27</f>
        <v>0</v>
      </c>
      <c r="D17" s="32">
        <f>$C$17*$C$20</f>
        <v>0</v>
      </c>
      <c r="E17" s="31" t="s">
        <v>287</v>
      </c>
      <c r="F17" s="33"/>
      <c r="G17" s="31"/>
      <c r="H17" s="31"/>
      <c r="I17" s="31"/>
      <c r="J17" s="31"/>
      <c r="K17" s="31"/>
      <c r="L17" s="31"/>
      <c r="M17" s="31"/>
      <c r="N17" s="31"/>
      <c r="O17" s="31"/>
    </row>
    <row r="18" spans="1:30" x14ac:dyDescent="0.25">
      <c r="A18" s="31" t="s">
        <v>285</v>
      </c>
      <c r="B18" s="31"/>
      <c r="C18" s="285">
        <f>IF('Customer Info'!$B$18=0,0,ROUND(MAX(ROUND('Customer Info'!$B$18*$C$20,1),ROUND('Customer Info'!$B$19*$C$20,1))/'Customer Info'!$D$29,1))</f>
        <v>0</v>
      </c>
      <c r="D18" s="285">
        <f>$C$18*C20</f>
        <v>0</v>
      </c>
      <c r="E18" s="31" t="s">
        <v>288</v>
      </c>
      <c r="F18" s="33"/>
      <c r="G18" s="31"/>
      <c r="H18" s="31"/>
      <c r="I18" s="31"/>
      <c r="J18" s="31"/>
      <c r="K18" s="31"/>
      <c r="L18" s="31"/>
      <c r="M18" s="31"/>
      <c r="N18" s="31"/>
      <c r="O18" s="31"/>
    </row>
    <row r="19" spans="1:30" x14ac:dyDescent="0.25">
      <c r="A19" s="31" t="s">
        <v>286</v>
      </c>
      <c r="B19" s="31"/>
      <c r="C19" s="32"/>
      <c r="D19" s="285">
        <f>MAX(100,ROUND(1.15*(MAX('Customer Info'!$B$18*'GS PRI OAD'!C20,'Customer Info'!$B$19*'GS PRI OAD'!C20)),1))</f>
        <v>100</v>
      </c>
      <c r="E19" s="31" t="s">
        <v>288</v>
      </c>
      <c r="F19" s="33"/>
      <c r="G19" s="31"/>
      <c r="H19" s="31"/>
      <c r="I19" s="31"/>
      <c r="J19" s="31"/>
      <c r="K19" s="31"/>
      <c r="L19" s="31"/>
      <c r="M19" s="31"/>
      <c r="N19" s="31"/>
      <c r="O19" s="31"/>
    </row>
    <row r="20" spans="1:30" x14ac:dyDescent="0.25">
      <c r="A20" s="31" t="s">
        <v>54</v>
      </c>
      <c r="B20" s="31"/>
      <c r="C20" s="58">
        <f>+'Customer Info'!E18</f>
        <v>1</v>
      </c>
      <c r="D20" s="31"/>
      <c r="E20" s="31"/>
      <c r="F20" s="33"/>
      <c r="G20" s="23"/>
      <c r="H20" s="23"/>
      <c r="I20" s="23"/>
      <c r="J20" s="23"/>
      <c r="K20" s="31"/>
      <c r="L20" s="31"/>
      <c r="M20" s="31"/>
      <c r="N20" s="31"/>
      <c r="S20" s="207"/>
      <c r="T20" s="207"/>
      <c r="U20" s="207"/>
      <c r="V20" s="207"/>
      <c r="W20" s="207"/>
      <c r="X20" s="207"/>
      <c r="Y20" s="207"/>
      <c r="Z20" s="207"/>
      <c r="AA20" s="207"/>
      <c r="AB20" s="207"/>
      <c r="AC20" s="207"/>
      <c r="AD20" s="207"/>
    </row>
    <row r="21" spans="1:30" x14ac:dyDescent="0.25">
      <c r="A21" s="31" t="s">
        <v>15</v>
      </c>
      <c r="B21" s="31"/>
      <c r="C21" s="82" t="s">
        <v>15</v>
      </c>
      <c r="D21" s="507" t="s">
        <v>15</v>
      </c>
      <c r="E21" s="507"/>
      <c r="F21" s="507"/>
      <c r="G21" s="507"/>
      <c r="H21" s="507"/>
      <c r="K21" s="31"/>
      <c r="L21" s="31"/>
      <c r="M21" s="31"/>
      <c r="N21" s="31"/>
      <c r="O21" s="50"/>
    </row>
    <row r="22" spans="1:30" x14ac:dyDescent="0.25">
      <c r="A22" s="31" t="s">
        <v>15</v>
      </c>
      <c r="B22" s="31"/>
      <c r="C22" s="82" t="s">
        <v>15</v>
      </c>
      <c r="D22" s="507" t="s">
        <v>15</v>
      </c>
      <c r="E22" s="507"/>
      <c r="F22" s="507"/>
      <c r="G22" s="507"/>
      <c r="H22" s="507"/>
      <c r="I22" s="23"/>
      <c r="J22" s="23"/>
      <c r="K22" s="31"/>
      <c r="L22" s="31"/>
      <c r="M22" s="31"/>
      <c r="N22" s="31"/>
      <c r="O22" s="50"/>
    </row>
    <row r="23" spans="1:30" x14ac:dyDescent="0.25">
      <c r="A23" s="31"/>
      <c r="B23" s="31"/>
      <c r="C23" s="33"/>
      <c r="D23" s="33"/>
      <c r="E23" s="33"/>
      <c r="F23" s="33"/>
      <c r="G23" s="23"/>
      <c r="H23" s="23"/>
      <c r="I23" s="23"/>
      <c r="J23" s="23"/>
      <c r="K23" s="31"/>
      <c r="L23" s="31"/>
      <c r="M23" s="31"/>
      <c r="N23" s="31"/>
      <c r="O23" s="31"/>
    </row>
    <row r="24" spans="1:30" x14ac:dyDescent="0.25">
      <c r="A24" s="28" t="s">
        <v>31</v>
      </c>
      <c r="B24" s="22"/>
      <c r="C24" s="22"/>
      <c r="D24" s="22"/>
      <c r="E24" s="22"/>
      <c r="F24" s="22"/>
      <c r="G24" s="489" t="s">
        <v>68</v>
      </c>
      <c r="H24" s="490"/>
      <c r="I24" s="490"/>
      <c r="J24" s="491"/>
      <c r="K24" s="22"/>
      <c r="L24" s="492" t="s">
        <v>69</v>
      </c>
      <c r="M24" s="492"/>
      <c r="N24" s="492"/>
      <c r="O24" s="492"/>
    </row>
    <row r="25" spans="1:30" x14ac:dyDescent="0.25">
      <c r="A25" s="18"/>
      <c r="B25" s="18"/>
      <c r="C25" s="18"/>
      <c r="D25" s="18"/>
      <c r="E25" s="18"/>
      <c r="F25" s="18"/>
      <c r="G25" s="8" t="s">
        <v>65</v>
      </c>
      <c r="H25" s="8" t="s">
        <v>66</v>
      </c>
      <c r="I25" s="8" t="s">
        <v>67</v>
      </c>
      <c r="J25" s="112" t="s">
        <v>34</v>
      </c>
      <c r="K25" s="18"/>
      <c r="L25" s="283" t="s">
        <v>65</v>
      </c>
      <c r="M25" s="283" t="s">
        <v>66</v>
      </c>
      <c r="N25" s="283" t="s">
        <v>67</v>
      </c>
      <c r="O25" s="132" t="s">
        <v>34</v>
      </c>
      <c r="P25" s="43" t="s">
        <v>57</v>
      </c>
    </row>
    <row r="26" spans="1:30" x14ac:dyDescent="0.25">
      <c r="A26" t="s">
        <v>32</v>
      </c>
      <c r="G26" s="86"/>
      <c r="H26" s="86"/>
      <c r="I26" s="86">
        <v>138.5</v>
      </c>
      <c r="J26" s="86">
        <f>SUM(G26:I26)</f>
        <v>138.5</v>
      </c>
      <c r="L26" s="88"/>
      <c r="M26" s="88"/>
      <c r="N26" s="88">
        <f>I26</f>
        <v>138.5</v>
      </c>
      <c r="O26" s="209">
        <f>SUM(L26:N26)</f>
        <v>138.5</v>
      </c>
      <c r="P26" s="245">
        <v>44531</v>
      </c>
    </row>
    <row r="27" spans="1:30" x14ac:dyDescent="0.25">
      <c r="A27" t="s">
        <v>132</v>
      </c>
      <c r="D27" s="1">
        <f>D16</f>
        <v>0</v>
      </c>
      <c r="E27" s="101" t="s">
        <v>41</v>
      </c>
      <c r="F27" s="102" t="s">
        <v>8</v>
      </c>
      <c r="G27" s="84"/>
      <c r="H27" s="86"/>
      <c r="I27" s="86"/>
      <c r="J27" s="84"/>
      <c r="K27" s="104" t="s">
        <v>42</v>
      </c>
      <c r="L27" s="87"/>
      <c r="M27" s="88"/>
      <c r="N27" s="87"/>
      <c r="O27" s="209"/>
      <c r="P27" s="245"/>
    </row>
    <row r="28" spans="1:30" x14ac:dyDescent="0.25">
      <c r="A28" t="s">
        <v>33</v>
      </c>
      <c r="D28" s="49">
        <f>ROUND(MAX(D14,D15,('Customer Info'!B14-100)*0.6,('Customer Info'!B16-100)*0.6),1)</f>
        <v>0</v>
      </c>
      <c r="E28" s="29" t="s">
        <v>45</v>
      </c>
      <c r="F28" s="4" t="s">
        <v>8</v>
      </c>
      <c r="G28" s="85"/>
      <c r="H28" s="85"/>
      <c r="I28" s="85">
        <v>6.33</v>
      </c>
      <c r="J28" s="85">
        <f>SUM(G28:I28)</f>
        <v>6.33</v>
      </c>
      <c r="K28" s="36" t="s">
        <v>44</v>
      </c>
      <c r="L28" s="87"/>
      <c r="M28" s="87"/>
      <c r="N28" s="87">
        <f>ROUND($D28*I28,2)</f>
        <v>0</v>
      </c>
      <c r="O28" s="209">
        <f>SUM(L28:N28)</f>
        <v>0</v>
      </c>
      <c r="P28" s="245">
        <v>45261</v>
      </c>
    </row>
    <row r="29" spans="1:30" x14ac:dyDescent="0.25">
      <c r="A29" t="s">
        <v>260</v>
      </c>
      <c r="D29" s="49">
        <f>IF(D18&lt;=100,0,ROUND(IF(D18-D19&gt;0,D18-D19),1))</f>
        <v>0</v>
      </c>
      <c r="E29" s="29" t="s">
        <v>258</v>
      </c>
      <c r="F29" s="4" t="s">
        <v>8</v>
      </c>
      <c r="G29" s="116"/>
      <c r="H29" s="85"/>
      <c r="I29" s="85">
        <v>1.21</v>
      </c>
      <c r="J29" s="116">
        <f>SUM(G29:I29)</f>
        <v>1.21</v>
      </c>
      <c r="K29" s="36" t="s">
        <v>44</v>
      </c>
      <c r="L29" s="87"/>
      <c r="M29" s="87"/>
      <c r="N29" s="87">
        <f>ROUND($D29*I29,2)</f>
        <v>0</v>
      </c>
      <c r="O29" s="87">
        <f>SUM(L29:N29)</f>
        <v>0</v>
      </c>
      <c r="P29" s="245">
        <v>44531</v>
      </c>
    </row>
    <row r="30" spans="1:30" x14ac:dyDescent="0.25">
      <c r="A30" s="37" t="s">
        <v>50</v>
      </c>
      <c r="B30" s="37"/>
      <c r="C30" s="37"/>
      <c r="D30" s="38"/>
      <c r="E30" s="38"/>
      <c r="F30" s="37"/>
      <c r="G30" s="37"/>
      <c r="H30" s="37"/>
      <c r="I30" s="37"/>
      <c r="J30" s="37"/>
      <c r="K30" s="39"/>
      <c r="L30" s="40"/>
      <c r="M30" s="40"/>
      <c r="N30" s="40">
        <f>SUM(N26:N29)</f>
        <v>138.5</v>
      </c>
      <c r="O30" s="40">
        <f>SUM(O26:O29)</f>
        <v>138.5</v>
      </c>
    </row>
    <row r="31" spans="1:30" x14ac:dyDescent="0.25">
      <c r="A31" s="89"/>
      <c r="B31" s="89"/>
      <c r="C31" s="90"/>
      <c r="D31" s="90"/>
      <c r="E31" s="90"/>
      <c r="F31" s="90"/>
      <c r="G31" s="91"/>
      <c r="H31" s="91"/>
      <c r="I31" s="91"/>
      <c r="J31" s="91"/>
      <c r="K31" s="89"/>
      <c r="L31" s="89"/>
      <c r="M31" s="89"/>
      <c r="N31" s="89"/>
      <c r="O31" s="89"/>
      <c r="P31" s="89"/>
    </row>
    <row r="32" spans="1:30" x14ac:dyDescent="0.25">
      <c r="A32" s="41" t="s">
        <v>70</v>
      </c>
      <c r="D32" s="1"/>
      <c r="E32" s="1"/>
      <c r="K32" s="36"/>
      <c r="L32" s="36"/>
      <c r="M32" s="36"/>
      <c r="N32" s="36"/>
      <c r="O32" s="34"/>
      <c r="P32" s="34"/>
    </row>
    <row r="33" spans="1:221" x14ac:dyDescent="0.25">
      <c r="A33" s="37"/>
      <c r="D33" s="1"/>
      <c r="E33" s="1"/>
      <c r="K33" s="36"/>
      <c r="L33" s="36"/>
      <c r="M33" s="36"/>
      <c r="N33" s="36"/>
      <c r="O33" s="34"/>
    </row>
    <row r="34" spans="1:221" x14ac:dyDescent="0.25">
      <c r="A34" s="78" t="s">
        <v>79</v>
      </c>
      <c r="D34" s="1">
        <f>IF($C$16&lt;0,0,IF($C$16&gt;833000,833000,$C$16))</f>
        <v>0</v>
      </c>
      <c r="E34" s="35" t="s">
        <v>41</v>
      </c>
      <c r="F34" s="4" t="s">
        <v>8</v>
      </c>
      <c r="G34" s="83"/>
      <c r="H34" s="84"/>
      <c r="I34" s="103">
        <f>'Rider Rates'!$B$4</f>
        <v>4.6278999999999999E-3</v>
      </c>
      <c r="J34" s="6">
        <f>SUM(G34:I34)</f>
        <v>4.6278999999999999E-3</v>
      </c>
      <c r="K34" s="36" t="s">
        <v>42</v>
      </c>
      <c r="L34" s="87"/>
      <c r="M34" s="87"/>
      <c r="N34" s="87">
        <f>ROUND($D34*I34,2)</f>
        <v>0</v>
      </c>
      <c r="O34" s="87">
        <f>SUM(L34:N34)</f>
        <v>0</v>
      </c>
      <c r="P34" s="245">
        <f>'Rider Rates'!$D$4</f>
        <v>45657</v>
      </c>
    </row>
    <row r="35" spans="1:221" x14ac:dyDescent="0.25">
      <c r="A35" s="78" t="s">
        <v>80</v>
      </c>
      <c r="D35" s="1">
        <f>IF($C$16-833000&gt;0,$C$16-D34,0)</f>
        <v>0</v>
      </c>
      <c r="E35" s="35" t="s">
        <v>41</v>
      </c>
      <c r="F35" s="4" t="s">
        <v>8</v>
      </c>
      <c r="G35" s="83"/>
      <c r="H35" s="84"/>
      <c r="I35" s="103">
        <f>'Rider Rates'!$B$5</f>
        <v>1.7560000000000001E-4</v>
      </c>
      <c r="J35" s="118">
        <f>SUM(G35:I35)</f>
        <v>1.7560000000000001E-4</v>
      </c>
      <c r="K35" s="36" t="s">
        <v>42</v>
      </c>
      <c r="L35" s="87"/>
      <c r="M35" s="87"/>
      <c r="N35" s="87">
        <f>ROUND($D35*I35,2)</f>
        <v>0</v>
      </c>
      <c r="O35" s="87">
        <f>SUM(L35:N35)</f>
        <v>0</v>
      </c>
      <c r="P35" s="245">
        <f>'Rider Rates'!$D$4</f>
        <v>45657</v>
      </c>
    </row>
    <row r="36" spans="1:221" x14ac:dyDescent="0.25">
      <c r="A36" s="78" t="s">
        <v>47</v>
      </c>
      <c r="B36" t="s">
        <v>15</v>
      </c>
      <c r="D36" s="1">
        <f>IF('Customer Info'!$C$32=TRUE,0,IF(C16&lt;0,0,IF(C16&gt;2000,2000,C16)))</f>
        <v>0</v>
      </c>
      <c r="E36" s="35" t="s">
        <v>41</v>
      </c>
      <c r="F36" s="4" t="s">
        <v>8</v>
      </c>
      <c r="G36" s="83"/>
      <c r="H36" s="84"/>
      <c r="I36" s="177">
        <f>'Rider Rates'!$B$8</f>
        <v>4.6499999999999996E-3</v>
      </c>
      <c r="J36" s="117">
        <f>SUM(G36:I36)</f>
        <v>4.6499999999999996E-3</v>
      </c>
      <c r="K36" s="36" t="s">
        <v>42</v>
      </c>
      <c r="L36" s="87"/>
      <c r="M36" s="87"/>
      <c r="N36" s="87">
        <f>ROUND($D36*I36,2)</f>
        <v>0</v>
      </c>
      <c r="O36" s="87">
        <f>SUM(L36:N36)</f>
        <v>0</v>
      </c>
      <c r="P36" s="245">
        <f>'Rider Rates'!$D$7</f>
        <v>44531</v>
      </c>
    </row>
    <row r="37" spans="1:221" x14ac:dyDescent="0.25">
      <c r="A37" s="78" t="s">
        <v>48</v>
      </c>
      <c r="B37" t="s">
        <v>15</v>
      </c>
      <c r="D37" s="1">
        <f>IF('Customer Info'!$C$32=TRUE,0,IF(C16&gt;15000,13000,IF(C16&gt;2000,C16-2000,0)))</f>
        <v>0</v>
      </c>
      <c r="E37" s="35" t="s">
        <v>41</v>
      </c>
      <c r="F37" s="4" t="s">
        <v>8</v>
      </c>
      <c r="G37" s="83"/>
      <c r="H37" s="84"/>
      <c r="I37" s="177">
        <f>'Rider Rates'!$B$9</f>
        <v>4.1900000000000001E-3</v>
      </c>
      <c r="J37" s="117">
        <f>SUM(G37:I37)</f>
        <v>4.1900000000000001E-3</v>
      </c>
      <c r="K37" s="36" t="s">
        <v>42</v>
      </c>
      <c r="L37" s="87"/>
      <c r="M37" s="87"/>
      <c r="N37" s="87">
        <f>ROUND($D37*I37,2)</f>
        <v>0</v>
      </c>
      <c r="O37" s="87">
        <f>SUM(L37:N37)</f>
        <v>0</v>
      </c>
      <c r="P37" s="245">
        <f>'Rider Rates'!$D$7</f>
        <v>44531</v>
      </c>
    </row>
    <row r="38" spans="1:221" x14ac:dyDescent="0.25">
      <c r="A38" s="78" t="s">
        <v>49</v>
      </c>
      <c r="B38" t="s">
        <v>15</v>
      </c>
      <c r="D38" s="1">
        <f>IF('Customer Info'!$C$32=TRUE,0,IF(C16-D36-D37&gt;0,C16-D36-D37,0))</f>
        <v>0</v>
      </c>
      <c r="E38" s="35" t="s">
        <v>41</v>
      </c>
      <c r="F38" s="4" t="s">
        <v>8</v>
      </c>
      <c r="G38" s="83"/>
      <c r="H38" s="84"/>
      <c r="I38" s="177">
        <f>'Rider Rates'!$B$10</f>
        <v>3.63E-3</v>
      </c>
      <c r="J38" s="117">
        <f>SUM(G38:I38)</f>
        <v>3.63E-3</v>
      </c>
      <c r="K38" s="36" t="s">
        <v>42</v>
      </c>
      <c r="L38" s="87"/>
      <c r="M38" s="87"/>
      <c r="N38" s="87">
        <f>ROUND($D38*I38,2)</f>
        <v>0</v>
      </c>
      <c r="O38" s="87">
        <f>SUM(L38:N38)</f>
        <v>0</v>
      </c>
      <c r="P38" s="245">
        <f>'Rider Rates'!$D$7</f>
        <v>44531</v>
      </c>
    </row>
    <row r="39" spans="1:221" x14ac:dyDescent="0.25">
      <c r="A39" s="241" t="s">
        <v>237</v>
      </c>
      <c r="B39" s="78"/>
      <c r="C39" s="78"/>
      <c r="D39" s="208">
        <f>$N$30</f>
        <v>138.5</v>
      </c>
      <c r="E39" s="101" t="s">
        <v>122</v>
      </c>
      <c r="F39" s="102" t="s">
        <v>8</v>
      </c>
      <c r="G39" s="103"/>
      <c r="H39" s="103"/>
      <c r="I39" s="178">
        <f>'Rider Rates'!$B$18+'Rider Rates'!$E$18</f>
        <v>0</v>
      </c>
      <c r="J39" s="120">
        <f>SUM(H39:I39)</f>
        <v>0</v>
      </c>
      <c r="K39" s="104"/>
      <c r="L39" s="105"/>
      <c r="M39" s="105"/>
      <c r="N39" s="105">
        <f>ROUND($D$39*'Rider Rates'!$B$18,2)+ROUND($D$39*'Rider Rates'!$E$18,2)</f>
        <v>0</v>
      </c>
      <c r="O39" s="105">
        <f t="shared" ref="O39:O48" si="0">SUM(L39:N39)</f>
        <v>0</v>
      </c>
      <c r="P39" s="245">
        <f>MAX('Rider Rates'!$D$18,'Rider Rates'!$F$18)</f>
        <v>44531</v>
      </c>
    </row>
    <row r="40" spans="1:221" x14ac:dyDescent="0.25">
      <c r="A40" s="241" t="s">
        <v>210</v>
      </c>
      <c r="B40" s="78"/>
      <c r="C40" s="78"/>
      <c r="D40" s="1">
        <f>IF($C$16&lt;0,0,IF($C$16&gt;833000,833000,$C$16))</f>
        <v>0</v>
      </c>
      <c r="E40" s="101" t="s">
        <v>41</v>
      </c>
      <c r="F40" s="102" t="s">
        <v>8</v>
      </c>
      <c r="G40" s="103"/>
      <c r="H40" s="103"/>
      <c r="I40" s="103">
        <f>'Rider Rates'!D49</f>
        <v>1.8006999999999999E-3</v>
      </c>
      <c r="J40" s="103">
        <f>SUM(G40:I40)</f>
        <v>1.8006999999999999E-3</v>
      </c>
      <c r="K40" s="104" t="s">
        <v>42</v>
      </c>
      <c r="L40" s="105"/>
      <c r="M40" s="105"/>
      <c r="N40" s="87">
        <f>D40*J40</f>
        <v>0</v>
      </c>
      <c r="O40" s="105">
        <f t="shared" si="0"/>
        <v>0</v>
      </c>
      <c r="P40" s="245">
        <f>'Rider Rates'!E49</f>
        <v>45658</v>
      </c>
    </row>
    <row r="41" spans="1:221" x14ac:dyDescent="0.25">
      <c r="A41" s="210" t="s">
        <v>189</v>
      </c>
      <c r="B41" s="78"/>
      <c r="C41" s="78"/>
      <c r="D41" s="1">
        <f>IF($C$16&lt;0,0,$C$16)</f>
        <v>0</v>
      </c>
      <c r="E41" s="113" t="s">
        <v>41</v>
      </c>
      <c r="F41" s="102" t="s">
        <v>8</v>
      </c>
      <c r="G41" s="103"/>
      <c r="H41" s="103">
        <f>'Rider Rates'!B58</f>
        <v>5.8060000000000002E-4</v>
      </c>
      <c r="I41" s="103"/>
      <c r="J41" s="103">
        <f>SUM(G41:I41)</f>
        <v>5.8060000000000002E-4</v>
      </c>
      <c r="K41" s="104" t="s">
        <v>42</v>
      </c>
      <c r="L41" s="105"/>
      <c r="M41" s="105">
        <f>ROUND(D41*H41,2)</f>
        <v>0</v>
      </c>
      <c r="N41" s="205"/>
      <c r="O41" s="105">
        <f t="shared" si="0"/>
        <v>0</v>
      </c>
      <c r="P41" s="245">
        <f>'Rider Rates'!$D$57</f>
        <v>45383</v>
      </c>
    </row>
    <row r="42" spans="1:221" x14ac:dyDescent="0.25">
      <c r="A42" s="210" t="s">
        <v>189</v>
      </c>
      <c r="B42" s="78"/>
      <c r="C42" s="78"/>
      <c r="D42" s="49">
        <f>D28</f>
        <v>0</v>
      </c>
      <c r="E42" s="35" t="s">
        <v>64</v>
      </c>
      <c r="F42" s="4" t="s">
        <v>8</v>
      </c>
      <c r="G42" s="103"/>
      <c r="H42" s="239">
        <f>'Rider Rates'!B63</f>
        <v>6.76</v>
      </c>
      <c r="I42" s="103"/>
      <c r="J42" s="239">
        <f>SUM(G42:I42)</f>
        <v>6.76</v>
      </c>
      <c r="K42" s="104" t="s">
        <v>44</v>
      </c>
      <c r="L42" s="105"/>
      <c r="M42" s="105">
        <f>ROUND(D42*H42,2)</f>
        <v>0</v>
      </c>
      <c r="N42" s="205"/>
      <c r="O42" s="105">
        <f t="shared" si="0"/>
        <v>0</v>
      </c>
      <c r="P42" s="245">
        <f>'Rider Rates'!$D$62</f>
        <v>45383</v>
      </c>
    </row>
    <row r="43" spans="1:221" x14ac:dyDescent="0.25">
      <c r="A43" s="99" t="s">
        <v>83</v>
      </c>
      <c r="B43" s="78"/>
      <c r="C43" s="78"/>
      <c r="D43" s="1">
        <f>IF('Customer Info'!C34=TRUE,0,IF($C$16&lt;0,0,$C$16))</f>
        <v>0</v>
      </c>
      <c r="E43" s="101" t="s">
        <v>41</v>
      </c>
      <c r="F43" s="102" t="s">
        <v>8</v>
      </c>
      <c r="G43" s="103"/>
      <c r="H43" s="103"/>
      <c r="I43" s="103">
        <f>'Rider Rates'!$B$71+'Rider Rates'!$C$71</f>
        <v>0</v>
      </c>
      <c r="J43" s="103">
        <f>SUM(G43:I43)</f>
        <v>0</v>
      </c>
      <c r="K43" s="104" t="s">
        <v>42</v>
      </c>
      <c r="L43" s="105"/>
      <c r="M43" s="105"/>
      <c r="N43" s="87">
        <f>ROUND($D$43*'Rider Rates'!$B$71,2)+ROUND($D$43*'Rider Rates'!$C$71,2)</f>
        <v>0</v>
      </c>
      <c r="O43" s="209">
        <f t="shared" si="0"/>
        <v>0</v>
      </c>
      <c r="P43" s="245">
        <f>'Rider Rates'!$D$71</f>
        <v>45444</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83</v>
      </c>
      <c r="B44" s="78"/>
      <c r="C44" s="78"/>
      <c r="D44" s="49">
        <f>IF('Customer Info'!C34=TRUE,0,$D$28)</f>
        <v>0</v>
      </c>
      <c r="E44" s="101" t="s">
        <v>45</v>
      </c>
      <c r="F44" s="102" t="s">
        <v>8</v>
      </c>
      <c r="G44" s="103"/>
      <c r="H44" s="103"/>
      <c r="I44" s="239">
        <f>'Rider Rates'!$B$81</f>
        <v>0</v>
      </c>
      <c r="J44" s="239">
        <f>SUM(G44:I44)</f>
        <v>0</v>
      </c>
      <c r="K44" s="104" t="s">
        <v>42</v>
      </c>
      <c r="L44" s="105"/>
      <c r="M44" s="105"/>
      <c r="N44" s="87">
        <f>ROUND($D44*I44,2)</f>
        <v>0</v>
      </c>
      <c r="O44" s="209">
        <f>SUM(L44:N44)</f>
        <v>0</v>
      </c>
      <c r="P44" s="245">
        <f>'Rider Rates'!$D$81</f>
        <v>45444</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81</v>
      </c>
      <c r="B45" s="78"/>
      <c r="C45" s="78"/>
      <c r="D45" s="208">
        <f>$N$30</f>
        <v>138.5</v>
      </c>
      <c r="E45" s="101" t="s">
        <v>122</v>
      </c>
      <c r="F45" s="102" t="s">
        <v>8</v>
      </c>
      <c r="G45" s="111"/>
      <c r="H45" s="112"/>
      <c r="I45" s="120">
        <f>'Rider Rates'!$B$85</f>
        <v>4.94232E-2</v>
      </c>
      <c r="J45" s="120">
        <f>SUM(H45:I45)</f>
        <v>4.94232E-2</v>
      </c>
      <c r="K45" s="104"/>
      <c r="L45" s="105"/>
      <c r="M45" s="105"/>
      <c r="N45" s="105">
        <f>ROUND(N$30*I45,2)</f>
        <v>6.85</v>
      </c>
      <c r="O45" s="209">
        <f t="shared" si="0"/>
        <v>6.85</v>
      </c>
      <c r="P45" s="245">
        <f>'Rider Rates'!$D$85</f>
        <v>45562</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99" t="s">
        <v>82</v>
      </c>
      <c r="B46" s="78"/>
      <c r="C46" s="78"/>
      <c r="D46" s="208">
        <f>$N$30</f>
        <v>138.5</v>
      </c>
      <c r="E46" s="101" t="s">
        <v>122</v>
      </c>
      <c r="F46" s="102" t="s">
        <v>8</v>
      </c>
      <c r="G46" s="114"/>
      <c r="H46" s="115"/>
      <c r="I46" s="120">
        <f>'Rider Rates'!$B$87</f>
        <v>6.6985699999999995E-2</v>
      </c>
      <c r="J46" s="120">
        <f>SUM(H46:I46)</f>
        <v>6.6985699999999995E-2</v>
      </c>
      <c r="K46" s="104"/>
      <c r="L46" s="105"/>
      <c r="M46" s="105"/>
      <c r="N46" s="105">
        <f>ROUND(N$30*I46,2)</f>
        <v>9.2799999999999994</v>
      </c>
      <c r="O46" s="209">
        <f t="shared" si="0"/>
        <v>9.2799999999999994</v>
      </c>
      <c r="P46" s="245">
        <f>'Rider Rates'!$D$87</f>
        <v>45167</v>
      </c>
      <c r="Q46" s="107"/>
      <c r="R46" s="108"/>
      <c r="S46" s="109"/>
      <c r="T46" s="78"/>
      <c r="U46" s="110"/>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row>
    <row r="47" spans="1:221" x14ac:dyDescent="0.25">
      <c r="A47" s="210" t="s">
        <v>206</v>
      </c>
      <c r="B47" s="78"/>
      <c r="C47" s="78"/>
      <c r="D47" s="195"/>
      <c r="E47" s="113" t="s">
        <v>115</v>
      </c>
      <c r="F47" s="106"/>
      <c r="G47" s="114"/>
      <c r="H47" s="115"/>
      <c r="I47" s="196">
        <f>'Rider Rates'!$B$91</f>
        <v>17.53</v>
      </c>
      <c r="J47" s="196">
        <f>SUM(G47:I47)</f>
        <v>17.53</v>
      </c>
      <c r="K47" s="104"/>
      <c r="L47" s="105"/>
      <c r="M47" s="105"/>
      <c r="N47" s="105">
        <f>I47</f>
        <v>17.53</v>
      </c>
      <c r="O47" s="105">
        <f>SUM(L47:N47)</f>
        <v>17.53</v>
      </c>
      <c r="P47" s="245">
        <f>'Rider Rates'!$D$91</f>
        <v>45657</v>
      </c>
    </row>
    <row r="48" spans="1:221" x14ac:dyDescent="0.25">
      <c r="A48" s="99" t="s">
        <v>156</v>
      </c>
      <c r="B48" s="78"/>
      <c r="C48" s="78"/>
      <c r="D48" s="208">
        <f>$N$30</f>
        <v>138.5</v>
      </c>
      <c r="E48" s="101" t="s">
        <v>122</v>
      </c>
      <c r="F48" s="102" t="s">
        <v>8</v>
      </c>
      <c r="G48" s="114"/>
      <c r="H48" s="115"/>
      <c r="I48" s="120">
        <f>'Rider Rates'!$B$105</f>
        <v>0.2363101</v>
      </c>
      <c r="J48" s="120">
        <f>SUM(H48:I48)</f>
        <v>0.2363101</v>
      </c>
      <c r="K48" s="104"/>
      <c r="L48" s="105"/>
      <c r="M48" s="105"/>
      <c r="N48" s="105">
        <f>ROUND(N$30*I48,2)</f>
        <v>32.729999999999997</v>
      </c>
      <c r="O48" s="105">
        <f t="shared" si="0"/>
        <v>32.729999999999997</v>
      </c>
      <c r="P48" s="245">
        <f>'Rider Rates'!$D$105</f>
        <v>45622</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209</v>
      </c>
      <c r="B49" s="78"/>
      <c r="C49" s="78"/>
      <c r="D49" s="195"/>
      <c r="E49" s="113" t="s">
        <v>115</v>
      </c>
      <c r="F49" s="106"/>
      <c r="G49" s="114"/>
      <c r="H49" s="115"/>
      <c r="I49" s="196">
        <f>'Rider Rates'!$B$109</f>
        <v>0</v>
      </c>
      <c r="J49" s="196">
        <f t="shared" ref="J49:J55" si="1">SUM(G49:I49)</f>
        <v>0</v>
      </c>
      <c r="K49" s="104"/>
      <c r="L49" s="105"/>
      <c r="M49" s="105"/>
      <c r="N49" s="105">
        <f>I49</f>
        <v>0</v>
      </c>
      <c r="O49" s="105">
        <f t="shared" ref="O49:O53" si="2">SUM(L49:N49)</f>
        <v>0</v>
      </c>
      <c r="P49" s="245">
        <f>'Rider Rates'!$D$109</f>
        <v>44894</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217</v>
      </c>
      <c r="B50" s="78"/>
      <c r="C50" s="78"/>
      <c r="D50" s="195"/>
      <c r="E50" s="113" t="s">
        <v>115</v>
      </c>
      <c r="F50" s="106"/>
      <c r="G50" s="114"/>
      <c r="H50" s="115"/>
      <c r="I50" s="258">
        <f>'Rider Rates'!B122</f>
        <v>4.84</v>
      </c>
      <c r="J50" s="196">
        <f t="shared" si="1"/>
        <v>4.84</v>
      </c>
      <c r="K50" s="104"/>
      <c r="L50" s="105"/>
      <c r="M50" s="105"/>
      <c r="N50" s="260">
        <f>I50</f>
        <v>4.84</v>
      </c>
      <c r="O50" s="105">
        <f t="shared" si="2"/>
        <v>4.84</v>
      </c>
      <c r="P50" s="245">
        <f>'Rider Rates'!D122</f>
        <v>45593</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210" t="s">
        <v>208</v>
      </c>
      <c r="B51" s="78"/>
      <c r="C51" s="78"/>
      <c r="D51" s="1">
        <f>IF($C$16&lt;1,0,$C$16)</f>
        <v>0</v>
      </c>
      <c r="E51" s="101" t="s">
        <v>41</v>
      </c>
      <c r="F51" s="249" t="s">
        <v>8</v>
      </c>
      <c r="G51" s="165"/>
      <c r="H51" s="165"/>
      <c r="I51" s="251">
        <f>'Rider Rates'!B118</f>
        <v>0</v>
      </c>
      <c r="J51" s="251">
        <f t="shared" si="1"/>
        <v>0</v>
      </c>
      <c r="K51" s="104" t="s">
        <v>42</v>
      </c>
      <c r="L51" s="105"/>
      <c r="M51" s="105"/>
      <c r="N51" s="105">
        <f>D51*I51</f>
        <v>0</v>
      </c>
      <c r="O51" s="105">
        <f t="shared" si="2"/>
        <v>0</v>
      </c>
      <c r="P51" s="245">
        <f>'Rider Rates'!D118</f>
        <v>45657</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233</v>
      </c>
      <c r="B52" s="78"/>
      <c r="C52" s="78"/>
      <c r="D52" s="100">
        <f>IF(C16&lt;0,0,IF(C16&gt;833000,833000,C16))</f>
        <v>0</v>
      </c>
      <c r="E52" s="101" t="s">
        <v>41</v>
      </c>
      <c r="F52" s="102" t="s">
        <v>8</v>
      </c>
      <c r="G52" s="265"/>
      <c r="H52" s="265"/>
      <c r="I52" s="265">
        <f>'Rider Rates'!$B$126</f>
        <v>2.9050000000000001E-4</v>
      </c>
      <c r="J52" s="265">
        <f t="shared" si="1"/>
        <v>2.9050000000000001E-4</v>
      </c>
      <c r="K52" s="104" t="s">
        <v>42</v>
      </c>
      <c r="L52" s="266"/>
      <c r="M52" s="266"/>
      <c r="N52" s="266">
        <f>IF(D52*J52&gt;'Rider Rates'!$C$126,'Rider Rates'!$C$126,D52*J52)</f>
        <v>0</v>
      </c>
      <c r="O52" s="266">
        <f t="shared" si="2"/>
        <v>0</v>
      </c>
      <c r="P52" s="264">
        <f>'Rider Rates'!$E$126</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78" t="s">
        <v>234</v>
      </c>
      <c r="B53" s="78"/>
      <c r="C53" s="78"/>
      <c r="D53" s="123">
        <f>IF(C16&gt;833000,C16-833000,0)</f>
        <v>0</v>
      </c>
      <c r="E53" s="101" t="s">
        <v>41</v>
      </c>
      <c r="F53" s="102" t="s">
        <v>8</v>
      </c>
      <c r="G53" s="265"/>
      <c r="H53" s="265"/>
      <c r="I53" s="265">
        <f>'Rider Rates'!$B$127</f>
        <v>0</v>
      </c>
      <c r="J53" s="265">
        <f t="shared" si="1"/>
        <v>0</v>
      </c>
      <c r="K53" s="104" t="s">
        <v>42</v>
      </c>
      <c r="L53" s="266"/>
      <c r="M53" s="266"/>
      <c r="N53" s="266">
        <f>D53*J53</f>
        <v>0</v>
      </c>
      <c r="O53" s="266">
        <f t="shared" si="2"/>
        <v>0</v>
      </c>
      <c r="P53" s="264">
        <f>'Rider Rates'!$E$127</f>
        <v>45658</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242</v>
      </c>
      <c r="B54" s="78"/>
      <c r="C54" s="78"/>
      <c r="D54" s="100">
        <f>D16</f>
        <v>0</v>
      </c>
      <c r="E54" s="101" t="s">
        <v>41</v>
      </c>
      <c r="F54" s="249" t="s">
        <v>8</v>
      </c>
      <c r="G54" s="103"/>
      <c r="H54" s="103"/>
      <c r="I54" s="103">
        <f>'Rider Rates'!$B$133</f>
        <v>0</v>
      </c>
      <c r="J54" s="237">
        <f t="shared" si="1"/>
        <v>0</v>
      </c>
      <c r="K54" s="104" t="s">
        <v>42</v>
      </c>
      <c r="L54" s="105"/>
      <c r="M54" s="105"/>
      <c r="N54" s="105">
        <f>D54*J54</f>
        <v>0</v>
      </c>
      <c r="O54" s="105">
        <f>SUM(L54:N54)</f>
        <v>0</v>
      </c>
      <c r="P54" s="245">
        <f>'Rider Rates'!$D$131</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241</v>
      </c>
      <c r="B55" s="78"/>
      <c r="C55" s="78"/>
      <c r="D55" s="100"/>
      <c r="E55" s="101" t="s">
        <v>115</v>
      </c>
      <c r="F55" s="102" t="s">
        <v>8</v>
      </c>
      <c r="G55" s="263"/>
      <c r="H55" s="263"/>
      <c r="I55" s="263">
        <f>'Rider Rates'!$B$138</f>
        <v>0</v>
      </c>
      <c r="J55" s="263">
        <f t="shared" si="1"/>
        <v>0</v>
      </c>
      <c r="K55" s="104"/>
      <c r="L55" s="209"/>
      <c r="M55" s="209"/>
      <c r="N55" s="209">
        <f>J55</f>
        <v>0</v>
      </c>
      <c r="O55" s="209">
        <f>SUM(L55:N55)</f>
        <v>0</v>
      </c>
      <c r="P55" s="264">
        <f>'Rider Rates'!$D$138</f>
        <v>44531</v>
      </c>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241" t="s">
        <v>243</v>
      </c>
      <c r="B56" s="78"/>
      <c r="C56" s="78"/>
      <c r="D56" s="100"/>
      <c r="E56" s="101"/>
      <c r="F56" s="102"/>
      <c r="G56" s="263"/>
      <c r="H56" s="263"/>
      <c r="I56" s="263"/>
      <c r="J56" s="263"/>
      <c r="K56" s="104"/>
      <c r="L56" s="209"/>
      <c r="M56" s="209"/>
      <c r="N56" s="209"/>
      <c r="O56" s="209"/>
      <c r="P56" s="264"/>
      <c r="Q56" s="106"/>
      <c r="R56" s="107"/>
      <c r="S56" s="108"/>
      <c r="T56" s="109"/>
      <c r="U56" s="78"/>
      <c r="V56" s="110"/>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row>
    <row r="57" spans="1:221" x14ac:dyDescent="0.25">
      <c r="A57" s="179" t="s">
        <v>71</v>
      </c>
      <c r="B57" s="148"/>
      <c r="C57" s="148"/>
      <c r="D57" s="180"/>
      <c r="E57" s="181"/>
      <c r="F57" s="182"/>
      <c r="G57" s="182"/>
      <c r="H57" s="182"/>
      <c r="I57" s="182"/>
      <c r="J57" s="182"/>
      <c r="K57" s="183"/>
      <c r="L57" s="169">
        <f>SUM(L34:L56)</f>
        <v>0</v>
      </c>
      <c r="M57" s="169">
        <f t="shared" ref="M57:O57" si="3">SUM(M34:M56)</f>
        <v>0</v>
      </c>
      <c r="N57" s="169">
        <f t="shared" si="3"/>
        <v>71.22999999999999</v>
      </c>
      <c r="O57" s="169">
        <f t="shared" si="3"/>
        <v>71.22999999999999</v>
      </c>
      <c r="P57" s="184"/>
    </row>
    <row r="58" spans="1:221" x14ac:dyDescent="0.25">
      <c r="A58" s="37"/>
      <c r="D58" s="1"/>
      <c r="E58" s="35"/>
      <c r="F58" s="4"/>
      <c r="G58" s="42"/>
      <c r="H58" s="42"/>
      <c r="I58" s="42"/>
      <c r="J58" s="42"/>
      <c r="K58" s="36"/>
      <c r="L58" s="36"/>
      <c r="M58" s="36"/>
      <c r="N58" s="36"/>
      <c r="O58" s="34"/>
      <c r="P58" s="36"/>
    </row>
    <row r="59" spans="1:221" x14ac:dyDescent="0.25">
      <c r="A59" s="284" t="s">
        <v>72</v>
      </c>
      <c r="B59" s="92"/>
      <c r="C59" s="92"/>
      <c r="D59" s="92"/>
      <c r="E59" s="92"/>
      <c r="F59" s="92"/>
      <c r="G59" s="92"/>
      <c r="H59" s="92"/>
      <c r="I59" s="92"/>
      <c r="J59" s="92"/>
      <c r="K59" s="92"/>
      <c r="L59" s="98">
        <f>L30+L57</f>
        <v>0</v>
      </c>
      <c r="M59" s="98">
        <f>M30+M57</f>
        <v>0</v>
      </c>
      <c r="N59" s="98">
        <f>N30+N57</f>
        <v>209.73</v>
      </c>
      <c r="O59" s="98">
        <f>O30+O57</f>
        <v>209.73</v>
      </c>
      <c r="P59" s="98"/>
    </row>
    <row r="60" spans="1:221" x14ac:dyDescent="0.25">
      <c r="A60" s="37"/>
      <c r="B60" s="37"/>
      <c r="C60" s="37"/>
      <c r="D60" s="37"/>
      <c r="E60" s="37"/>
      <c r="F60" s="37"/>
      <c r="G60" s="37"/>
      <c r="H60" s="37"/>
      <c r="I60" s="37"/>
      <c r="J60" s="37"/>
      <c r="K60" s="37"/>
      <c r="L60" s="37"/>
      <c r="M60" s="37"/>
      <c r="N60" s="37"/>
      <c r="O60" s="40"/>
      <c r="P60" s="40"/>
    </row>
    <row r="61" spans="1:221" x14ac:dyDescent="0.25">
      <c r="A61" s="37" t="s">
        <v>37</v>
      </c>
      <c r="B61" s="37"/>
      <c r="C61" s="37"/>
      <c r="D61" s="37"/>
      <c r="E61" s="37"/>
      <c r="F61" s="37"/>
      <c r="G61" s="37"/>
      <c r="H61" s="37"/>
      <c r="I61" s="37"/>
      <c r="J61" s="37"/>
      <c r="K61" s="37"/>
      <c r="L61" s="37"/>
      <c r="M61" s="37"/>
      <c r="N61" s="37"/>
      <c r="O61" s="45">
        <f>O26+O28+O57</f>
        <v>209.73</v>
      </c>
      <c r="P61" s="245">
        <v>40967</v>
      </c>
    </row>
    <row r="62" spans="1:221" x14ac:dyDescent="0.25">
      <c r="A62" s="37"/>
      <c r="B62" s="37"/>
      <c r="C62" s="37"/>
      <c r="D62" s="37"/>
      <c r="E62" s="37"/>
      <c r="F62" s="37"/>
      <c r="G62" s="46"/>
      <c r="H62" s="46"/>
      <c r="I62" s="46"/>
      <c r="J62" s="46"/>
      <c r="K62" s="36"/>
      <c r="L62" s="36"/>
      <c r="M62" s="36"/>
      <c r="N62" s="36"/>
      <c r="O62" s="40"/>
    </row>
    <row r="63" spans="1:221" x14ac:dyDescent="0.25">
      <c r="A63" s="41" t="s">
        <v>117</v>
      </c>
      <c r="B63" s="37"/>
      <c r="C63" s="37"/>
      <c r="D63" s="37"/>
      <c r="E63" s="37"/>
      <c r="F63" s="37"/>
      <c r="G63" s="46"/>
      <c r="H63" s="46"/>
      <c r="I63" s="46"/>
      <c r="J63" s="46"/>
      <c r="K63" s="36"/>
      <c r="L63" s="36"/>
      <c r="M63" s="36"/>
      <c r="N63" s="36"/>
      <c r="O63" s="138">
        <f>MAX($O$59,$O$61)</f>
        <v>209.73</v>
      </c>
    </row>
    <row r="64" spans="1:221" x14ac:dyDescent="0.25">
      <c r="A64" s="37"/>
      <c r="B64" s="37"/>
      <c r="C64" s="37"/>
      <c r="D64" s="37"/>
      <c r="E64" s="37"/>
      <c r="F64" s="37"/>
      <c r="G64" s="46"/>
      <c r="H64" s="46"/>
      <c r="I64" s="46"/>
      <c r="J64" s="46"/>
      <c r="K64" s="36"/>
      <c r="L64" s="36"/>
      <c r="M64" s="36"/>
      <c r="N64" s="36"/>
      <c r="O64" s="40"/>
    </row>
    <row r="65" spans="1:16" x14ac:dyDescent="0.25">
      <c r="A65" s="37"/>
      <c r="B65" s="37"/>
      <c r="C65" s="37"/>
      <c r="D65" s="37"/>
      <c r="E65" s="37"/>
      <c r="F65" s="37"/>
      <c r="G65" s="96" t="s">
        <v>86</v>
      </c>
      <c r="H65" s="46"/>
      <c r="I65" s="37"/>
      <c r="J65" s="46"/>
      <c r="K65" s="36"/>
      <c r="L65" s="191"/>
      <c r="M65" s="191"/>
      <c r="N65" s="191"/>
      <c r="O65" s="191">
        <f>ROUND(IF($C$16&lt;1,0,$O$63/($C$16*100)*10000),2)</f>
        <v>0</v>
      </c>
      <c r="P65" s="37" t="s">
        <v>87</v>
      </c>
    </row>
    <row r="66" spans="1:16" x14ac:dyDescent="0.25">
      <c r="A66" s="37"/>
      <c r="B66" s="37"/>
      <c r="C66" s="37"/>
      <c r="D66" s="37"/>
      <c r="E66" s="37"/>
      <c r="F66" s="37"/>
      <c r="G66" s="242" t="s">
        <v>190</v>
      </c>
      <c r="H66" s="136"/>
      <c r="I66" s="133"/>
      <c r="J66" s="136"/>
      <c r="K66" s="137"/>
      <c r="L66" s="78"/>
      <c r="M66" s="78"/>
      <c r="N66" s="78"/>
      <c r="O66" s="243">
        <f>ROUND(IF($C$16&lt;1,0,(L59)/($C$16*100)*10000),2)</f>
        <v>0</v>
      </c>
      <c r="P66" s="25" t="s">
        <v>87</v>
      </c>
    </row>
    <row r="67" spans="1:16" x14ac:dyDescent="0.25">
      <c r="A67" s="37"/>
      <c r="B67" s="37"/>
      <c r="C67" s="37"/>
      <c r="D67" s="37"/>
      <c r="E67" s="37"/>
      <c r="F67" s="37"/>
      <c r="G67" s="96"/>
      <c r="H67" s="46"/>
      <c r="I67" s="96"/>
      <c r="J67" s="46"/>
      <c r="K67" s="36"/>
      <c r="L67" s="36"/>
      <c r="M67" s="36"/>
      <c r="N67" s="36"/>
      <c r="O67" s="130"/>
      <c r="P67" s="37"/>
    </row>
    <row r="68" spans="1:16" ht="20.25" customHeight="1" x14ac:dyDescent="0.4">
      <c r="A68" s="3"/>
      <c r="B68" s="37"/>
      <c r="C68" s="37"/>
      <c r="D68" s="228" t="str">
        <f>IF('Customer Info'!$C$32=TRUE,"Notice: Billing Charge does not include Self Assessed KWH Tax"," ")</f>
        <v xml:space="preserve"> </v>
      </c>
      <c r="E68" s="3"/>
      <c r="F68" s="4"/>
      <c r="G68" s="121"/>
      <c r="H68" s="55"/>
      <c r="I68" s="34"/>
      <c r="J68" s="55"/>
      <c r="K68" s="37"/>
      <c r="L68" s="37"/>
      <c r="M68" s="37"/>
      <c r="N68" s="34"/>
    </row>
    <row r="69" spans="1:16" x14ac:dyDescent="0.25">
      <c r="A69" s="37"/>
      <c r="B69" s="37"/>
      <c r="C69" s="37"/>
      <c r="D69" s="54"/>
      <c r="E69" s="3"/>
      <c r="F69" s="4"/>
      <c r="G69" s="55"/>
      <c r="H69" s="55"/>
      <c r="I69" s="93"/>
      <c r="J69" s="55"/>
      <c r="K69" s="37"/>
      <c r="L69" s="37"/>
      <c r="M69" s="37"/>
      <c r="N69" s="37"/>
      <c r="O69" s="40"/>
    </row>
    <row r="70" spans="1:16" x14ac:dyDescent="0.25">
      <c r="A70" s="37"/>
      <c r="B70" s="37"/>
      <c r="C70" s="37"/>
      <c r="D70" s="54"/>
      <c r="E70" s="3"/>
      <c r="F70" s="4"/>
      <c r="G70" s="55"/>
      <c r="H70" s="55"/>
      <c r="I70" s="55"/>
      <c r="J70" s="55"/>
      <c r="K70" s="37"/>
      <c r="L70" s="37"/>
      <c r="M70" s="37"/>
      <c r="N70" s="37"/>
      <c r="O70" s="40"/>
    </row>
    <row r="71" spans="1:16" x14ac:dyDescent="0.25">
      <c r="A71" s="41"/>
      <c r="B71" s="37"/>
      <c r="C71" s="37"/>
      <c r="D71" s="37"/>
      <c r="E71" s="37"/>
      <c r="F71" s="37"/>
      <c r="G71" s="37"/>
      <c r="H71" s="37"/>
      <c r="J71" s="37"/>
      <c r="K71" s="37"/>
      <c r="L71" s="40"/>
      <c r="M71" s="40"/>
      <c r="N71" s="40"/>
      <c r="O71" s="138"/>
    </row>
    <row r="72" spans="1:16" x14ac:dyDescent="0.25">
      <c r="B72" s="37"/>
      <c r="C72" s="37"/>
      <c r="D72" s="37"/>
      <c r="E72" s="37"/>
      <c r="F72" s="37"/>
      <c r="G72" s="96"/>
      <c r="H72" s="37"/>
      <c r="I72" s="37"/>
      <c r="J72" s="37"/>
      <c r="K72" s="37"/>
      <c r="L72" s="60"/>
      <c r="M72" s="60"/>
      <c r="N72" s="60"/>
      <c r="O72" s="130"/>
      <c r="P72" s="37"/>
    </row>
    <row r="73" spans="1:16" x14ac:dyDescent="0.25">
      <c r="G73" s="133"/>
      <c r="H73" s="56"/>
      <c r="I73" s="133"/>
      <c r="J73" s="56"/>
      <c r="K73" s="56"/>
      <c r="L73" s="134"/>
      <c r="M73" s="134"/>
      <c r="N73" s="134"/>
      <c r="O73" s="135"/>
      <c r="P73" s="25"/>
    </row>
    <row r="75" spans="1:16" x14ac:dyDescent="0.25">
      <c r="A75" s="477"/>
    </row>
    <row r="76" spans="1:16" x14ac:dyDescent="0.25">
      <c r="A76" s="477"/>
    </row>
    <row r="77" spans="1:16" x14ac:dyDescent="0.25">
      <c r="A77" s="477"/>
    </row>
    <row r="78" spans="1:16" x14ac:dyDescent="0.25">
      <c r="A78" s="477"/>
    </row>
    <row r="79" spans="1:16" x14ac:dyDescent="0.25">
      <c r="A79" s="477"/>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row r="89" spans="1:1" x14ac:dyDescent="0.25">
      <c r="A89" s="477"/>
    </row>
  </sheetData>
  <sheetProtection algorithmName="SHA-512" hashValue="ZL+/4jqJgC5b/ehqtOF+ZmcOURpHeLGxPia+nj6iNKMWT4Xioeun3C5OhW1fSpQPHrgS2TkH3hCwmN8WFc1YTw==" saltValue="sst9kTaQBKzwAQG+5j0Xk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5:A89"/>
    <mergeCell ref="A4:P4"/>
    <mergeCell ref="A7:P7"/>
    <mergeCell ref="A11:I11"/>
    <mergeCell ref="D21:H21"/>
    <mergeCell ref="D22:H22"/>
    <mergeCell ref="G24:J24"/>
    <mergeCell ref="L24:O24"/>
  </mergeCells>
  <printOptions horizontalCentered="1"/>
  <pageMargins left="0.5" right="0.5" top="0.25" bottom="0.25" header="0.25" footer="0.26"/>
  <pageSetup scale="59" orientation="landscape" r:id="rId1"/>
  <headerFooter alignWithMargins="0"/>
  <rowBreaks count="1" manualBreakCount="1">
    <brk id="7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122882" r:id="rId5" name="Button 2">
              <controlPr defaultSize="0" print="0" autoFill="0" autoPict="0" macro="[0]!Info">
                <anchor moveWithCells="1">
                  <from>
                    <xdr:col>15</xdr:col>
                    <xdr:colOff>411480</xdr:colOff>
                    <xdr:row>83</xdr:row>
                    <xdr:rowOff>76200</xdr:rowOff>
                  </from>
                  <to>
                    <xdr:col>16</xdr:col>
                    <xdr:colOff>38100</xdr:colOff>
                    <xdr:row>84</xdr:row>
                    <xdr:rowOff>144780</xdr:rowOff>
                  </to>
                </anchor>
              </controlPr>
            </control>
          </mc:Choice>
        </mc:AlternateContent>
        <mc:AlternateContent xmlns:mc="http://schemas.openxmlformats.org/markup-compatibility/2006">
          <mc:Choice Requires="x14">
            <control shapeId="122883"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2884"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2885"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2886"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122887"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2888"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2889"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2890"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122891"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2892"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2893"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2894"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122895"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2896"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2897"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2898"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122899"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2900"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2901"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2902"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122903"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2904"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2905"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2906"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122907"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2908"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2909"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2910"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122911"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2912"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2913"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2914"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122915"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2916"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2917"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2918"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122919"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2920"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2921"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2922"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122923"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2924"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2925"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2926"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122927"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2928"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2929"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2930"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122931"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2932"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2933"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2934"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122935"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2936"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2937"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122938"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pageSetUpPr fitToPage="1"/>
  </sheetPr>
  <dimension ref="A1:IV88"/>
  <sheetViews>
    <sheetView showGridLines="0" topLeftCell="A15" zoomScale="80" zoomScaleNormal="80" workbookViewId="0">
      <selection activeCell="AF52" sqref="AF52"/>
    </sheetView>
  </sheetViews>
  <sheetFormatPr defaultRowHeight="13.2" x14ac:dyDescent="0.25"/>
  <cols>
    <col min="1" max="1" width="31" customWidth="1"/>
    <col min="2" max="2" width="2.109375" customWidth="1"/>
    <col min="3" max="3" width="19.44140625" customWidth="1"/>
    <col min="4" max="4" width="15.44140625" customWidth="1"/>
    <col min="5" max="5" width="9.88671875" customWidth="1"/>
    <col min="6" max="6" width="3.5546875" customWidth="1"/>
    <col min="7" max="8" width="13.44140625" customWidth="1"/>
    <col min="9" max="9" width="14.5546875" customWidth="1"/>
    <col min="10" max="10" width="13.44140625" customWidth="1"/>
    <col min="11" max="11" width="7" customWidth="1"/>
    <col min="12" max="12" width="15.109375" customWidth="1"/>
    <col min="13" max="13" width="18" customWidth="1"/>
    <col min="14" max="14" width="14.44140625" customWidth="1"/>
    <col min="15" max="15" width="16.44140625" bestFit="1" customWidth="1"/>
    <col min="16" max="16" width="13.88671875" bestFit="1" customWidth="1"/>
    <col min="18" max="26" width="9.109375" hidden="1" customWidth="1"/>
    <col min="27" max="27" width="10.5546875" hidden="1" customWidth="1"/>
    <col min="28" max="29" width="9.109375" hidden="1" customWidth="1"/>
    <col min="30" max="30" width="10" hidden="1" customWidth="1"/>
    <col min="31" max="31" width="9.109375" hidden="1" customWidth="1"/>
  </cols>
  <sheetData>
    <row r="1" spans="1:256" ht="21" x14ac:dyDescent="0.4">
      <c r="A1" s="494" t="s">
        <v>120</v>
      </c>
      <c r="B1" s="494"/>
      <c r="C1" s="494"/>
      <c r="D1" s="494"/>
      <c r="E1" s="494"/>
      <c r="F1" s="494"/>
      <c r="G1" s="494"/>
      <c r="H1" s="494"/>
      <c r="I1" s="494"/>
      <c r="J1" s="494"/>
      <c r="K1" s="494"/>
      <c r="L1" s="494"/>
      <c r="M1" s="494"/>
      <c r="N1" s="494"/>
      <c r="O1" s="494"/>
      <c r="P1" s="494"/>
    </row>
    <row r="2" spans="1:256" ht="21" x14ac:dyDescent="0.4">
      <c r="A2" s="479" t="s">
        <v>278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479"/>
      <c r="BL2" s="479"/>
      <c r="BM2" s="479"/>
      <c r="BN2" s="479"/>
      <c r="BO2" s="479"/>
      <c r="BP2" s="479"/>
      <c r="BQ2" s="479"/>
      <c r="BR2" s="479"/>
      <c r="BS2" s="479"/>
      <c r="BT2" s="479"/>
      <c r="BU2" s="479"/>
      <c r="BV2" s="479"/>
      <c r="BW2" s="479"/>
      <c r="BX2" s="479"/>
      <c r="BY2" s="479"/>
      <c r="BZ2" s="479"/>
      <c r="CA2" s="479"/>
      <c r="CB2" s="479"/>
      <c r="CC2" s="479"/>
      <c r="CD2" s="479"/>
      <c r="CE2" s="479"/>
      <c r="CF2" s="479"/>
      <c r="CG2" s="479"/>
      <c r="CH2" s="479"/>
      <c r="CI2" s="479"/>
      <c r="CJ2" s="479"/>
      <c r="CK2" s="479"/>
      <c r="CL2" s="479"/>
      <c r="CM2" s="479"/>
      <c r="CN2" s="479"/>
      <c r="CO2" s="479"/>
      <c r="CP2" s="479"/>
      <c r="CQ2" s="479"/>
      <c r="CR2" s="479"/>
      <c r="CS2" s="479"/>
      <c r="CT2" s="479"/>
      <c r="CU2" s="479"/>
      <c r="CV2" s="479"/>
      <c r="CW2" s="479"/>
      <c r="CX2" s="479"/>
      <c r="CY2" s="479"/>
      <c r="CZ2" s="479"/>
      <c r="DA2" s="479"/>
      <c r="DB2" s="479"/>
      <c r="DC2" s="479"/>
      <c r="DD2" s="479"/>
      <c r="DE2" s="479"/>
      <c r="DF2" s="479"/>
      <c r="DG2" s="479"/>
      <c r="DH2" s="479"/>
      <c r="DI2" s="479"/>
      <c r="DJ2" s="479"/>
      <c r="DK2" s="479"/>
      <c r="DL2" s="479"/>
      <c r="DM2" s="479"/>
      <c r="DN2" s="479"/>
      <c r="DO2" s="479"/>
      <c r="DP2" s="479"/>
      <c r="DQ2" s="479"/>
      <c r="DR2" s="479"/>
      <c r="DS2" s="479"/>
      <c r="DT2" s="479"/>
      <c r="DU2" s="479"/>
      <c r="DV2" s="479"/>
      <c r="DW2" s="479"/>
      <c r="DX2" s="479"/>
      <c r="DY2" s="479"/>
      <c r="DZ2" s="479"/>
      <c r="EA2" s="479"/>
      <c r="EB2" s="479"/>
      <c r="EC2" s="479"/>
      <c r="ED2" s="479"/>
      <c r="EE2" s="479"/>
      <c r="EF2" s="479"/>
      <c r="EG2" s="479"/>
      <c r="EH2" s="479"/>
      <c r="EI2" s="479"/>
      <c r="EJ2" s="479"/>
      <c r="EK2" s="479"/>
      <c r="EL2" s="479"/>
      <c r="EM2" s="479"/>
      <c r="EN2" s="479"/>
      <c r="EO2" s="479"/>
      <c r="EP2" s="479"/>
      <c r="EQ2" s="479"/>
      <c r="ER2" s="479"/>
      <c r="ES2" s="479"/>
      <c r="ET2" s="479"/>
      <c r="EU2" s="479"/>
      <c r="EV2" s="479"/>
      <c r="EW2" s="479"/>
      <c r="EX2" s="479"/>
      <c r="EY2" s="479"/>
      <c r="EZ2" s="479"/>
      <c r="FA2" s="479"/>
      <c r="FB2" s="479"/>
      <c r="FC2" s="479"/>
      <c r="FD2" s="479"/>
      <c r="FE2" s="479"/>
      <c r="FF2" s="479"/>
      <c r="FG2" s="479"/>
      <c r="FH2" s="479"/>
      <c r="FI2" s="479"/>
      <c r="FJ2" s="479"/>
      <c r="FK2" s="479"/>
      <c r="FL2" s="479"/>
      <c r="FM2" s="479"/>
      <c r="FN2" s="479"/>
      <c r="FO2" s="479"/>
      <c r="FP2" s="479"/>
      <c r="FQ2" s="479"/>
      <c r="FR2" s="479"/>
      <c r="FS2" s="479"/>
      <c r="FT2" s="479"/>
      <c r="FU2" s="479"/>
      <c r="FV2" s="479"/>
      <c r="FW2" s="479"/>
      <c r="FX2" s="479"/>
      <c r="FY2" s="479"/>
      <c r="FZ2" s="479"/>
      <c r="GA2" s="479"/>
      <c r="GB2" s="479"/>
      <c r="GC2" s="479"/>
      <c r="GD2" s="479"/>
      <c r="GE2" s="479"/>
      <c r="GF2" s="479"/>
      <c r="GG2" s="479"/>
      <c r="GH2" s="479"/>
      <c r="GI2" s="479"/>
      <c r="GJ2" s="479"/>
      <c r="GK2" s="479"/>
      <c r="GL2" s="479"/>
      <c r="GM2" s="479"/>
      <c r="GN2" s="479"/>
      <c r="GO2" s="479"/>
      <c r="GP2" s="479"/>
      <c r="GQ2" s="479"/>
      <c r="GR2" s="479"/>
      <c r="GS2" s="479"/>
      <c r="GT2" s="479"/>
      <c r="GU2" s="479"/>
      <c r="GV2" s="479"/>
      <c r="GW2" s="479"/>
      <c r="GX2" s="479"/>
      <c r="GY2" s="479"/>
      <c r="GZ2" s="479"/>
      <c r="HA2" s="479"/>
      <c r="HB2" s="479"/>
      <c r="HC2" s="479"/>
      <c r="HD2" s="479"/>
      <c r="HE2" s="479"/>
      <c r="HF2" s="479"/>
      <c r="HG2" s="479"/>
      <c r="HH2" s="479"/>
      <c r="HI2" s="479"/>
      <c r="HJ2" s="479"/>
      <c r="HK2" s="479"/>
      <c r="HL2" s="479"/>
      <c r="HM2" s="479"/>
      <c r="HN2" s="479"/>
      <c r="HO2" s="479"/>
      <c r="HP2" s="479"/>
      <c r="HQ2" s="479"/>
      <c r="HR2" s="479"/>
      <c r="HS2" s="479"/>
      <c r="HT2" s="479"/>
      <c r="HU2" s="479"/>
      <c r="HV2" s="479"/>
      <c r="HW2" s="479"/>
      <c r="HX2" s="479"/>
      <c r="HY2" s="479"/>
      <c r="HZ2" s="479"/>
      <c r="IA2" s="479"/>
      <c r="IB2" s="479"/>
      <c r="IC2" s="479"/>
      <c r="ID2" s="479"/>
      <c r="IE2" s="479"/>
      <c r="IF2" s="479"/>
      <c r="IG2" s="479"/>
      <c r="IH2" s="479"/>
      <c r="II2" s="479"/>
      <c r="IJ2" s="479"/>
      <c r="IK2" s="479"/>
      <c r="IL2" s="479"/>
      <c r="IM2" s="479"/>
      <c r="IN2" s="479"/>
      <c r="IO2" s="479"/>
      <c r="IP2" s="479"/>
      <c r="IQ2" s="479"/>
      <c r="IR2" s="479"/>
      <c r="IS2" s="479"/>
      <c r="IT2" s="479"/>
      <c r="IU2" s="479"/>
      <c r="IV2" s="479"/>
    </row>
    <row r="3" spans="1:256" ht="17.399999999999999" x14ac:dyDescent="0.3">
      <c r="A3" s="495" t="s">
        <v>270</v>
      </c>
      <c r="B3" s="495"/>
      <c r="C3" s="495"/>
      <c r="D3" s="495"/>
      <c r="E3" s="495"/>
      <c r="F3" s="495"/>
      <c r="G3" s="495"/>
      <c r="H3" s="495"/>
      <c r="I3" s="495"/>
      <c r="J3" s="495"/>
      <c r="K3" s="495"/>
      <c r="L3" s="495"/>
      <c r="M3" s="495"/>
      <c r="N3" s="495"/>
      <c r="O3" s="495"/>
      <c r="P3" s="495"/>
    </row>
    <row r="4" spans="1:256" ht="15.6" x14ac:dyDescent="0.3">
      <c r="A4" s="480" t="str">
        <f>'Customer Info'!B11</f>
        <v>Breakdown of Charges Based on Entered Information</v>
      </c>
      <c r="B4" s="480"/>
      <c r="C4" s="480"/>
      <c r="D4" s="480"/>
      <c r="E4" s="480"/>
      <c r="F4" s="480"/>
      <c r="G4" s="480"/>
      <c r="H4" s="480"/>
      <c r="I4" s="480"/>
      <c r="J4" s="480"/>
      <c r="K4" s="480"/>
      <c r="L4" s="480"/>
      <c r="M4" s="480"/>
      <c r="N4" s="480"/>
      <c r="O4" s="480"/>
      <c r="P4" s="480"/>
    </row>
    <row r="5" spans="1:256" ht="15" x14ac:dyDescent="0.25">
      <c r="A5" s="75"/>
      <c r="B5" s="75"/>
      <c r="C5" s="75"/>
      <c r="D5" s="75"/>
      <c r="E5" s="75"/>
      <c r="F5" s="75"/>
      <c r="G5" s="75"/>
      <c r="H5" s="75"/>
      <c r="I5" s="75"/>
      <c r="J5" s="75"/>
      <c r="K5" s="75"/>
    </row>
    <row r="6" spans="1:256" x14ac:dyDescent="0.25">
      <c r="A6" s="76">
        <f ca="1">TODAY()</f>
        <v>45657</v>
      </c>
      <c r="B6" s="99" t="s">
        <v>293</v>
      </c>
      <c r="C6" s="274"/>
      <c r="D6" s="274"/>
      <c r="E6" s="274"/>
      <c r="F6" s="274"/>
      <c r="G6" s="274"/>
      <c r="H6" s="274"/>
      <c r="I6" s="274"/>
      <c r="J6" s="274"/>
      <c r="K6" s="274"/>
    </row>
    <row r="7" spans="1:256" ht="24.6" x14ac:dyDescent="0.4">
      <c r="A7" s="505"/>
      <c r="B7" s="505"/>
      <c r="C7" s="505"/>
      <c r="D7" s="505"/>
      <c r="E7" s="505"/>
      <c r="F7" s="505"/>
      <c r="G7" s="505"/>
      <c r="H7" s="505"/>
      <c r="I7" s="505"/>
      <c r="J7" s="505"/>
      <c r="K7" s="505"/>
      <c r="L7" s="505"/>
      <c r="M7" s="505"/>
      <c r="N7" s="505"/>
      <c r="O7" s="505"/>
      <c r="P7" s="505"/>
    </row>
    <row r="8" spans="1:256" ht="15" x14ac:dyDescent="0.25">
      <c r="A8" s="23" t="s">
        <v>2</v>
      </c>
      <c r="B8" s="24"/>
      <c r="C8" s="25">
        <f>'Customer Info'!B7</f>
        <v>0</v>
      </c>
      <c r="I8" s="26"/>
    </row>
    <row r="9" spans="1:256" ht="15" x14ac:dyDescent="0.25">
      <c r="A9" s="27" t="s">
        <v>26</v>
      </c>
      <c r="B9" s="24"/>
      <c r="C9" s="25">
        <f>'Customer Info'!B8</f>
        <v>0</v>
      </c>
    </row>
    <row r="10" spans="1:256" x14ac:dyDescent="0.25">
      <c r="A10" s="23" t="s">
        <v>3</v>
      </c>
      <c r="B10" s="200">
        <f>'Customer Info'!B9</f>
        <v>1</v>
      </c>
      <c r="C10" s="194" t="str">
        <f>LOOKUP(B10,R10:AD10,R11:AD11)</f>
        <v>January</v>
      </c>
      <c r="D10" s="133">
        <f>'Customer Info'!C9</f>
        <v>2025</v>
      </c>
      <c r="S10">
        <v>1</v>
      </c>
      <c r="T10">
        <v>2</v>
      </c>
      <c r="U10">
        <v>3</v>
      </c>
      <c r="V10">
        <v>4</v>
      </c>
      <c r="W10">
        <v>5</v>
      </c>
      <c r="X10">
        <v>6</v>
      </c>
      <c r="Y10">
        <v>7</v>
      </c>
      <c r="Z10">
        <v>8</v>
      </c>
      <c r="AA10">
        <v>9</v>
      </c>
      <c r="AB10">
        <v>10</v>
      </c>
      <c r="AC10">
        <v>11</v>
      </c>
      <c r="AD10">
        <v>12</v>
      </c>
    </row>
    <row r="11" spans="1:256" ht="15" customHeight="1" x14ac:dyDescent="0.25">
      <c r="A11" s="493"/>
      <c r="B11" s="493"/>
      <c r="C11" s="493"/>
      <c r="D11" s="493"/>
      <c r="E11" s="493"/>
      <c r="F11" s="493"/>
      <c r="G11" s="493"/>
      <c r="H11" s="493"/>
      <c r="I11" s="493"/>
      <c r="R11" t="s">
        <v>115</v>
      </c>
      <c r="S11" s="145" t="s">
        <v>102</v>
      </c>
      <c r="T11" s="145" t="s">
        <v>103</v>
      </c>
      <c r="U11" s="145" t="s">
        <v>104</v>
      </c>
      <c r="V11" s="145" t="s">
        <v>105</v>
      </c>
      <c r="W11" s="145" t="s">
        <v>106</v>
      </c>
      <c r="X11" s="145" t="s">
        <v>107</v>
      </c>
      <c r="Y11" s="145" t="s">
        <v>108</v>
      </c>
      <c r="Z11" s="145" t="s">
        <v>109</v>
      </c>
      <c r="AA11" s="145" t="s">
        <v>110</v>
      </c>
      <c r="AB11" s="145" t="s">
        <v>112</v>
      </c>
      <c r="AC11" s="145" t="s">
        <v>111</v>
      </c>
      <c r="AD11" s="145" t="s">
        <v>113</v>
      </c>
    </row>
    <row r="12" spans="1:256" x14ac:dyDescent="0.25">
      <c r="A12" s="28" t="s">
        <v>27</v>
      </c>
      <c r="B12" s="22"/>
      <c r="C12" s="22"/>
      <c r="D12" s="22"/>
      <c r="E12" s="22"/>
      <c r="F12" s="22"/>
      <c r="G12" s="22"/>
      <c r="H12" s="22"/>
      <c r="I12" s="22"/>
      <c r="J12" s="22"/>
      <c r="K12" s="22"/>
      <c r="L12" s="22"/>
      <c r="M12" s="22"/>
      <c r="N12" s="22"/>
      <c r="O12" s="22"/>
      <c r="P12" s="22"/>
      <c r="R12" s="3" t="s">
        <v>187</v>
      </c>
      <c r="S12" s="207">
        <f>'Rider Rates'!$C$25</f>
        <v>6.6629999999999995E-2</v>
      </c>
      <c r="T12" s="207">
        <f>'Rider Rates'!$C$25</f>
        <v>6.6629999999999995E-2</v>
      </c>
      <c r="U12" s="207">
        <f>'Rider Rates'!$C$25</f>
        <v>6.6629999999999995E-2</v>
      </c>
      <c r="V12" s="207">
        <f>'Rider Rates'!$C$25</f>
        <v>6.6629999999999995E-2</v>
      </c>
      <c r="W12" s="207">
        <f>'Rider Rates'!$C$25</f>
        <v>6.6629999999999995E-2</v>
      </c>
      <c r="X12" s="207">
        <f>'Rider Rates'!$C$25</f>
        <v>6.6629999999999995E-2</v>
      </c>
      <c r="Y12" s="207">
        <f>'Rider Rates'!$C$25</f>
        <v>6.6629999999999995E-2</v>
      </c>
      <c r="Z12" s="207">
        <f>'Rider Rates'!$C$25</f>
        <v>6.6629999999999995E-2</v>
      </c>
      <c r="AA12" s="207">
        <f>'Rider Rates'!$C$25</f>
        <v>6.6629999999999995E-2</v>
      </c>
      <c r="AB12" s="207">
        <f>'Rider Rates'!$C$25</f>
        <v>6.6629999999999995E-2</v>
      </c>
      <c r="AC12" s="207">
        <f>'Rider Rates'!$C$25</f>
        <v>6.6629999999999995E-2</v>
      </c>
      <c r="AD12" s="207">
        <f>'Rider Rates'!$C$25</f>
        <v>6.6629999999999995E-2</v>
      </c>
      <c r="AE12" s="207"/>
      <c r="AF12" s="207"/>
    </row>
    <row r="13" spans="1:256" x14ac:dyDescent="0.25">
      <c r="A13" s="18"/>
      <c r="B13" s="18"/>
      <c r="C13" s="59" t="s">
        <v>55</v>
      </c>
      <c r="D13" s="59" t="s">
        <v>56</v>
      </c>
      <c r="E13" s="18"/>
      <c r="F13" s="18"/>
      <c r="G13" s="18"/>
      <c r="H13" s="18"/>
      <c r="I13" s="18"/>
      <c r="J13" s="18"/>
      <c r="K13" s="18"/>
      <c r="L13" s="18"/>
      <c r="M13" s="18"/>
      <c r="N13" s="18"/>
      <c r="O13" s="18"/>
    </row>
    <row r="14" spans="1:256" x14ac:dyDescent="0.25">
      <c r="A14" s="29" t="s">
        <v>28</v>
      </c>
      <c r="B14" s="29"/>
      <c r="C14" s="44">
        <f>'Customer Info'!B18</f>
        <v>0</v>
      </c>
      <c r="D14" s="44">
        <f>ROUND(C14*C19,1)</f>
        <v>0</v>
      </c>
      <c r="E14" s="29" t="s">
        <v>45</v>
      </c>
      <c r="F14" s="30"/>
      <c r="G14" s="29" t="s">
        <v>15</v>
      </c>
      <c r="I14" s="53" t="s">
        <v>15</v>
      </c>
      <c r="J14" s="29"/>
      <c r="K14" s="29"/>
      <c r="L14" s="29"/>
      <c r="M14" s="29"/>
      <c r="N14" s="29"/>
    </row>
    <row r="15" spans="1:256" x14ac:dyDescent="0.25">
      <c r="A15" s="31" t="s">
        <v>29</v>
      </c>
      <c r="B15" s="31"/>
      <c r="C15" s="44">
        <f>'Customer Info'!B19</f>
        <v>0</v>
      </c>
      <c r="D15" s="44">
        <f>C15*C19</f>
        <v>0</v>
      </c>
      <c r="E15" s="29" t="s">
        <v>45</v>
      </c>
      <c r="F15" s="33"/>
      <c r="G15" s="31" t="s">
        <v>30</v>
      </c>
      <c r="I15" s="51" t="str">
        <f>IF(MAX(C14,C15)&gt;0,C16/(MAX(C14,C15)*730), " ")</f>
        <v xml:space="preserve"> </v>
      </c>
      <c r="J15" s="31"/>
      <c r="K15" s="31"/>
      <c r="L15" s="31"/>
      <c r="M15" s="31"/>
      <c r="N15" s="31"/>
      <c r="X15" s="207"/>
      <c r="Y15" s="207"/>
      <c r="Z15" s="207"/>
      <c r="AA15" s="207"/>
    </row>
    <row r="16" spans="1:256" x14ac:dyDescent="0.25">
      <c r="A16" s="31" t="s">
        <v>43</v>
      </c>
      <c r="B16" s="31"/>
      <c r="C16" s="32">
        <f>IF('Customer Info'!B21+'Customer Info'!B22-'Customer Info'!B23&lt;0,0,'Customer Info'!B21+'Customer Info'!B22-'Customer Info'!B23)</f>
        <v>0</v>
      </c>
      <c r="D16" s="32">
        <f>C16*C19</f>
        <v>0</v>
      </c>
      <c r="E16" s="31" t="s">
        <v>41</v>
      </c>
      <c r="F16" s="33"/>
      <c r="G16" s="31"/>
      <c r="H16" s="31"/>
      <c r="I16" s="31"/>
      <c r="J16" s="31"/>
      <c r="K16" s="31"/>
      <c r="L16" s="31"/>
      <c r="M16" s="31"/>
      <c r="N16" s="31"/>
      <c r="O16" s="31"/>
    </row>
    <row r="17" spans="1:30" x14ac:dyDescent="0.25">
      <c r="A17" s="31" t="s">
        <v>129</v>
      </c>
      <c r="B17" s="31"/>
      <c r="C17" s="32">
        <f>'Customer Info'!$B$26</f>
        <v>0</v>
      </c>
      <c r="D17" s="32">
        <f>C17*C19</f>
        <v>0</v>
      </c>
      <c r="E17" s="31" t="s">
        <v>256</v>
      </c>
      <c r="F17" s="33"/>
      <c r="K17" s="31"/>
      <c r="L17" s="31"/>
      <c r="M17" s="31"/>
      <c r="N17" s="31"/>
    </row>
    <row r="18" spans="1:30" x14ac:dyDescent="0.25">
      <c r="A18" s="31" t="s">
        <v>255</v>
      </c>
      <c r="B18" s="31"/>
      <c r="C18" s="32"/>
      <c r="D18" s="32">
        <f>IF((D17-(ROUND(MAX(D14,D15)*0.5,1)))&lt;0,0,(D17-(ROUND(MAX(D14,D15)*0.5,1))))</f>
        <v>0</v>
      </c>
      <c r="E18" s="31" t="s">
        <v>259</v>
      </c>
      <c r="F18" s="33"/>
      <c r="K18" s="31"/>
      <c r="L18" s="31"/>
      <c r="M18" s="31"/>
      <c r="N18" s="31"/>
    </row>
    <row r="19" spans="1:30" x14ac:dyDescent="0.25">
      <c r="A19" s="31" t="s">
        <v>54</v>
      </c>
      <c r="B19" s="31"/>
      <c r="C19" s="58">
        <f>+'Customer Info'!E18</f>
        <v>1</v>
      </c>
      <c r="D19" s="31"/>
      <c r="E19" s="31"/>
      <c r="F19" s="33"/>
      <c r="G19" s="23"/>
      <c r="H19" s="23"/>
      <c r="I19" s="23"/>
      <c r="J19" s="23"/>
      <c r="K19" s="31"/>
      <c r="L19" s="31"/>
      <c r="M19" s="31"/>
      <c r="N19" s="31"/>
      <c r="S19" s="207"/>
      <c r="T19" s="207"/>
      <c r="U19" s="207"/>
      <c r="V19" s="207"/>
      <c r="W19" s="207"/>
      <c r="X19" s="207"/>
      <c r="Y19" s="207"/>
      <c r="Z19" s="207"/>
      <c r="AA19" s="207"/>
      <c r="AB19" s="207"/>
      <c r="AC19" s="207"/>
      <c r="AD19" s="207"/>
    </row>
    <row r="20" spans="1:30" x14ac:dyDescent="0.25">
      <c r="A20" s="31" t="s">
        <v>15</v>
      </c>
      <c r="B20" s="31"/>
      <c r="C20" s="82" t="s">
        <v>15</v>
      </c>
      <c r="D20" s="507" t="s">
        <v>15</v>
      </c>
      <c r="E20" s="507"/>
      <c r="F20" s="507"/>
      <c r="G20" s="507"/>
      <c r="H20" s="507"/>
      <c r="K20" s="31"/>
      <c r="L20" s="31"/>
      <c r="M20" s="31"/>
      <c r="N20" s="31"/>
      <c r="O20" s="50"/>
    </row>
    <row r="21" spans="1:30" x14ac:dyDescent="0.25">
      <c r="A21" s="31" t="s">
        <v>15</v>
      </c>
      <c r="B21" s="31"/>
      <c r="C21" s="82" t="s">
        <v>15</v>
      </c>
      <c r="D21" s="507" t="s">
        <v>15</v>
      </c>
      <c r="E21" s="507"/>
      <c r="F21" s="507"/>
      <c r="G21" s="507"/>
      <c r="H21" s="507"/>
      <c r="I21" s="23"/>
      <c r="J21" s="23"/>
      <c r="K21" s="31"/>
      <c r="L21" s="31"/>
      <c r="M21" s="31"/>
      <c r="N21" s="31"/>
      <c r="O21" s="50"/>
    </row>
    <row r="22" spans="1:30" x14ac:dyDescent="0.25">
      <c r="A22" s="31"/>
      <c r="B22" s="31"/>
      <c r="C22" s="33"/>
      <c r="D22" s="33"/>
      <c r="E22" s="33"/>
      <c r="F22" s="33"/>
      <c r="G22" s="23"/>
      <c r="H22" s="23"/>
      <c r="I22" s="23"/>
      <c r="J22" s="23"/>
      <c r="K22" s="31"/>
      <c r="L22" s="31"/>
      <c r="M22" s="31"/>
      <c r="N22" s="31"/>
      <c r="O22" s="31"/>
    </row>
    <row r="23" spans="1:30" x14ac:dyDescent="0.25">
      <c r="A23" s="28" t="s">
        <v>31</v>
      </c>
      <c r="B23" s="22"/>
      <c r="C23" s="22"/>
      <c r="D23" s="22"/>
      <c r="E23" s="22"/>
      <c r="F23" s="22"/>
      <c r="G23" s="489" t="s">
        <v>68</v>
      </c>
      <c r="H23" s="490"/>
      <c r="I23" s="490"/>
      <c r="J23" s="491"/>
      <c r="K23" s="22"/>
      <c r="L23" s="492" t="s">
        <v>69</v>
      </c>
      <c r="M23" s="492"/>
      <c r="N23" s="492"/>
      <c r="O23" s="492"/>
    </row>
    <row r="24" spans="1:30" x14ac:dyDescent="0.25">
      <c r="A24" s="18"/>
      <c r="B24" s="18"/>
      <c r="C24" s="18"/>
      <c r="D24" s="18"/>
      <c r="E24" s="18"/>
      <c r="F24" s="18"/>
      <c r="G24" s="8" t="s">
        <v>65</v>
      </c>
      <c r="H24" s="8" t="s">
        <v>66</v>
      </c>
      <c r="I24" s="8" t="s">
        <v>67</v>
      </c>
      <c r="J24" s="112" t="s">
        <v>34</v>
      </c>
      <c r="K24" s="18"/>
      <c r="L24" s="131" t="s">
        <v>65</v>
      </c>
      <c r="M24" s="131" t="s">
        <v>66</v>
      </c>
      <c r="N24" s="131" t="s">
        <v>67</v>
      </c>
      <c r="O24" s="132" t="s">
        <v>34</v>
      </c>
      <c r="P24" s="43" t="s">
        <v>57</v>
      </c>
    </row>
    <row r="25" spans="1:30" x14ac:dyDescent="0.25">
      <c r="A25" t="s">
        <v>32</v>
      </c>
      <c r="G25" s="86"/>
      <c r="H25" s="86"/>
      <c r="I25" s="86">
        <f>IF(D14&gt;2000,3600,825)</f>
        <v>825</v>
      </c>
      <c r="J25" s="86">
        <f>SUM(G25:I25)</f>
        <v>825</v>
      </c>
      <c r="L25" s="88"/>
      <c r="M25" s="88"/>
      <c r="N25" s="88">
        <f>I25</f>
        <v>825</v>
      </c>
      <c r="O25" s="209">
        <f>SUM(L25:N25)</f>
        <v>825</v>
      </c>
      <c r="P25" s="245">
        <v>44531</v>
      </c>
    </row>
    <row r="26" spans="1:30" x14ac:dyDescent="0.25">
      <c r="A26" t="s">
        <v>132</v>
      </c>
      <c r="D26" s="1">
        <f>D16</f>
        <v>0</v>
      </c>
      <c r="E26" s="101" t="s">
        <v>41</v>
      </c>
      <c r="F26" s="102" t="s">
        <v>8</v>
      </c>
      <c r="G26" s="84"/>
      <c r="H26" s="86"/>
      <c r="I26" s="86"/>
      <c r="J26" s="84"/>
      <c r="K26" s="104" t="s">
        <v>42</v>
      </c>
      <c r="L26" s="87"/>
      <c r="M26" s="88"/>
      <c r="N26" s="87"/>
      <c r="O26" s="209"/>
      <c r="P26" s="245"/>
    </row>
    <row r="27" spans="1:30" x14ac:dyDescent="0.25">
      <c r="A27" t="s">
        <v>33</v>
      </c>
      <c r="D27" s="49">
        <f>ROUND(MAX(D14,D15,('Customer Info'!B14-100)*0.6,('Customer Info'!B16-100)*0.6),1)</f>
        <v>0</v>
      </c>
      <c r="E27" s="29" t="s">
        <v>45</v>
      </c>
      <c r="F27" s="4" t="s">
        <v>8</v>
      </c>
      <c r="G27" s="85"/>
      <c r="H27" s="85"/>
      <c r="I27" s="85">
        <v>0</v>
      </c>
      <c r="J27" s="85">
        <f>SUM(G27:I27)</f>
        <v>0</v>
      </c>
      <c r="K27" s="36" t="s">
        <v>44</v>
      </c>
      <c r="L27" s="87"/>
      <c r="M27" s="87"/>
      <c r="N27" s="87">
        <f>ROUND($D27*I27,2)</f>
        <v>0</v>
      </c>
      <c r="O27" s="209">
        <f>SUM(L27:N27)</f>
        <v>0</v>
      </c>
      <c r="P27" s="245">
        <v>44531</v>
      </c>
    </row>
    <row r="28" spans="1:30" x14ac:dyDescent="0.25">
      <c r="A28" t="s">
        <v>260</v>
      </c>
      <c r="D28" s="49">
        <f>D18</f>
        <v>0</v>
      </c>
      <c r="E28" s="29" t="s">
        <v>258</v>
      </c>
      <c r="F28" s="4" t="s">
        <v>8</v>
      </c>
      <c r="G28" s="116"/>
      <c r="H28" s="85"/>
      <c r="I28" s="85">
        <v>0.7</v>
      </c>
      <c r="J28" s="116">
        <f>SUM(G28:I28)</f>
        <v>0.7</v>
      </c>
      <c r="K28" s="36" t="s">
        <v>44</v>
      </c>
      <c r="L28" s="87"/>
      <c r="M28" s="87"/>
      <c r="N28" s="87">
        <f>ROUND($D28*I28,2)</f>
        <v>0</v>
      </c>
      <c r="O28" s="87">
        <f>SUM(L28:N28)</f>
        <v>0</v>
      </c>
      <c r="P28" s="245">
        <v>44531</v>
      </c>
    </row>
    <row r="29" spans="1:30" x14ac:dyDescent="0.25">
      <c r="A29" s="37" t="s">
        <v>50</v>
      </c>
      <c r="B29" s="37"/>
      <c r="C29" s="37"/>
      <c r="D29" s="38"/>
      <c r="E29" s="38"/>
      <c r="F29" s="37"/>
      <c r="G29" s="37"/>
      <c r="H29" s="37"/>
      <c r="I29" s="37"/>
      <c r="J29" s="37"/>
      <c r="K29" s="39"/>
      <c r="L29" s="40"/>
      <c r="M29" s="40"/>
      <c r="N29" s="40">
        <f>SUM(N25:N28)</f>
        <v>825</v>
      </c>
      <c r="O29" s="40">
        <f>SUM(O25:O28)</f>
        <v>825</v>
      </c>
    </row>
    <row r="30" spans="1:30" x14ac:dyDescent="0.25">
      <c r="A30" s="89"/>
      <c r="B30" s="89"/>
      <c r="C30" s="90"/>
      <c r="D30" s="90"/>
      <c r="E30" s="90"/>
      <c r="F30" s="90"/>
      <c r="G30" s="91"/>
      <c r="H30" s="91"/>
      <c r="I30" s="91"/>
      <c r="J30" s="91"/>
      <c r="K30" s="89"/>
      <c r="L30" s="89"/>
      <c r="M30" s="89"/>
      <c r="N30" s="89"/>
      <c r="O30" s="89"/>
      <c r="P30" s="89"/>
    </row>
    <row r="31" spans="1:30" x14ac:dyDescent="0.25">
      <c r="A31" s="41" t="s">
        <v>70</v>
      </c>
      <c r="D31" s="1"/>
      <c r="E31" s="1"/>
      <c r="K31" s="36"/>
      <c r="L31" s="36"/>
      <c r="M31" s="36"/>
      <c r="N31" s="36"/>
      <c r="O31" s="34"/>
      <c r="P31" s="34"/>
    </row>
    <row r="32" spans="1:30" x14ac:dyDescent="0.25">
      <c r="A32" s="37"/>
      <c r="D32" s="1"/>
      <c r="E32" s="1"/>
      <c r="K32" s="36"/>
      <c r="L32" s="36"/>
      <c r="M32" s="36"/>
      <c r="N32" s="36"/>
      <c r="O32" s="34"/>
    </row>
    <row r="33" spans="1:221" x14ac:dyDescent="0.25">
      <c r="A33" s="78" t="s">
        <v>79</v>
      </c>
      <c r="D33" s="1">
        <f>IF($C$16&lt;0,0,IF($C$16&gt;833000,833000,$C$16))</f>
        <v>0</v>
      </c>
      <c r="E33" s="35" t="s">
        <v>41</v>
      </c>
      <c r="F33" s="4" t="s">
        <v>8</v>
      </c>
      <c r="G33" s="83"/>
      <c r="H33" s="84"/>
      <c r="I33" s="103">
        <f>'Rider Rates'!$B$4</f>
        <v>4.6278999999999999E-3</v>
      </c>
      <c r="J33" s="6">
        <f>SUM(G33:I33)</f>
        <v>4.6278999999999999E-3</v>
      </c>
      <c r="K33" s="36" t="s">
        <v>42</v>
      </c>
      <c r="L33" s="87"/>
      <c r="M33" s="87"/>
      <c r="N33" s="87">
        <f>ROUND($D33*I33,2)</f>
        <v>0</v>
      </c>
      <c r="O33" s="87">
        <f>SUM(L33:N33)</f>
        <v>0</v>
      </c>
      <c r="P33" s="245">
        <f>'Rider Rates'!$D$4</f>
        <v>45657</v>
      </c>
    </row>
    <row r="34" spans="1:221" x14ac:dyDescent="0.25">
      <c r="A34" s="78" t="s">
        <v>80</v>
      </c>
      <c r="D34" s="1">
        <f>IF($C$16-833000&gt;0,$C$16-D33,0)</f>
        <v>0</v>
      </c>
      <c r="E34" s="35" t="s">
        <v>41</v>
      </c>
      <c r="F34" s="4" t="s">
        <v>8</v>
      </c>
      <c r="G34" s="83"/>
      <c r="H34" s="84"/>
      <c r="I34" s="103">
        <f>'Rider Rates'!$B$5</f>
        <v>1.7560000000000001E-4</v>
      </c>
      <c r="J34" s="118">
        <f>SUM(G34:I34)</f>
        <v>1.7560000000000001E-4</v>
      </c>
      <c r="K34" s="36" t="s">
        <v>42</v>
      </c>
      <c r="L34" s="87"/>
      <c r="M34" s="87"/>
      <c r="N34" s="87">
        <f>ROUND($D34*I34,2)</f>
        <v>0</v>
      </c>
      <c r="O34" s="87">
        <f>SUM(L34:N34)</f>
        <v>0</v>
      </c>
      <c r="P34" s="245">
        <f>'Rider Rates'!$D$4</f>
        <v>45657</v>
      </c>
    </row>
    <row r="35" spans="1:221" x14ac:dyDescent="0.25">
      <c r="A35" s="78" t="s">
        <v>47</v>
      </c>
      <c r="B35" t="s">
        <v>15</v>
      </c>
      <c r="D35" s="1">
        <f>IF('Customer Info'!$C$32=TRUE,0,IF(C16&lt;0,0,IF(C16&gt;2000,2000,C16)))</f>
        <v>0</v>
      </c>
      <c r="E35" s="35" t="s">
        <v>41</v>
      </c>
      <c r="F35" s="4" t="s">
        <v>8</v>
      </c>
      <c r="G35" s="83"/>
      <c r="H35" s="84"/>
      <c r="I35" s="177">
        <f>'Rider Rates'!$B$8</f>
        <v>4.6499999999999996E-3</v>
      </c>
      <c r="J35" s="117">
        <f>SUM(G35:I35)</f>
        <v>4.6499999999999996E-3</v>
      </c>
      <c r="K35" s="36" t="s">
        <v>42</v>
      </c>
      <c r="L35" s="87"/>
      <c r="M35" s="87"/>
      <c r="N35" s="87">
        <f>ROUND($D35*I35,2)</f>
        <v>0</v>
      </c>
      <c r="O35" s="87">
        <f>SUM(L35:N35)</f>
        <v>0</v>
      </c>
      <c r="P35" s="245">
        <f>'Rider Rates'!$D$7</f>
        <v>44531</v>
      </c>
    </row>
    <row r="36" spans="1:221" x14ac:dyDescent="0.25">
      <c r="A36" s="78" t="s">
        <v>48</v>
      </c>
      <c r="B36" t="s">
        <v>15</v>
      </c>
      <c r="D36" s="1">
        <f>IF('Customer Info'!$C$32=TRUE,0,IF(C16&gt;15000,13000,IF(C16&gt;2000,C16-2000,0)))</f>
        <v>0</v>
      </c>
      <c r="E36" s="35" t="s">
        <v>41</v>
      </c>
      <c r="F36" s="4" t="s">
        <v>8</v>
      </c>
      <c r="G36" s="83"/>
      <c r="H36" s="84"/>
      <c r="I36" s="177">
        <f>'Rider Rates'!$B$9</f>
        <v>4.1900000000000001E-3</v>
      </c>
      <c r="J36" s="117">
        <f>SUM(G36:I36)</f>
        <v>4.1900000000000001E-3</v>
      </c>
      <c r="K36" s="36" t="s">
        <v>42</v>
      </c>
      <c r="L36" s="87"/>
      <c r="M36" s="87"/>
      <c r="N36" s="87">
        <f>ROUND($D36*I36,2)</f>
        <v>0</v>
      </c>
      <c r="O36" s="87">
        <f>SUM(L36:N36)</f>
        <v>0</v>
      </c>
      <c r="P36" s="245">
        <f>'Rider Rates'!$D$7</f>
        <v>44531</v>
      </c>
    </row>
    <row r="37" spans="1:221" x14ac:dyDescent="0.25">
      <c r="A37" s="78" t="s">
        <v>49</v>
      </c>
      <c r="B37" t="s">
        <v>15</v>
      </c>
      <c r="D37" s="1">
        <f>IF('Customer Info'!$C$32=TRUE,0,IF(C16-D35-D36&gt;0,C16-D35-D36,0))</f>
        <v>0</v>
      </c>
      <c r="E37" s="35" t="s">
        <v>41</v>
      </c>
      <c r="F37" s="4" t="s">
        <v>8</v>
      </c>
      <c r="G37" s="83"/>
      <c r="H37" s="84"/>
      <c r="I37" s="177">
        <f>'Rider Rates'!$B$10</f>
        <v>3.63E-3</v>
      </c>
      <c r="J37" s="117">
        <f>SUM(G37:I37)</f>
        <v>3.63E-3</v>
      </c>
      <c r="K37" s="36" t="s">
        <v>42</v>
      </c>
      <c r="L37" s="87"/>
      <c r="M37" s="87"/>
      <c r="N37" s="87">
        <f>ROUND($D37*I37,2)</f>
        <v>0</v>
      </c>
      <c r="O37" s="87">
        <f>SUM(L37:N37)</f>
        <v>0</v>
      </c>
      <c r="P37" s="245">
        <f>'Rider Rates'!$D$7</f>
        <v>44531</v>
      </c>
    </row>
    <row r="38" spans="1:221" x14ac:dyDescent="0.25">
      <c r="A38" s="241" t="s">
        <v>237</v>
      </c>
      <c r="B38" s="78"/>
      <c r="C38" s="78"/>
      <c r="D38" s="208">
        <f>$N$29</f>
        <v>825</v>
      </c>
      <c r="E38" s="101" t="s">
        <v>122</v>
      </c>
      <c r="F38" s="102" t="s">
        <v>8</v>
      </c>
      <c r="G38" s="103"/>
      <c r="H38" s="103"/>
      <c r="I38" s="178">
        <f>'Rider Rates'!$B$18+'Rider Rates'!$E$18</f>
        <v>0</v>
      </c>
      <c r="J38" s="120">
        <f>SUM(H38:I38)</f>
        <v>0</v>
      </c>
      <c r="K38" s="104"/>
      <c r="L38" s="105"/>
      <c r="M38" s="105"/>
      <c r="N38" s="105">
        <f>ROUND($D$38*'Rider Rates'!$B$18,2)+ROUND($D$38*'Rider Rates'!$E$18,2)</f>
        <v>0</v>
      </c>
      <c r="O38" s="105">
        <f t="shared" ref="O38:O41" si="0">SUM(L38:N38)</f>
        <v>0</v>
      </c>
      <c r="P38" s="245">
        <f>MAX('Rider Rates'!$D$18,'Rider Rates'!$F$18)</f>
        <v>44531</v>
      </c>
    </row>
    <row r="39" spans="1:221" x14ac:dyDescent="0.25">
      <c r="A39" s="241" t="s">
        <v>210</v>
      </c>
      <c r="B39" s="78"/>
      <c r="C39" s="78"/>
      <c r="D39" s="1">
        <f>IF($C$16&lt;0,0,IF($C$16&gt;833000,833000,$C$16))</f>
        <v>0</v>
      </c>
      <c r="E39" s="101" t="s">
        <v>41</v>
      </c>
      <c r="F39" s="102" t="s">
        <v>8</v>
      </c>
      <c r="G39" s="103"/>
      <c r="H39" s="103"/>
      <c r="I39" s="103">
        <f>'Rider Rates'!D49</f>
        <v>1.8006999999999999E-3</v>
      </c>
      <c r="J39" s="103">
        <f>SUM(G39:I39)</f>
        <v>1.8006999999999999E-3</v>
      </c>
      <c r="K39" s="104" t="s">
        <v>42</v>
      </c>
      <c r="L39" s="105"/>
      <c r="M39" s="105"/>
      <c r="N39" s="87">
        <f>D39*J39</f>
        <v>0</v>
      </c>
      <c r="O39" s="105">
        <f t="shared" si="0"/>
        <v>0</v>
      </c>
      <c r="P39" s="245">
        <f>'Rider Rates'!E49</f>
        <v>45658</v>
      </c>
    </row>
    <row r="40" spans="1:221" x14ac:dyDescent="0.25">
      <c r="A40" s="210" t="s">
        <v>189</v>
      </c>
      <c r="B40" s="78"/>
      <c r="C40" s="78"/>
      <c r="D40" s="1">
        <f>IF($C$16&lt;0,0,$C$16)</f>
        <v>0</v>
      </c>
      <c r="E40" s="113" t="s">
        <v>41</v>
      </c>
      <c r="F40" s="102" t="s">
        <v>8</v>
      </c>
      <c r="G40" s="103"/>
      <c r="H40" s="103">
        <f>'Rider Rates'!$B$59</f>
        <v>5.7019999999999998E-4</v>
      </c>
      <c r="I40" s="103"/>
      <c r="J40" s="103">
        <f>SUM(G40:I40)</f>
        <v>5.7019999999999998E-4</v>
      </c>
      <c r="K40" s="104" t="s">
        <v>42</v>
      </c>
      <c r="L40" s="105"/>
      <c r="M40" s="105">
        <f>ROUND(D40*H40,2)</f>
        <v>0</v>
      </c>
      <c r="N40" s="205"/>
      <c r="O40" s="105">
        <f t="shared" si="0"/>
        <v>0</v>
      </c>
      <c r="P40" s="245">
        <f>'Rider Rates'!$D$59</f>
        <v>45383</v>
      </c>
    </row>
    <row r="41" spans="1:221" x14ac:dyDescent="0.25">
      <c r="A41" s="210" t="s">
        <v>189</v>
      </c>
      <c r="B41" s="78"/>
      <c r="C41" s="78"/>
      <c r="D41" s="49">
        <f>D14</f>
        <v>0</v>
      </c>
      <c r="E41" s="35" t="s">
        <v>64</v>
      </c>
      <c r="F41" s="4" t="s">
        <v>8</v>
      </c>
      <c r="G41" s="103"/>
      <c r="H41" s="239">
        <f>'Rider Rates'!$B$64</f>
        <v>7.45</v>
      </c>
      <c r="I41" s="103"/>
      <c r="J41" s="239">
        <f>SUM(G41:I41)</f>
        <v>7.45</v>
      </c>
      <c r="K41" s="104" t="s">
        <v>44</v>
      </c>
      <c r="L41" s="105"/>
      <c r="M41" s="105">
        <f>ROUND(D41*H41,2)</f>
        <v>0</v>
      </c>
      <c r="N41" s="205"/>
      <c r="O41" s="105">
        <f t="shared" si="0"/>
        <v>0</v>
      </c>
      <c r="P41" s="245">
        <f>'Rider Rates'!$D$64</f>
        <v>45383</v>
      </c>
    </row>
    <row r="42" spans="1:221" x14ac:dyDescent="0.25">
      <c r="A42" s="99" t="s">
        <v>83</v>
      </c>
      <c r="B42" s="78"/>
      <c r="C42" s="78"/>
      <c r="D42" s="1">
        <f>IF('Customer Info'!C34=TRUE,0,IF($C$16&lt;0,0,$C$16))</f>
        <v>0</v>
      </c>
      <c r="E42" s="101" t="s">
        <v>41</v>
      </c>
      <c r="F42" s="102" t="s">
        <v>8</v>
      </c>
      <c r="G42" s="103"/>
      <c r="H42" s="103"/>
      <c r="I42" s="103">
        <f>'Rider Rates'!$B$71+'Rider Rates'!$C$71</f>
        <v>0</v>
      </c>
      <c r="J42" s="103">
        <f>SUM(G42:I42)</f>
        <v>0</v>
      </c>
      <c r="K42" s="104" t="s">
        <v>42</v>
      </c>
      <c r="L42" s="105"/>
      <c r="M42" s="105"/>
      <c r="N42" s="87">
        <f>ROUND($D$42*'Rider Rates'!$B$71,2)+ROUND($D$42*'Rider Rates'!$C$71,2)</f>
        <v>0</v>
      </c>
      <c r="O42" s="209">
        <f t="shared" ref="O42:O47" si="1">SUM(L42:N42)</f>
        <v>0</v>
      </c>
      <c r="P42" s="245">
        <f>'Rider Rates'!$D$71</f>
        <v>45444</v>
      </c>
      <c r="Q42" s="107"/>
      <c r="R42" s="108"/>
      <c r="S42" s="109"/>
      <c r="T42" s="78"/>
      <c r="U42" s="110"/>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row>
    <row r="43" spans="1:221" x14ac:dyDescent="0.25">
      <c r="A43" s="99" t="s">
        <v>83</v>
      </c>
      <c r="B43" s="78"/>
      <c r="C43" s="78"/>
      <c r="D43" s="49">
        <f>IF('Customer Info'!C34=TRUE,0,$D$27)</f>
        <v>0</v>
      </c>
      <c r="E43" s="101" t="s">
        <v>45</v>
      </c>
      <c r="F43" s="102" t="s">
        <v>8</v>
      </c>
      <c r="G43" s="103"/>
      <c r="H43" s="103"/>
      <c r="I43" s="239">
        <f>'Rider Rates'!$B$81</f>
        <v>0</v>
      </c>
      <c r="J43" s="239">
        <f>SUM(G43:I43)</f>
        <v>0</v>
      </c>
      <c r="K43" s="104" t="s">
        <v>42</v>
      </c>
      <c r="L43" s="105"/>
      <c r="M43" s="105"/>
      <c r="N43" s="87">
        <f>ROUND($D43*I43,2)</f>
        <v>0</v>
      </c>
      <c r="O43" s="209">
        <f>SUM(L43:N43)</f>
        <v>0</v>
      </c>
      <c r="P43" s="245">
        <v>44531</v>
      </c>
      <c r="Q43" s="107"/>
      <c r="R43" s="108"/>
      <c r="S43" s="109"/>
      <c r="T43" s="78"/>
      <c r="U43" s="110"/>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row>
    <row r="44" spans="1:221" x14ac:dyDescent="0.25">
      <c r="A44" s="99" t="s">
        <v>81</v>
      </c>
      <c r="B44" s="78"/>
      <c r="C44" s="78"/>
      <c r="D44" s="208">
        <f>$N$29</f>
        <v>825</v>
      </c>
      <c r="E44" s="101" t="s">
        <v>122</v>
      </c>
      <c r="F44" s="102" t="s">
        <v>8</v>
      </c>
      <c r="G44" s="111"/>
      <c r="H44" s="112"/>
      <c r="I44" s="120">
        <f>'Rider Rates'!$B$85</f>
        <v>4.94232E-2</v>
      </c>
      <c r="J44" s="120">
        <f>SUM(H44:I44)</f>
        <v>4.94232E-2</v>
      </c>
      <c r="K44" s="104"/>
      <c r="L44" s="105"/>
      <c r="M44" s="105"/>
      <c r="N44" s="105">
        <f>ROUND(N$29*I44,2)</f>
        <v>40.770000000000003</v>
      </c>
      <c r="O44" s="209">
        <f t="shared" si="1"/>
        <v>40.770000000000003</v>
      </c>
      <c r="P44" s="245">
        <f>'Rider Rates'!$D$85</f>
        <v>45562</v>
      </c>
      <c r="Q44" s="107"/>
      <c r="R44" s="108"/>
      <c r="S44" s="109"/>
      <c r="T44" s="78"/>
      <c r="U44" s="110"/>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row>
    <row r="45" spans="1:221" x14ac:dyDescent="0.25">
      <c r="A45" s="99" t="s">
        <v>82</v>
      </c>
      <c r="B45" s="78"/>
      <c r="C45" s="78"/>
      <c r="D45" s="208">
        <f>$N$29</f>
        <v>825</v>
      </c>
      <c r="E45" s="101" t="s">
        <v>122</v>
      </c>
      <c r="F45" s="102" t="s">
        <v>8</v>
      </c>
      <c r="G45" s="114"/>
      <c r="H45" s="115"/>
      <c r="I45" s="120">
        <f>'Rider Rates'!$B$87</f>
        <v>6.6985699999999995E-2</v>
      </c>
      <c r="J45" s="120">
        <f>SUM(H45:I45)</f>
        <v>6.6985699999999995E-2</v>
      </c>
      <c r="K45" s="104"/>
      <c r="L45" s="105"/>
      <c r="M45" s="105"/>
      <c r="N45" s="105">
        <f>ROUND(N$29*I45,2)</f>
        <v>55.26</v>
      </c>
      <c r="O45" s="209">
        <f t="shared" si="1"/>
        <v>55.26</v>
      </c>
      <c r="P45" s="245">
        <f>'Rider Rates'!$D$87</f>
        <v>45167</v>
      </c>
      <c r="Q45" s="107"/>
      <c r="R45" s="108"/>
      <c r="S45" s="109"/>
      <c r="T45" s="78"/>
      <c r="U45" s="110"/>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row>
    <row r="46" spans="1:221" x14ac:dyDescent="0.25">
      <c r="A46" s="210" t="s">
        <v>206</v>
      </c>
      <c r="B46" s="78"/>
      <c r="C46" s="78"/>
      <c r="D46" s="195"/>
      <c r="E46" s="113" t="s">
        <v>115</v>
      </c>
      <c r="F46" s="106"/>
      <c r="G46" s="114"/>
      <c r="H46" s="115"/>
      <c r="I46" s="196">
        <f>'Rider Rates'!$B$91</f>
        <v>17.53</v>
      </c>
      <c r="J46" s="196">
        <f>SUM(G46:I46)</f>
        <v>17.53</v>
      </c>
      <c r="K46" s="104"/>
      <c r="L46" s="105"/>
      <c r="M46" s="105"/>
      <c r="N46" s="105">
        <f>I46</f>
        <v>17.53</v>
      </c>
      <c r="O46" s="105">
        <f>SUM(L46:N46)</f>
        <v>17.53</v>
      </c>
      <c r="P46" s="245">
        <f>'Rider Rates'!$D$91</f>
        <v>45657</v>
      </c>
    </row>
    <row r="47" spans="1:221" x14ac:dyDescent="0.25">
      <c r="A47" s="99" t="s">
        <v>156</v>
      </c>
      <c r="B47" s="78"/>
      <c r="C47" s="78"/>
      <c r="D47" s="208">
        <f>$N$29</f>
        <v>825</v>
      </c>
      <c r="E47" s="101" t="s">
        <v>122</v>
      </c>
      <c r="F47" s="102" t="s">
        <v>8</v>
      </c>
      <c r="G47" s="114"/>
      <c r="H47" s="115"/>
      <c r="I47" s="120">
        <f>'Rider Rates'!$B$105</f>
        <v>0.2363101</v>
      </c>
      <c r="J47" s="120">
        <f>SUM(H47:I47)</f>
        <v>0.2363101</v>
      </c>
      <c r="K47" s="104"/>
      <c r="L47" s="105"/>
      <c r="M47" s="105"/>
      <c r="N47" s="105">
        <f>ROUND(N$29*I47,2)</f>
        <v>194.96</v>
      </c>
      <c r="O47" s="105">
        <f t="shared" si="1"/>
        <v>194.96</v>
      </c>
      <c r="P47" s="245">
        <f>'Rider Rates'!$D$105</f>
        <v>45622</v>
      </c>
      <c r="Q47" s="106"/>
      <c r="R47" s="107"/>
      <c r="S47" s="108"/>
      <c r="T47" s="109"/>
      <c r="U47" s="78"/>
      <c r="V47" s="110"/>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row>
    <row r="48" spans="1:221" x14ac:dyDescent="0.25">
      <c r="A48" s="210" t="s">
        <v>209</v>
      </c>
      <c r="B48" s="78"/>
      <c r="C48" s="78"/>
      <c r="D48" s="195"/>
      <c r="E48" s="113" t="s">
        <v>115</v>
      </c>
      <c r="F48" s="106"/>
      <c r="G48" s="114"/>
      <c r="H48" s="115"/>
      <c r="I48" s="196">
        <f>'Rider Rates'!$B$109</f>
        <v>0</v>
      </c>
      <c r="J48" s="196">
        <f t="shared" ref="J48:J54" si="2">SUM(G48:I48)</f>
        <v>0</v>
      </c>
      <c r="K48" s="104"/>
      <c r="L48" s="105"/>
      <c r="M48" s="105"/>
      <c r="N48" s="105">
        <f>I48</f>
        <v>0</v>
      </c>
      <c r="O48" s="105">
        <f t="shared" ref="O48:O52" si="3">SUM(L48:N48)</f>
        <v>0</v>
      </c>
      <c r="P48" s="245">
        <f>'Rider Rates'!$D$109</f>
        <v>44894</v>
      </c>
      <c r="Q48" s="106"/>
      <c r="R48" s="107"/>
      <c r="S48" s="108"/>
      <c r="T48" s="109"/>
      <c r="U48" s="78"/>
      <c r="V48" s="110"/>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row>
    <row r="49" spans="1:221" x14ac:dyDescent="0.25">
      <c r="A49" s="210" t="s">
        <v>217</v>
      </c>
      <c r="B49" s="78"/>
      <c r="C49" s="78"/>
      <c r="D49" s="195"/>
      <c r="E49" s="113" t="s">
        <v>115</v>
      </c>
      <c r="F49" s="106"/>
      <c r="G49" s="114"/>
      <c r="H49" s="115"/>
      <c r="I49" s="258">
        <f>'Rider Rates'!B122</f>
        <v>4.84</v>
      </c>
      <c r="J49" s="196">
        <f t="shared" si="2"/>
        <v>4.84</v>
      </c>
      <c r="K49" s="104"/>
      <c r="L49" s="105"/>
      <c r="M49" s="105"/>
      <c r="N49" s="260">
        <f>I49</f>
        <v>4.84</v>
      </c>
      <c r="O49" s="105">
        <f t="shared" si="3"/>
        <v>4.84</v>
      </c>
      <c r="P49" s="245">
        <f>'Rider Rates'!D122</f>
        <v>45593</v>
      </c>
      <c r="Q49" s="106"/>
      <c r="R49" s="107"/>
      <c r="S49" s="108"/>
      <c r="T49" s="109"/>
      <c r="U49" s="78"/>
      <c r="V49" s="110"/>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row>
    <row r="50" spans="1:221" x14ac:dyDescent="0.25">
      <c r="A50" s="210" t="s">
        <v>208</v>
      </c>
      <c r="B50" s="78"/>
      <c r="C50" s="78"/>
      <c r="D50" s="1">
        <f>IF($C$16&lt;1,0,$C$16)</f>
        <v>0</v>
      </c>
      <c r="E50" s="101" t="s">
        <v>41</v>
      </c>
      <c r="F50" s="249" t="s">
        <v>8</v>
      </c>
      <c r="G50" s="165"/>
      <c r="H50" s="165"/>
      <c r="I50" s="251">
        <f>'Rider Rates'!B118</f>
        <v>0</v>
      </c>
      <c r="J50" s="251">
        <f t="shared" si="2"/>
        <v>0</v>
      </c>
      <c r="K50" s="104" t="s">
        <v>42</v>
      </c>
      <c r="L50" s="105"/>
      <c r="M50" s="105"/>
      <c r="N50" s="105">
        <f>D50*I50</f>
        <v>0</v>
      </c>
      <c r="O50" s="105">
        <f t="shared" si="3"/>
        <v>0</v>
      </c>
      <c r="P50" s="245">
        <f>'Rider Rates'!D118</f>
        <v>45657</v>
      </c>
      <c r="Q50" s="106"/>
      <c r="R50" s="107"/>
      <c r="S50" s="108"/>
      <c r="T50" s="109"/>
      <c r="U50" s="78"/>
      <c r="V50" s="110"/>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row>
    <row r="51" spans="1:221" x14ac:dyDescent="0.25">
      <c r="A51" s="78" t="s">
        <v>233</v>
      </c>
      <c r="B51" s="78"/>
      <c r="C51" s="78"/>
      <c r="D51" s="100">
        <f>IF(C16&lt;0,0,IF(C16&gt;833000,833000,C16))</f>
        <v>0</v>
      </c>
      <c r="E51" s="101" t="s">
        <v>41</v>
      </c>
      <c r="F51" s="102" t="s">
        <v>8</v>
      </c>
      <c r="G51" s="265"/>
      <c r="H51" s="265"/>
      <c r="I51" s="265">
        <f>'Rider Rates'!$B$126</f>
        <v>2.9050000000000001E-4</v>
      </c>
      <c r="J51" s="265">
        <f t="shared" si="2"/>
        <v>2.9050000000000001E-4</v>
      </c>
      <c r="K51" s="104" t="s">
        <v>42</v>
      </c>
      <c r="L51" s="266"/>
      <c r="M51" s="266"/>
      <c r="N51" s="266">
        <f>IF(D51*J51&gt;'Rider Rates'!$C$126,'Rider Rates'!$C$126,D51*J51)</f>
        <v>0</v>
      </c>
      <c r="O51" s="266">
        <f t="shared" si="3"/>
        <v>0</v>
      </c>
      <c r="P51" s="264">
        <f>'Rider Rates'!$E$126</f>
        <v>45658</v>
      </c>
      <c r="Q51" s="106"/>
      <c r="R51" s="107"/>
      <c r="S51" s="108"/>
      <c r="T51" s="109"/>
      <c r="U51" s="78"/>
      <c r="V51" s="110"/>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row>
    <row r="52" spans="1:221" x14ac:dyDescent="0.25">
      <c r="A52" s="78" t="s">
        <v>234</v>
      </c>
      <c r="B52" s="78"/>
      <c r="C52" s="78"/>
      <c r="D52" s="123">
        <f>IF(C16&gt;833000,C16-833000,0)</f>
        <v>0</v>
      </c>
      <c r="E52" s="101" t="s">
        <v>41</v>
      </c>
      <c r="F52" s="102" t="s">
        <v>8</v>
      </c>
      <c r="G52" s="265"/>
      <c r="H52" s="265"/>
      <c r="I52" s="265">
        <f>'Rider Rates'!$B$127</f>
        <v>0</v>
      </c>
      <c r="J52" s="265">
        <f t="shared" si="2"/>
        <v>0</v>
      </c>
      <c r="K52" s="104" t="s">
        <v>42</v>
      </c>
      <c r="L52" s="266"/>
      <c r="M52" s="266"/>
      <c r="N52" s="266">
        <f>D52*J52</f>
        <v>0</v>
      </c>
      <c r="O52" s="266">
        <f t="shared" si="3"/>
        <v>0</v>
      </c>
      <c r="P52" s="264">
        <f>'Rider Rates'!$E$127</f>
        <v>45658</v>
      </c>
      <c r="Q52" s="106"/>
      <c r="R52" s="107"/>
      <c r="S52" s="108"/>
      <c r="T52" s="109"/>
      <c r="U52" s="78"/>
      <c r="V52" s="110"/>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row>
    <row r="53" spans="1:221" x14ac:dyDescent="0.25">
      <c r="A53" s="241" t="s">
        <v>242</v>
      </c>
      <c r="B53" s="78"/>
      <c r="C53" s="78"/>
      <c r="D53" s="100">
        <f>D16</f>
        <v>0</v>
      </c>
      <c r="E53" s="101" t="s">
        <v>41</v>
      </c>
      <c r="F53" s="249" t="s">
        <v>8</v>
      </c>
      <c r="G53" s="103"/>
      <c r="H53" s="103"/>
      <c r="I53" s="103">
        <f>'Rider Rates'!$B$133</f>
        <v>0</v>
      </c>
      <c r="J53" s="237">
        <f t="shared" si="2"/>
        <v>0</v>
      </c>
      <c r="K53" s="104" t="s">
        <v>42</v>
      </c>
      <c r="L53" s="105"/>
      <c r="M53" s="105"/>
      <c r="N53" s="105">
        <f>D53*J53</f>
        <v>0</v>
      </c>
      <c r="O53" s="105">
        <f>SUM(L53:N53)</f>
        <v>0</v>
      </c>
      <c r="P53" s="245">
        <f>'Rider Rates'!$D$131</f>
        <v>44531</v>
      </c>
      <c r="Q53" s="106"/>
      <c r="R53" s="107"/>
      <c r="S53" s="108"/>
      <c r="T53" s="109"/>
      <c r="U53" s="78"/>
      <c r="V53" s="110"/>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row>
    <row r="54" spans="1:221" x14ac:dyDescent="0.25">
      <c r="A54" s="241" t="s">
        <v>241</v>
      </c>
      <c r="B54" s="78"/>
      <c r="C54" s="78"/>
      <c r="D54" s="100"/>
      <c r="E54" s="101" t="s">
        <v>115</v>
      </c>
      <c r="F54" s="102" t="s">
        <v>8</v>
      </c>
      <c r="G54" s="263"/>
      <c r="H54" s="263"/>
      <c r="I54" s="263">
        <f>'Rider Rates'!$B$138</f>
        <v>0</v>
      </c>
      <c r="J54" s="263">
        <f t="shared" si="2"/>
        <v>0</v>
      </c>
      <c r="K54" s="104"/>
      <c r="L54" s="209"/>
      <c r="M54" s="209"/>
      <c r="N54" s="209">
        <f>J54</f>
        <v>0</v>
      </c>
      <c r="O54" s="209">
        <f>SUM(L54:N54)</f>
        <v>0</v>
      </c>
      <c r="P54" s="264">
        <f>'Rider Rates'!$D$138</f>
        <v>44531</v>
      </c>
      <c r="Q54" s="106"/>
      <c r="R54" s="107"/>
      <c r="S54" s="108"/>
      <c r="T54" s="109"/>
      <c r="U54" s="78"/>
      <c r="V54" s="110"/>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row>
    <row r="55" spans="1:221" x14ac:dyDescent="0.25">
      <c r="A55" s="241" t="s">
        <v>243</v>
      </c>
      <c r="B55" s="78"/>
      <c r="C55" s="78"/>
      <c r="D55" s="100"/>
      <c r="E55" s="101"/>
      <c r="F55" s="102"/>
      <c r="G55" s="263"/>
      <c r="H55" s="263"/>
      <c r="I55" s="263"/>
      <c r="J55" s="263"/>
      <c r="K55" s="104"/>
      <c r="L55" s="209"/>
      <c r="M55" s="209"/>
      <c r="N55" s="209"/>
      <c r="O55" s="209"/>
      <c r="P55" s="264"/>
      <c r="Q55" s="106"/>
      <c r="R55" s="107"/>
      <c r="S55" s="108"/>
      <c r="T55" s="109"/>
      <c r="U55" s="78"/>
      <c r="V55" s="110"/>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row>
    <row r="56" spans="1:221" x14ac:dyDescent="0.25">
      <c r="A56" s="179" t="s">
        <v>71</v>
      </c>
      <c r="B56" s="148"/>
      <c r="C56" s="148"/>
      <c r="D56" s="180"/>
      <c r="E56" s="181"/>
      <c r="F56" s="182"/>
      <c r="G56" s="182"/>
      <c r="H56" s="182"/>
      <c r="I56" s="182"/>
      <c r="J56" s="182"/>
      <c r="K56" s="183"/>
      <c r="L56" s="169">
        <f>SUM(L33:L55)</f>
        <v>0</v>
      </c>
      <c r="M56" s="169">
        <f t="shared" ref="M56:O56" si="4">SUM(M33:M55)</f>
        <v>0</v>
      </c>
      <c r="N56" s="169">
        <f t="shared" si="4"/>
        <v>313.35999999999996</v>
      </c>
      <c r="O56" s="169">
        <f t="shared" si="4"/>
        <v>313.35999999999996</v>
      </c>
      <c r="P56" s="184"/>
    </row>
    <row r="57" spans="1:221" x14ac:dyDescent="0.25">
      <c r="A57" s="37"/>
      <c r="D57" s="1"/>
      <c r="E57" s="35"/>
      <c r="F57" s="4"/>
      <c r="G57" s="42"/>
      <c r="H57" s="42"/>
      <c r="I57" s="42"/>
      <c r="J57" s="42"/>
      <c r="K57" s="36"/>
      <c r="L57" s="36"/>
      <c r="M57" s="36"/>
      <c r="N57" s="36"/>
      <c r="O57" s="34"/>
      <c r="P57" s="36"/>
    </row>
    <row r="58" spans="1:221" x14ac:dyDescent="0.25">
      <c r="A58" s="81" t="s">
        <v>72</v>
      </c>
      <c r="B58" s="92"/>
      <c r="C58" s="92"/>
      <c r="D58" s="92"/>
      <c r="E58" s="92"/>
      <c r="F58" s="92"/>
      <c r="G58" s="92"/>
      <c r="H58" s="92"/>
      <c r="I58" s="92"/>
      <c r="J58" s="92"/>
      <c r="K58" s="92"/>
      <c r="L58" s="98">
        <f>L29+L56</f>
        <v>0</v>
      </c>
      <c r="M58" s="98">
        <f>M29+M56</f>
        <v>0</v>
      </c>
      <c r="N58" s="98">
        <f>N29+N56</f>
        <v>1138.3599999999999</v>
      </c>
      <c r="O58" s="98">
        <f>O29+O56</f>
        <v>1138.3599999999999</v>
      </c>
      <c r="P58" s="98"/>
    </row>
    <row r="59" spans="1:221" x14ac:dyDescent="0.25">
      <c r="A59" s="37"/>
      <c r="B59" s="37"/>
      <c r="C59" s="37"/>
      <c r="D59" s="37"/>
      <c r="E59" s="37"/>
      <c r="F59" s="37"/>
      <c r="G59" s="37"/>
      <c r="H59" s="37"/>
      <c r="I59" s="37"/>
      <c r="J59" s="37"/>
      <c r="K59" s="37"/>
      <c r="L59" s="37"/>
      <c r="M59" s="37"/>
      <c r="N59" s="37"/>
      <c r="O59" s="40"/>
      <c r="P59" s="40"/>
    </row>
    <row r="60" spans="1:221" x14ac:dyDescent="0.25">
      <c r="A60" s="37" t="s">
        <v>37</v>
      </c>
      <c r="B60" s="37"/>
      <c r="C60" s="37"/>
      <c r="D60" s="37"/>
      <c r="E60" s="37"/>
      <c r="F60" s="37"/>
      <c r="G60" s="37"/>
      <c r="H60" s="37"/>
      <c r="I60" s="37"/>
      <c r="J60" s="37"/>
      <c r="K60" s="37"/>
      <c r="L60" s="37"/>
      <c r="M60" s="37"/>
      <c r="N60" s="37"/>
      <c r="O60" s="45">
        <f>O25+O27+O56</f>
        <v>1138.3599999999999</v>
      </c>
      <c r="P60" s="245">
        <v>40967</v>
      </c>
    </row>
    <row r="61" spans="1:221" x14ac:dyDescent="0.25">
      <c r="A61" s="37"/>
      <c r="B61" s="37"/>
      <c r="C61" s="37"/>
      <c r="D61" s="37"/>
      <c r="E61" s="37"/>
      <c r="F61" s="37"/>
      <c r="G61" s="46"/>
      <c r="H61" s="46"/>
      <c r="I61" s="46"/>
      <c r="J61" s="46"/>
      <c r="K61" s="36"/>
      <c r="L61" s="36"/>
      <c r="M61" s="36"/>
      <c r="N61" s="36"/>
      <c r="O61" s="40"/>
    </row>
    <row r="62" spans="1:221" x14ac:dyDescent="0.25">
      <c r="A62" s="41" t="s">
        <v>117</v>
      </c>
      <c r="B62" s="37"/>
      <c r="C62" s="37"/>
      <c r="D62" s="37"/>
      <c r="E62" s="37"/>
      <c r="F62" s="37"/>
      <c r="G62" s="46"/>
      <c r="H62" s="46"/>
      <c r="I62" s="46"/>
      <c r="J62" s="46"/>
      <c r="K62" s="36"/>
      <c r="L62" s="36"/>
      <c r="M62" s="36"/>
      <c r="N62" s="36"/>
      <c r="O62" s="138">
        <f>MAX($O$58,$O$60)</f>
        <v>1138.3599999999999</v>
      </c>
    </row>
    <row r="63" spans="1:221" x14ac:dyDescent="0.25">
      <c r="A63" s="37"/>
      <c r="B63" s="37"/>
      <c r="C63" s="37"/>
      <c r="D63" s="37"/>
      <c r="E63" s="37"/>
      <c r="F63" s="37"/>
      <c r="G63" s="46"/>
      <c r="H63" s="46"/>
      <c r="I63" s="46"/>
      <c r="J63" s="46"/>
      <c r="K63" s="36"/>
      <c r="L63" s="36"/>
      <c r="M63" s="36"/>
      <c r="N63" s="36"/>
      <c r="O63" s="40"/>
    </row>
    <row r="64" spans="1:221" x14ac:dyDescent="0.25">
      <c r="A64" s="37"/>
      <c r="B64" s="37"/>
      <c r="C64" s="37"/>
      <c r="D64" s="37"/>
      <c r="E64" s="37"/>
      <c r="F64" s="37"/>
      <c r="G64" s="96" t="s">
        <v>86</v>
      </c>
      <c r="H64" s="46"/>
      <c r="I64" s="37"/>
      <c r="J64" s="46"/>
      <c r="K64" s="36"/>
      <c r="L64" s="191"/>
      <c r="M64" s="191"/>
      <c r="N64" s="191"/>
      <c r="O64" s="191">
        <f>ROUND(IF($C$16&lt;1,0,$O$62/($C$16*100)*10000),2)</f>
        <v>0</v>
      </c>
      <c r="P64" s="37" t="s">
        <v>87</v>
      </c>
    </row>
    <row r="65" spans="1:16" x14ac:dyDescent="0.25">
      <c r="A65" s="37"/>
      <c r="B65" s="37"/>
      <c r="C65" s="37"/>
      <c r="D65" s="37"/>
      <c r="E65" s="37"/>
      <c r="F65" s="37"/>
      <c r="G65" s="242" t="s">
        <v>190</v>
      </c>
      <c r="H65" s="136"/>
      <c r="I65" s="133"/>
      <c r="J65" s="136"/>
      <c r="K65" s="137"/>
      <c r="L65" s="78"/>
      <c r="M65" s="78"/>
      <c r="N65" s="78"/>
      <c r="O65" s="243">
        <f>ROUND(IF($C$16&lt;1,0,(L58)/($C$16*100)*10000),2)</f>
        <v>0</v>
      </c>
      <c r="P65" s="25" t="s">
        <v>87</v>
      </c>
    </row>
    <row r="66" spans="1:16" x14ac:dyDescent="0.25">
      <c r="A66" s="37"/>
      <c r="B66" s="37"/>
      <c r="C66" s="37"/>
      <c r="D66" s="37"/>
      <c r="E66" s="37"/>
      <c r="F66" s="37"/>
      <c r="G66" s="96"/>
      <c r="H66" s="46"/>
      <c r="I66" s="96"/>
      <c r="J66" s="46"/>
      <c r="K66" s="36"/>
      <c r="L66" s="36"/>
      <c r="M66" s="36"/>
      <c r="N66" s="36"/>
      <c r="O66" s="130"/>
      <c r="P66" s="37"/>
    </row>
    <row r="67" spans="1:16" ht="20.25" customHeight="1" x14ac:dyDescent="0.4">
      <c r="A67" s="3"/>
      <c r="B67" s="37"/>
      <c r="C67" s="37"/>
      <c r="D67" s="228" t="str">
        <f>IF('Customer Info'!$C$32=TRUE,"Notice: Billing Charge does not include Self Assessed KWH Tax"," ")</f>
        <v xml:space="preserve"> </v>
      </c>
      <c r="E67" s="3"/>
      <c r="F67" s="4"/>
      <c r="G67" s="121"/>
      <c r="H67" s="55"/>
      <c r="I67" s="34"/>
      <c r="J67" s="55"/>
      <c r="K67" s="37"/>
      <c r="L67" s="37"/>
      <c r="M67" s="37"/>
      <c r="N67" s="34"/>
    </row>
    <row r="68" spans="1:16" x14ac:dyDescent="0.25">
      <c r="A68" s="37"/>
      <c r="B68" s="37"/>
      <c r="C68" s="37"/>
      <c r="D68" s="54"/>
      <c r="E68" s="3"/>
      <c r="F68" s="4"/>
      <c r="G68" s="55"/>
      <c r="H68" s="55"/>
      <c r="I68" s="93"/>
      <c r="J68" s="55"/>
      <c r="K68" s="37"/>
      <c r="L68" s="37"/>
      <c r="M68" s="37"/>
      <c r="N68" s="37"/>
      <c r="O68" s="40"/>
    </row>
    <row r="69" spans="1:16" x14ac:dyDescent="0.25">
      <c r="A69" s="37"/>
      <c r="B69" s="37"/>
      <c r="C69" s="37"/>
      <c r="D69" s="54"/>
      <c r="E69" s="3"/>
      <c r="F69" s="4"/>
      <c r="G69" s="55"/>
      <c r="H69" s="55"/>
      <c r="I69" s="55"/>
      <c r="J69" s="55"/>
      <c r="K69" s="37"/>
      <c r="L69" s="37"/>
      <c r="M69" s="37"/>
      <c r="N69" s="37"/>
      <c r="O69" s="40"/>
    </row>
    <row r="70" spans="1:16" x14ac:dyDescent="0.25">
      <c r="A70" s="41"/>
      <c r="B70" s="37"/>
      <c r="C70" s="37"/>
      <c r="D70" s="37"/>
      <c r="E70" s="37"/>
      <c r="F70" s="37"/>
      <c r="G70" s="37"/>
      <c r="H70" s="37"/>
      <c r="J70" s="37"/>
      <c r="K70" s="37"/>
      <c r="L70" s="40"/>
      <c r="M70" s="40"/>
      <c r="N70" s="40"/>
      <c r="O70" s="138"/>
    </row>
    <row r="71" spans="1:16" x14ac:dyDescent="0.25">
      <c r="B71" s="37"/>
      <c r="C71" s="37"/>
      <c r="D71" s="37"/>
      <c r="E71" s="37"/>
      <c r="F71" s="37"/>
      <c r="G71" s="96"/>
      <c r="H71" s="37"/>
      <c r="I71" s="37"/>
      <c r="J71" s="37"/>
      <c r="K71" s="37"/>
      <c r="L71" s="60"/>
      <c r="M71" s="60"/>
      <c r="N71" s="60"/>
      <c r="O71" s="130"/>
      <c r="P71" s="37"/>
    </row>
    <row r="72" spans="1:16" x14ac:dyDescent="0.25">
      <c r="G72" s="133"/>
      <c r="H72" s="56"/>
      <c r="I72" s="133"/>
      <c r="J72" s="56"/>
      <c r="K72" s="56"/>
      <c r="L72" s="134"/>
      <c r="M72" s="134"/>
      <c r="N72" s="134"/>
      <c r="O72" s="135"/>
      <c r="P72" s="25"/>
    </row>
    <row r="74" spans="1:16" x14ac:dyDescent="0.25">
      <c r="A74" s="477"/>
    </row>
    <row r="75" spans="1:16" x14ac:dyDescent="0.25">
      <c r="A75" s="477"/>
    </row>
    <row r="76" spans="1:16" x14ac:dyDescent="0.25">
      <c r="A76" s="477"/>
    </row>
    <row r="77" spans="1:16" x14ac:dyDescent="0.25">
      <c r="A77" s="477"/>
    </row>
    <row r="78" spans="1:16" x14ac:dyDescent="0.25">
      <c r="A78" s="477"/>
    </row>
    <row r="79" spans="1:16" x14ac:dyDescent="0.25">
      <c r="A79" s="477"/>
    </row>
    <row r="80" spans="1:16" x14ac:dyDescent="0.25">
      <c r="A80" s="477"/>
    </row>
    <row r="81" spans="1:1" x14ac:dyDescent="0.25">
      <c r="A81" s="477"/>
    </row>
    <row r="82" spans="1:1" x14ac:dyDescent="0.25">
      <c r="A82" s="477"/>
    </row>
    <row r="83" spans="1:1" x14ac:dyDescent="0.25">
      <c r="A83" s="477"/>
    </row>
    <row r="84" spans="1:1" x14ac:dyDescent="0.25">
      <c r="A84" s="477"/>
    </row>
    <row r="85" spans="1:1" x14ac:dyDescent="0.25">
      <c r="A85" s="477"/>
    </row>
    <row r="86" spans="1:1" x14ac:dyDescent="0.25">
      <c r="A86" s="477"/>
    </row>
    <row r="87" spans="1:1" x14ac:dyDescent="0.25">
      <c r="A87" s="477"/>
    </row>
    <row r="88" spans="1:1" x14ac:dyDescent="0.25">
      <c r="A88" s="477"/>
    </row>
  </sheetData>
  <sheetProtection algorithmName="SHA-512" hashValue="W+gKKSe1ZcbpCinnoGvSTh8lzPiFcVkNnw/Xsm2VRTxXriTMO5ppri5TCJvDDRXu0PW5YQrm3FQRxuAbULxOIA==" saltValue="Py6I3Qy7Bka9/QhIYXQSj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0:H20"/>
    <mergeCell ref="D21:H21"/>
    <mergeCell ref="G23:J23"/>
    <mergeCell ref="L23:O23"/>
  </mergeCells>
  <printOptions horizontalCentered="1"/>
  <pageMargins left="0.5" right="0.5" top="0.25" bottom="0.25" header="0.25" footer="0.26"/>
  <pageSetup scale="59"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0]!Info">
                <anchor moveWithCells="1">
                  <from>
                    <xdr:col>0</xdr:col>
                    <xdr:colOff>38100</xdr:colOff>
                    <xdr:row>0</xdr:row>
                    <xdr:rowOff>45720</xdr:rowOff>
                  </from>
                  <to>
                    <xdr:col>0</xdr:col>
                    <xdr:colOff>563880</xdr:colOff>
                    <xdr:row>1</xdr:row>
                    <xdr:rowOff>38100</xdr:rowOff>
                  </to>
                </anchor>
              </controlPr>
            </control>
          </mc:Choice>
        </mc:AlternateContent>
        <mc:AlternateContent xmlns:mc="http://schemas.openxmlformats.org/markup-compatibility/2006">
          <mc:Choice Requires="x14">
            <control shapeId="83970" r:id="rId5" name="Button 2">
              <controlPr defaultSize="0" print="0" autoFill="0" autoPict="0" macro="[0]!Info">
                <anchor moveWithCells="1">
                  <from>
                    <xdr:col>15</xdr:col>
                    <xdr:colOff>411480</xdr:colOff>
                    <xdr:row>82</xdr:row>
                    <xdr:rowOff>76200</xdr:rowOff>
                  </from>
                  <to>
                    <xdr:col>16</xdr:col>
                    <xdr:colOff>38100</xdr:colOff>
                    <xdr:row>83</xdr:row>
                    <xdr:rowOff>144780</xdr:rowOff>
                  </to>
                </anchor>
              </controlPr>
            </control>
          </mc:Choice>
        </mc:AlternateContent>
        <mc:AlternateContent xmlns:mc="http://schemas.openxmlformats.org/markup-compatibility/2006">
          <mc:Choice Requires="x14">
            <control shapeId="83971" r:id="rId6" name="Button 3">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3972" r:id="rId7" name="Button 4">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3973" r:id="rId8" name="Button 5">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3974" r:id="rId9" name="Button 6">
              <controlPr defaultSize="0" print="0" autoFill="0" autoPict="0" macro="[0]!Info">
                <anchor moveWithCells="1">
                  <from>
                    <xdr:col>0</xdr:col>
                    <xdr:colOff>68580</xdr:colOff>
                    <xdr:row>0</xdr:row>
                    <xdr:rowOff>76200</xdr:rowOff>
                  </from>
                  <to>
                    <xdr:col>0</xdr:col>
                    <xdr:colOff>579120</xdr:colOff>
                    <xdr:row>1</xdr:row>
                    <xdr:rowOff>68580</xdr:rowOff>
                  </to>
                </anchor>
              </controlPr>
            </control>
          </mc:Choice>
        </mc:AlternateContent>
        <mc:AlternateContent xmlns:mc="http://schemas.openxmlformats.org/markup-compatibility/2006">
          <mc:Choice Requires="x14">
            <control shapeId="83975" r:id="rId10" name="Button 7">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83976" r:id="rId11" name="Button 8">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83977" r:id="rId12" name="Button 9">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83978" r:id="rId13" name="Button 10">
              <controlPr defaultSize="0" print="0" autoFill="0" autoPict="0" macro="[0]!Info">
                <anchor moveWithCells="1">
                  <from>
                    <xdr:col>47</xdr:col>
                    <xdr:colOff>525780</xdr:colOff>
                    <xdr:row>0</xdr:row>
                    <xdr:rowOff>76200</xdr:rowOff>
                  </from>
                  <to>
                    <xdr:col>48</xdr:col>
                    <xdr:colOff>426720</xdr:colOff>
                    <xdr:row>1</xdr:row>
                    <xdr:rowOff>68580</xdr:rowOff>
                  </to>
                </anchor>
              </controlPr>
            </control>
          </mc:Choice>
        </mc:AlternateContent>
        <mc:AlternateContent xmlns:mc="http://schemas.openxmlformats.org/markup-compatibility/2006">
          <mc:Choice Requires="x14">
            <control shapeId="83979" r:id="rId14" name="Button 11">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83980" r:id="rId15" name="Button 12">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83981" r:id="rId16" name="Button 13">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83982" r:id="rId17" name="Button 14">
              <controlPr defaultSize="0" print="0" autoFill="0" autoPict="0" macro="[0]!Info">
                <anchor moveWithCells="1">
                  <from>
                    <xdr:col>63</xdr:col>
                    <xdr:colOff>373380</xdr:colOff>
                    <xdr:row>0</xdr:row>
                    <xdr:rowOff>76200</xdr:rowOff>
                  </from>
                  <to>
                    <xdr:col>64</xdr:col>
                    <xdr:colOff>274320</xdr:colOff>
                    <xdr:row>1</xdr:row>
                    <xdr:rowOff>68580</xdr:rowOff>
                  </to>
                </anchor>
              </controlPr>
            </control>
          </mc:Choice>
        </mc:AlternateContent>
        <mc:AlternateContent xmlns:mc="http://schemas.openxmlformats.org/markup-compatibility/2006">
          <mc:Choice Requires="x14">
            <control shapeId="83983" r:id="rId18" name="Button 15">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83984" r:id="rId19" name="Button 16">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83985" r:id="rId20" name="Button 17">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83986" r:id="rId21" name="Button 18">
              <controlPr defaultSize="0" print="0" autoFill="0" autoPict="0" macro="[0]!Info">
                <anchor moveWithCells="1">
                  <from>
                    <xdr:col>79</xdr:col>
                    <xdr:colOff>220980</xdr:colOff>
                    <xdr:row>0</xdr:row>
                    <xdr:rowOff>76200</xdr:rowOff>
                  </from>
                  <to>
                    <xdr:col>80</xdr:col>
                    <xdr:colOff>121920</xdr:colOff>
                    <xdr:row>1</xdr:row>
                    <xdr:rowOff>68580</xdr:rowOff>
                  </to>
                </anchor>
              </controlPr>
            </control>
          </mc:Choice>
        </mc:AlternateContent>
        <mc:AlternateContent xmlns:mc="http://schemas.openxmlformats.org/markup-compatibility/2006">
          <mc:Choice Requires="x14">
            <control shapeId="83987" r:id="rId22" name="Button 19">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83988" r:id="rId23" name="Button 20">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83989" r:id="rId24" name="Button 21">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83990" r:id="rId25" name="Button 22">
              <controlPr defaultSize="0" print="0" autoFill="0" autoPict="0" macro="[0]!Info">
                <anchor moveWithCells="1">
                  <from>
                    <xdr:col>95</xdr:col>
                    <xdr:colOff>68580</xdr:colOff>
                    <xdr:row>0</xdr:row>
                    <xdr:rowOff>76200</xdr:rowOff>
                  </from>
                  <to>
                    <xdr:col>95</xdr:col>
                    <xdr:colOff>579120</xdr:colOff>
                    <xdr:row>1</xdr:row>
                    <xdr:rowOff>68580</xdr:rowOff>
                  </to>
                </anchor>
              </controlPr>
            </control>
          </mc:Choice>
        </mc:AlternateContent>
        <mc:AlternateContent xmlns:mc="http://schemas.openxmlformats.org/markup-compatibility/2006">
          <mc:Choice Requires="x14">
            <control shapeId="83991" r:id="rId26" name="Button 23">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83992" r:id="rId27" name="Button 24">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83993" r:id="rId28" name="Button 25">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83994" r:id="rId29" name="Button 26">
              <controlPr defaultSize="0" print="0" autoFill="0" autoPict="0" macro="[0]!Info">
                <anchor moveWithCells="1">
                  <from>
                    <xdr:col>110</xdr:col>
                    <xdr:colOff>525780</xdr:colOff>
                    <xdr:row>0</xdr:row>
                    <xdr:rowOff>76200</xdr:rowOff>
                  </from>
                  <to>
                    <xdr:col>111</xdr:col>
                    <xdr:colOff>426720</xdr:colOff>
                    <xdr:row>1</xdr:row>
                    <xdr:rowOff>68580</xdr:rowOff>
                  </to>
                </anchor>
              </controlPr>
            </control>
          </mc:Choice>
        </mc:AlternateContent>
        <mc:AlternateContent xmlns:mc="http://schemas.openxmlformats.org/markup-compatibility/2006">
          <mc:Choice Requires="x14">
            <control shapeId="83995" r:id="rId30" name="Button 27">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83996" r:id="rId31" name="Button 28">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83997" r:id="rId32" name="Button 29">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83998" r:id="rId33" name="Button 30">
              <controlPr defaultSize="0" print="0" autoFill="0" autoPict="0" macro="[0]!Info">
                <anchor moveWithCells="1">
                  <from>
                    <xdr:col>126</xdr:col>
                    <xdr:colOff>381000</xdr:colOff>
                    <xdr:row>0</xdr:row>
                    <xdr:rowOff>76200</xdr:rowOff>
                  </from>
                  <to>
                    <xdr:col>127</xdr:col>
                    <xdr:colOff>274320</xdr:colOff>
                    <xdr:row>1</xdr:row>
                    <xdr:rowOff>68580</xdr:rowOff>
                  </to>
                </anchor>
              </controlPr>
            </control>
          </mc:Choice>
        </mc:AlternateContent>
        <mc:AlternateContent xmlns:mc="http://schemas.openxmlformats.org/markup-compatibility/2006">
          <mc:Choice Requires="x14">
            <control shapeId="83999" r:id="rId34" name="Button 31">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84000" r:id="rId35" name="Button 32">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84001" r:id="rId36" name="Button 33">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84002" r:id="rId37" name="Button 34">
              <controlPr defaultSize="0" print="0" autoFill="0" autoPict="0" macro="[0]!Info">
                <anchor moveWithCells="1">
                  <from>
                    <xdr:col>142</xdr:col>
                    <xdr:colOff>228600</xdr:colOff>
                    <xdr:row>0</xdr:row>
                    <xdr:rowOff>76200</xdr:rowOff>
                  </from>
                  <to>
                    <xdr:col>143</xdr:col>
                    <xdr:colOff>121920</xdr:colOff>
                    <xdr:row>1</xdr:row>
                    <xdr:rowOff>68580</xdr:rowOff>
                  </to>
                </anchor>
              </controlPr>
            </control>
          </mc:Choice>
        </mc:AlternateContent>
        <mc:AlternateContent xmlns:mc="http://schemas.openxmlformats.org/markup-compatibility/2006">
          <mc:Choice Requires="x14">
            <control shapeId="84003" r:id="rId38" name="Button 35">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84004" r:id="rId39" name="Button 36">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84005" r:id="rId40" name="Button 37">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84006" r:id="rId41" name="Button 38">
              <controlPr defaultSize="0" print="0" autoFill="0" autoPict="0" macro="[0]!Info">
                <anchor moveWithCells="1">
                  <from>
                    <xdr:col>158</xdr:col>
                    <xdr:colOff>76200</xdr:colOff>
                    <xdr:row>0</xdr:row>
                    <xdr:rowOff>76200</xdr:rowOff>
                  </from>
                  <to>
                    <xdr:col>158</xdr:col>
                    <xdr:colOff>579120</xdr:colOff>
                    <xdr:row>1</xdr:row>
                    <xdr:rowOff>68580</xdr:rowOff>
                  </to>
                </anchor>
              </controlPr>
            </control>
          </mc:Choice>
        </mc:AlternateContent>
        <mc:AlternateContent xmlns:mc="http://schemas.openxmlformats.org/markup-compatibility/2006">
          <mc:Choice Requires="x14">
            <control shapeId="84007" r:id="rId42" name="Button 39">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84008" r:id="rId43" name="Button 40">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84009" r:id="rId44" name="Button 41">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84010" r:id="rId45" name="Button 42">
              <controlPr defaultSize="0" print="0" autoFill="0" autoPict="0" macro="[0]!Info">
                <anchor moveWithCells="1">
                  <from>
                    <xdr:col>173</xdr:col>
                    <xdr:colOff>541020</xdr:colOff>
                    <xdr:row>0</xdr:row>
                    <xdr:rowOff>76200</xdr:rowOff>
                  </from>
                  <to>
                    <xdr:col>174</xdr:col>
                    <xdr:colOff>426720</xdr:colOff>
                    <xdr:row>1</xdr:row>
                    <xdr:rowOff>68580</xdr:rowOff>
                  </to>
                </anchor>
              </controlPr>
            </control>
          </mc:Choice>
        </mc:AlternateContent>
        <mc:AlternateContent xmlns:mc="http://schemas.openxmlformats.org/markup-compatibility/2006">
          <mc:Choice Requires="x14">
            <control shapeId="84011" r:id="rId46" name="Button 43">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84012" r:id="rId47" name="Button 44">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84013" r:id="rId48" name="Button 45">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84014" r:id="rId49" name="Button 46">
              <controlPr defaultSize="0" print="0" autoFill="0" autoPict="0" macro="[0]!Info">
                <anchor moveWithCells="1">
                  <from>
                    <xdr:col>189</xdr:col>
                    <xdr:colOff>388620</xdr:colOff>
                    <xdr:row>0</xdr:row>
                    <xdr:rowOff>76200</xdr:rowOff>
                  </from>
                  <to>
                    <xdr:col>190</xdr:col>
                    <xdr:colOff>274320</xdr:colOff>
                    <xdr:row>1</xdr:row>
                    <xdr:rowOff>68580</xdr:rowOff>
                  </to>
                </anchor>
              </controlPr>
            </control>
          </mc:Choice>
        </mc:AlternateContent>
        <mc:AlternateContent xmlns:mc="http://schemas.openxmlformats.org/markup-compatibility/2006">
          <mc:Choice Requires="x14">
            <control shapeId="84015" r:id="rId50" name="Button 47">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84016" r:id="rId51" name="Button 48">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84017" r:id="rId52" name="Button 49">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84018" r:id="rId53" name="Button 50">
              <controlPr defaultSize="0" print="0" autoFill="0" autoPict="0" macro="[0]!Info">
                <anchor moveWithCells="1">
                  <from>
                    <xdr:col>205</xdr:col>
                    <xdr:colOff>236220</xdr:colOff>
                    <xdr:row>0</xdr:row>
                    <xdr:rowOff>76200</xdr:rowOff>
                  </from>
                  <to>
                    <xdr:col>206</xdr:col>
                    <xdr:colOff>144780</xdr:colOff>
                    <xdr:row>1</xdr:row>
                    <xdr:rowOff>68580</xdr:rowOff>
                  </to>
                </anchor>
              </controlPr>
            </control>
          </mc:Choice>
        </mc:AlternateContent>
        <mc:AlternateContent xmlns:mc="http://schemas.openxmlformats.org/markup-compatibility/2006">
          <mc:Choice Requires="x14">
            <control shapeId="84019" r:id="rId54" name="Button 51">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84020" r:id="rId55" name="Button 52">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84021" r:id="rId56" name="Button 53">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84022" r:id="rId57" name="Button 54">
              <controlPr defaultSize="0" print="0" autoFill="0" autoPict="0" macro="[0]!Info">
                <anchor moveWithCells="1">
                  <from>
                    <xdr:col>221</xdr:col>
                    <xdr:colOff>83820</xdr:colOff>
                    <xdr:row>0</xdr:row>
                    <xdr:rowOff>76200</xdr:rowOff>
                  </from>
                  <to>
                    <xdr:col>221</xdr:col>
                    <xdr:colOff>601980</xdr:colOff>
                    <xdr:row>1</xdr:row>
                    <xdr:rowOff>68580</xdr:rowOff>
                  </to>
                </anchor>
              </controlPr>
            </control>
          </mc:Choice>
        </mc:AlternateContent>
        <mc:AlternateContent xmlns:mc="http://schemas.openxmlformats.org/markup-compatibility/2006">
          <mc:Choice Requires="x14">
            <control shapeId="84023" r:id="rId58" name="Button 55">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84024" r:id="rId59" name="Button 56">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84025" r:id="rId60" name="Button 57">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mc:AlternateContent xmlns:mc="http://schemas.openxmlformats.org/markup-compatibility/2006">
          <mc:Choice Requires="x14">
            <control shapeId="84026" r:id="rId61" name="Button 58">
              <controlPr defaultSize="0" print="0" autoFill="0" autoPict="0" macro="[0]!Info">
                <anchor moveWithCells="1">
                  <from>
                    <xdr:col>236</xdr:col>
                    <xdr:colOff>541020</xdr:colOff>
                    <xdr:row>0</xdr:row>
                    <xdr:rowOff>76200</xdr:rowOff>
                  </from>
                  <to>
                    <xdr:col>237</xdr:col>
                    <xdr:colOff>449580</xdr:colOff>
                    <xdr:row>1</xdr:row>
                    <xdr:rowOff>68580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5867-A5DB-434F-87B3-118659EB9F81}">
  <dimension ref="A1:IB66"/>
  <sheetViews>
    <sheetView topLeftCell="A13" zoomScale="85" zoomScaleNormal="85" workbookViewId="0">
      <selection activeCell="AH56" sqref="AH56"/>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325</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326</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ht="14.4" customHeight="1"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446" t="s">
        <v>65</v>
      </c>
      <c r="M20" s="446" t="s">
        <v>66</v>
      </c>
      <c r="N20" s="446" t="s">
        <v>67</v>
      </c>
      <c r="O20" s="446" t="s">
        <v>34</v>
      </c>
      <c r="P20" s="358" t="s">
        <v>57</v>
      </c>
    </row>
    <row r="21" spans="1:221" x14ac:dyDescent="0.25">
      <c r="A21" s="332" t="s">
        <v>32</v>
      </c>
      <c r="G21" s="432"/>
      <c r="H21" s="432"/>
      <c r="I21" s="432">
        <f>'Rider Rates'!B144</f>
        <v>9.4</v>
      </c>
      <c r="J21" s="432">
        <f>SUM(G21:I21)</f>
        <v>9.4</v>
      </c>
      <c r="L21" s="433"/>
      <c r="M21" s="433"/>
      <c r="N21" s="433">
        <f>I21</f>
        <v>9.4</v>
      </c>
      <c r="O21" s="408">
        <f>SUM(L21:N21)</f>
        <v>9.4</v>
      </c>
      <c r="P21" s="361">
        <v>44531</v>
      </c>
    </row>
    <row r="22" spans="1:221" x14ac:dyDescent="0.25">
      <c r="A22" s="434" t="s">
        <v>132</v>
      </c>
      <c r="D22" s="363">
        <f>C15</f>
        <v>0</v>
      </c>
      <c r="E22" s="364" t="s">
        <v>41</v>
      </c>
      <c r="F22" s="365" t="s">
        <v>8</v>
      </c>
      <c r="G22" s="407"/>
      <c r="H22" s="407"/>
      <c r="I22" s="407">
        <f>'Rider Rates'!C144</f>
        <v>2.0634799999999998E-2</v>
      </c>
      <c r="J22" s="407">
        <f>SUM(G22:I22)</f>
        <v>2.0634799999999998E-2</v>
      </c>
      <c r="K22" s="367" t="s">
        <v>42</v>
      </c>
      <c r="L22" s="408"/>
      <c r="M22" s="408"/>
      <c r="N22" s="408">
        <f>IF(C15&lt;0,0,ROUND($D22*I22,2))</f>
        <v>0</v>
      </c>
      <c r="O22" s="408">
        <f>SUM(L22:N22)</f>
        <v>0</v>
      </c>
      <c r="P22" s="361">
        <f>'Rider Rates'!H145</f>
        <v>45444</v>
      </c>
    </row>
    <row r="23" spans="1:221" x14ac:dyDescent="0.25">
      <c r="A23" s="370" t="s">
        <v>50</v>
      </c>
      <c r="B23" s="370"/>
      <c r="C23" s="370"/>
      <c r="D23" s="371"/>
      <c r="E23" s="371"/>
      <c r="F23" s="370"/>
      <c r="G23" s="370"/>
      <c r="H23" s="370"/>
      <c r="I23" s="370"/>
      <c r="J23" s="370"/>
      <c r="K23" s="373"/>
      <c r="L23" s="372"/>
      <c r="M23" s="372"/>
      <c r="N23" s="372">
        <f>SUM(N21:N22)</f>
        <v>9.4</v>
      </c>
      <c r="O23" s="372">
        <f>SUM(O21:O22)</f>
        <v>9.4</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9.4</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100">
        <f>'Customer Info'!$B$21+'Customer Info'!$B$22-'Customer Info'!$B$23</f>
        <v>0</v>
      </c>
      <c r="E34" s="364" t="s">
        <v>41</v>
      </c>
      <c r="F34" s="365" t="s">
        <v>8</v>
      </c>
      <c r="G34" s="389"/>
      <c r="H34" s="389"/>
      <c r="I34" s="389"/>
      <c r="J34" s="396">
        <f>SUM(G34:H34)</f>
        <v>0</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C16</f>
        <v>0</v>
      </c>
      <c r="E35" s="364" t="s">
        <v>41</v>
      </c>
      <c r="F35" s="365" t="s">
        <v>8</v>
      </c>
      <c r="G35" s="389"/>
      <c r="H35" s="389"/>
      <c r="I35" s="389"/>
      <c r="J35" s="396">
        <f>SUM(G35:H35)</f>
        <v>0</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C17</f>
        <v>0</v>
      </c>
      <c r="E36" s="364" t="s">
        <v>41</v>
      </c>
      <c r="F36" s="358" t="s">
        <v>8</v>
      </c>
      <c r="G36" s="389"/>
      <c r="H36" s="389"/>
      <c r="I36" s="389"/>
      <c r="J36" s="396">
        <f>SUM(G36:H36)</f>
        <v>0</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c r="H37" s="389"/>
      <c r="I37" s="389"/>
      <c r="J37" s="396">
        <f>SUM(G37:H37)</f>
        <v>0</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439">
        <f>$N$23</f>
        <v>9.4</v>
      </c>
      <c r="E42" s="364" t="s">
        <v>122</v>
      </c>
      <c r="F42" s="365" t="s">
        <v>8</v>
      </c>
      <c r="G42" s="400"/>
      <c r="H42" s="356"/>
      <c r="I42" s="401">
        <f>'Rider Rates'!$B$85</f>
        <v>4.94232E-2</v>
      </c>
      <c r="J42" s="401">
        <f t="shared" si="0"/>
        <v>4.94232E-2</v>
      </c>
      <c r="K42" s="367"/>
      <c r="L42" s="250"/>
      <c r="M42" s="250"/>
      <c r="N42" s="250">
        <f>ROUND(D42*I42,2)</f>
        <v>0.46</v>
      </c>
      <c r="O42" s="250">
        <f t="shared" si="2"/>
        <v>0.46</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9.4</v>
      </c>
      <c r="E43" s="364" t="s">
        <v>122</v>
      </c>
      <c r="F43" s="365" t="s">
        <v>8</v>
      </c>
      <c r="G43" s="402"/>
      <c r="H43" s="356"/>
      <c r="I43" s="401">
        <f>'Rider Rates'!$B$87</f>
        <v>6.6985699999999995E-2</v>
      </c>
      <c r="J43" s="401">
        <f t="shared" si="0"/>
        <v>6.6985699999999995E-2</v>
      </c>
      <c r="K43" s="367"/>
      <c r="L43" s="250"/>
      <c r="M43" s="250"/>
      <c r="N43" s="250">
        <f>ROUND(D43*I43,2)</f>
        <v>0.63</v>
      </c>
      <c r="O43" s="250">
        <f t="shared" si="2"/>
        <v>0.63</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9.4</v>
      </c>
      <c r="E46" s="364" t="s">
        <v>122</v>
      </c>
      <c r="F46" s="365" t="s">
        <v>8</v>
      </c>
      <c r="G46" s="402"/>
      <c r="H46" s="356"/>
      <c r="I46" s="401">
        <f>'Rider Rates'!$B$105</f>
        <v>0.2363101</v>
      </c>
      <c r="J46" s="401">
        <f t="shared" si="0"/>
        <v>0.2363101</v>
      </c>
      <c r="K46" s="367"/>
      <c r="L46" s="250"/>
      <c r="M46" s="250"/>
      <c r="N46" s="250">
        <f>ROUND(D46*I46,2)</f>
        <v>2.2200000000000002</v>
      </c>
      <c r="O46" s="250">
        <f t="shared" si="2"/>
        <v>2.2200000000000002</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c r="H49" s="389"/>
      <c r="I49" s="401"/>
      <c r="J49" s="396">
        <f>SUM(G49:H49)</f>
        <v>0</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3">SUM(M27:M55)</f>
        <v>0</v>
      </c>
      <c r="N56" s="415">
        <f t="shared" si="3"/>
        <v>25.68</v>
      </c>
      <c r="O56" s="415">
        <f t="shared" si="3"/>
        <v>25.68</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7" t="s">
        <v>94</v>
      </c>
      <c r="B58" s="380"/>
      <c r="C58" s="380"/>
      <c r="D58" s="380"/>
      <c r="E58" s="380"/>
      <c r="F58" s="380"/>
      <c r="G58" s="380"/>
      <c r="H58" s="380"/>
      <c r="I58" s="380"/>
      <c r="J58" s="380"/>
      <c r="K58" s="380"/>
      <c r="L58" s="419">
        <f>L23+L56</f>
        <v>0</v>
      </c>
      <c r="M58" s="419">
        <f>M23+M56</f>
        <v>0</v>
      </c>
      <c r="N58" s="419">
        <f>N23+N56</f>
        <v>35.08</v>
      </c>
      <c r="O58" s="420">
        <f>O23+O56</f>
        <v>35.08</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35.08</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35.08</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EqSOLjDEEzzkv9w48qd1rbIdODCTH2pLMiOQuDwl++5E3HoSrwp7ceYby9a3d0KdIq79zE/88EMDZFS7hUkyjQ==" saltValue="pB+XO50JtSsIv0oUnjVfC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5889" r:id="rId3" name="Button 1">
              <controlPr defaultSize="0" print="0" autoFill="0" autoPict="0" macro="[0]!Info">
                <anchor moveWithCells="1">
                  <from>
                    <xdr:col>0</xdr:col>
                    <xdr:colOff>68580</xdr:colOff>
                    <xdr:row>0</xdr:row>
                    <xdr:rowOff>38100</xdr:rowOff>
                  </from>
                  <to>
                    <xdr:col>0</xdr:col>
                    <xdr:colOff>571500</xdr:colOff>
                    <xdr:row>1</xdr:row>
                    <xdr:rowOff>83820</xdr:rowOff>
                  </to>
                </anchor>
              </controlPr>
            </control>
          </mc:Choice>
        </mc:AlternateContent>
        <mc:AlternateContent xmlns:mc="http://schemas.openxmlformats.org/markup-compatibility/2006">
          <mc:Choice Requires="x14">
            <control shapeId="165890"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65891" r:id="rId5" name="Button 3">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65892" r:id="rId6" name="Button 4">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65893" r:id="rId7" name="Button 5">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mc:AlternateContent xmlns:mc="http://schemas.openxmlformats.org/markup-compatibility/2006">
          <mc:Choice Requires="x14">
            <control shapeId="165894" r:id="rId8" name="Button 6">
              <controlPr defaultSize="0" print="0" autoFill="0" autoPict="0" macro="[0]!Info">
                <anchor moveWithCells="1">
                  <from>
                    <xdr:col>0</xdr:col>
                    <xdr:colOff>68580</xdr:colOff>
                    <xdr:row>0</xdr:row>
                    <xdr:rowOff>76200</xdr:rowOff>
                  </from>
                  <to>
                    <xdr:col>0</xdr:col>
                    <xdr:colOff>579120</xdr:colOff>
                    <xdr:row>1</xdr:row>
                    <xdr:rowOff>152400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BC7-6B63-4A61-9CAA-EC0A0EC0320E}">
  <dimension ref="A1:IB66"/>
  <sheetViews>
    <sheetView topLeftCell="A12" zoomScale="85" zoomScaleNormal="85" workbookViewId="0">
      <selection activeCell="G33" sqref="G33:G54"/>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329</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327</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446" t="s">
        <v>65</v>
      </c>
      <c r="M20" s="446" t="s">
        <v>66</v>
      </c>
      <c r="N20" s="446" t="s">
        <v>67</v>
      </c>
      <c r="O20" s="446" t="s">
        <v>34</v>
      </c>
      <c r="P20" s="358" t="s">
        <v>57</v>
      </c>
    </row>
    <row r="21" spans="1:221" x14ac:dyDescent="0.25">
      <c r="A21" s="332" t="s">
        <v>32</v>
      </c>
      <c r="G21" s="432"/>
      <c r="H21" s="432"/>
      <c r="I21" s="432">
        <f>'Rider Rates'!B145</f>
        <v>138.5</v>
      </c>
      <c r="J21" s="432">
        <f>SUM(G21:I21)</f>
        <v>138.5</v>
      </c>
      <c r="L21" s="433"/>
      <c r="M21" s="433"/>
      <c r="N21" s="433">
        <f>I21</f>
        <v>138.5</v>
      </c>
      <c r="O21" s="408">
        <f>SUM(L21:N21)</f>
        <v>138.5</v>
      </c>
      <c r="P21" s="361">
        <v>44531</v>
      </c>
    </row>
    <row r="22" spans="1:221" x14ac:dyDescent="0.25">
      <c r="A22" s="434" t="s">
        <v>132</v>
      </c>
      <c r="D22" s="363">
        <f>C15</f>
        <v>0</v>
      </c>
      <c r="E22" s="364" t="s">
        <v>41</v>
      </c>
      <c r="F22" s="365" t="s">
        <v>8</v>
      </c>
      <c r="G22" s="407"/>
      <c r="H22" s="407"/>
      <c r="I22" s="445">
        <f>'Rider Rates'!C145</f>
        <v>1.3832199999999999E-2</v>
      </c>
      <c r="J22" s="407">
        <f>SUM(G22:I22)</f>
        <v>1.3832199999999999E-2</v>
      </c>
      <c r="K22" s="367" t="s">
        <v>42</v>
      </c>
      <c r="L22" s="408"/>
      <c r="M22" s="408"/>
      <c r="N22" s="408">
        <f>IF(C15&lt;0,0,ROUND($D22*I22,2))</f>
        <v>0</v>
      </c>
      <c r="O22" s="408">
        <f>SUM(L22:N22)</f>
        <v>0</v>
      </c>
      <c r="P22" s="361">
        <f>'Rider Rates'!H145</f>
        <v>45444</v>
      </c>
    </row>
    <row r="23" spans="1:221" x14ac:dyDescent="0.25">
      <c r="A23" s="370" t="s">
        <v>50</v>
      </c>
      <c r="B23" s="370"/>
      <c r="C23" s="370"/>
      <c r="D23" s="371"/>
      <c r="E23" s="371"/>
      <c r="F23" s="370"/>
      <c r="G23" s="370"/>
      <c r="H23" s="370"/>
      <c r="I23" s="370"/>
      <c r="J23" s="370"/>
      <c r="K23" s="373"/>
      <c r="L23" s="372"/>
      <c r="M23" s="372"/>
      <c r="N23" s="372">
        <f>SUM(N21:N22)</f>
        <v>138.5</v>
      </c>
      <c r="O23" s="372">
        <f>SUM(O21:O22)</f>
        <v>138.5</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138.5</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363">
        <f>C15</f>
        <v>0</v>
      </c>
      <c r="E34" s="364" t="s">
        <v>41</v>
      </c>
      <c r="F34" s="365" t="s">
        <v>8</v>
      </c>
      <c r="G34" s="389"/>
      <c r="H34" s="389"/>
      <c r="I34" s="389"/>
      <c r="J34" s="396">
        <f>SUM(G34:H34)</f>
        <v>0</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 t="shared" ref="D35:D36" si="3">C16</f>
        <v>0</v>
      </c>
      <c r="E35" s="364" t="s">
        <v>41</v>
      </c>
      <c r="F35" s="365" t="s">
        <v>8</v>
      </c>
      <c r="G35" s="389"/>
      <c r="H35" s="389"/>
      <c r="I35" s="389"/>
      <c r="J35" s="396">
        <f>SUM(G35:H35)</f>
        <v>0</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 t="shared" si="3"/>
        <v>0</v>
      </c>
      <c r="E36" s="364" t="s">
        <v>41</v>
      </c>
      <c r="F36" s="358" t="s">
        <v>8</v>
      </c>
      <c r="G36" s="389"/>
      <c r="H36" s="389"/>
      <c r="I36" s="389"/>
      <c r="J36" s="396">
        <f>SUM(G36:H36)</f>
        <v>0</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c r="H37" s="389"/>
      <c r="I37" s="389"/>
      <c r="J37" s="396">
        <f>SUM(G37:H37)</f>
        <v>0</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393">
        <f>$N$23</f>
        <v>138.5</v>
      </c>
      <c r="E42" s="364" t="s">
        <v>122</v>
      </c>
      <c r="F42" s="365" t="s">
        <v>8</v>
      </c>
      <c r="G42" s="400"/>
      <c r="H42" s="356"/>
      <c r="I42" s="401">
        <f>'Rider Rates'!$B$85</f>
        <v>4.94232E-2</v>
      </c>
      <c r="J42" s="401">
        <f t="shared" si="0"/>
        <v>4.94232E-2</v>
      </c>
      <c r="K42" s="367"/>
      <c r="L42" s="250"/>
      <c r="M42" s="250"/>
      <c r="N42" s="250">
        <f>ROUND(D42*I42,2)</f>
        <v>6.85</v>
      </c>
      <c r="O42" s="250">
        <f t="shared" si="2"/>
        <v>6.85</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138.5</v>
      </c>
      <c r="E43" s="364" t="s">
        <v>122</v>
      </c>
      <c r="F43" s="365" t="s">
        <v>8</v>
      </c>
      <c r="G43" s="402"/>
      <c r="H43" s="356"/>
      <c r="I43" s="401">
        <f>'Rider Rates'!$B$87</f>
        <v>6.6985699999999995E-2</v>
      </c>
      <c r="J43" s="401">
        <f t="shared" si="0"/>
        <v>6.6985699999999995E-2</v>
      </c>
      <c r="K43" s="367"/>
      <c r="L43" s="250"/>
      <c r="M43" s="250"/>
      <c r="N43" s="250">
        <f>ROUND(D43*I43,2)</f>
        <v>9.2799999999999994</v>
      </c>
      <c r="O43" s="250">
        <f t="shared" si="2"/>
        <v>9.2799999999999994</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138.5</v>
      </c>
      <c r="E46" s="364" t="s">
        <v>122</v>
      </c>
      <c r="F46" s="365" t="s">
        <v>8</v>
      </c>
      <c r="G46" s="402"/>
      <c r="H46" s="356"/>
      <c r="I46" s="401">
        <f>'Rider Rates'!$B$105</f>
        <v>0.2363101</v>
      </c>
      <c r="J46" s="401">
        <f t="shared" si="0"/>
        <v>0.2363101</v>
      </c>
      <c r="K46" s="367"/>
      <c r="L46" s="250"/>
      <c r="M46" s="250"/>
      <c r="N46" s="250">
        <f>ROUND(D46*I46,2)</f>
        <v>32.729999999999997</v>
      </c>
      <c r="O46" s="250">
        <f t="shared" si="2"/>
        <v>32.729999999999997</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c r="H49" s="389"/>
      <c r="I49" s="401"/>
      <c r="J49" s="396">
        <f>SUM(G49:H49)</f>
        <v>0</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4">SUM(M27:M55)</f>
        <v>0</v>
      </c>
      <c r="N56" s="415">
        <f t="shared" si="4"/>
        <v>71.22999999999999</v>
      </c>
      <c r="O56" s="415">
        <f t="shared" si="4"/>
        <v>71.22999999999999</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7" t="s">
        <v>94</v>
      </c>
      <c r="B58" s="380"/>
      <c r="C58" s="380"/>
      <c r="D58" s="380"/>
      <c r="E58" s="380"/>
      <c r="F58" s="380"/>
      <c r="G58" s="380"/>
      <c r="H58" s="380"/>
      <c r="I58" s="380"/>
      <c r="J58" s="380"/>
      <c r="K58" s="380"/>
      <c r="L58" s="419">
        <f>L23+L56</f>
        <v>0</v>
      </c>
      <c r="M58" s="419">
        <f>M23+M56</f>
        <v>0</v>
      </c>
      <c r="N58" s="419">
        <f>N23+N56</f>
        <v>209.73</v>
      </c>
      <c r="O58" s="420">
        <f>O23+O56</f>
        <v>209.73</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209.73</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209.73</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en6eEiahyP7v65iu+jh2QUVG2Ze0+7ffBsLJnRwbGfs22WUmhwm9L08512VQ9BmqbIUiibxFztGADbDWPngADw==" saltValue="boqulWt1VdsgezuKl4aN4g=="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6913" r:id="rId3" name="Button 1">
              <controlPr defaultSize="0" print="0" autoFill="0" autoPict="0" macro="[0]!Info">
                <anchor moveWithCells="1">
                  <from>
                    <xdr:col>0</xdr:col>
                    <xdr:colOff>68580</xdr:colOff>
                    <xdr:row>0</xdr:row>
                    <xdr:rowOff>38100</xdr:rowOff>
                  </from>
                  <to>
                    <xdr:col>0</xdr:col>
                    <xdr:colOff>571500</xdr:colOff>
                    <xdr:row>2</xdr:row>
                    <xdr:rowOff>30480</xdr:rowOff>
                  </to>
                </anchor>
              </controlPr>
            </control>
          </mc:Choice>
        </mc:AlternateContent>
        <mc:AlternateContent xmlns:mc="http://schemas.openxmlformats.org/markup-compatibility/2006">
          <mc:Choice Requires="x14">
            <control shapeId="166914"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66915" r:id="rId5" name="Button 3">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66916" r:id="rId6" name="Button 4">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66917" r:id="rId7" name="Button 5">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mc:AlternateContent xmlns:mc="http://schemas.openxmlformats.org/markup-compatibility/2006">
          <mc:Choice Requires="x14">
            <control shapeId="166918" r:id="rId8" name="Button 6">
              <controlPr defaultSize="0" print="0" autoFill="0" autoPict="0" macro="[0]!Info">
                <anchor moveWithCells="1">
                  <from>
                    <xdr:col>0</xdr:col>
                    <xdr:colOff>68580</xdr:colOff>
                    <xdr:row>0</xdr:row>
                    <xdr:rowOff>76200</xdr:rowOff>
                  </from>
                  <to>
                    <xdr:col>0</xdr:col>
                    <xdr:colOff>579120</xdr:colOff>
                    <xdr:row>2</xdr:row>
                    <xdr:rowOff>83820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5948-AF46-4809-B08A-F36751D4AA74}">
  <dimension ref="A1:IB66"/>
  <sheetViews>
    <sheetView topLeftCell="A18" zoomScale="85" zoomScaleNormal="85" workbookViewId="0">
      <selection activeCell="A42" sqref="A42:XFD42"/>
    </sheetView>
  </sheetViews>
  <sheetFormatPr defaultColWidth="8.5546875" defaultRowHeight="13.2" x14ac:dyDescent="0.25"/>
  <cols>
    <col min="1" max="1" width="31" style="332" customWidth="1"/>
    <col min="2" max="2" width="2.109375" style="332" customWidth="1"/>
    <col min="3" max="3" width="21.109375" style="332" customWidth="1"/>
    <col min="4" max="4" width="15.44140625" style="332" customWidth="1"/>
    <col min="5" max="5" width="10.109375" style="332" customWidth="1"/>
    <col min="6" max="6" width="5.5546875" style="332" customWidth="1"/>
    <col min="7" max="8" width="13.44140625" style="332" customWidth="1"/>
    <col min="9" max="9" width="14.5546875" style="332" customWidth="1"/>
    <col min="10" max="10" width="13.44140625" style="332" customWidth="1"/>
    <col min="11" max="11" width="7" style="332" customWidth="1"/>
    <col min="12" max="12" width="15.109375" style="332" customWidth="1"/>
    <col min="13" max="13" width="17.44140625" style="332" bestFit="1" customWidth="1"/>
    <col min="14" max="14" width="16.5546875" style="332" customWidth="1"/>
    <col min="15" max="15" width="19.109375" style="332" bestFit="1" customWidth="1"/>
    <col min="16" max="16" width="12.88671875" style="332" bestFit="1" customWidth="1"/>
    <col min="17" max="17" width="8.5546875" style="332"/>
    <col min="18" max="18" width="9.109375" style="332" hidden="1" customWidth="1"/>
    <col min="19" max="26" width="10.44140625" style="332" hidden="1" customWidth="1"/>
    <col min="27" max="27" width="10.5546875" style="332" hidden="1" customWidth="1"/>
    <col min="28" max="30" width="10.44140625" style="332" hidden="1" customWidth="1"/>
    <col min="31" max="16384" width="8.5546875" style="332"/>
  </cols>
  <sheetData>
    <row r="1" spans="1:30" ht="21" x14ac:dyDescent="0.4">
      <c r="A1" s="500" t="s">
        <v>120</v>
      </c>
      <c r="B1" s="500"/>
      <c r="C1" s="500"/>
      <c r="D1" s="500"/>
      <c r="E1" s="500"/>
      <c r="F1" s="500"/>
      <c r="G1" s="500"/>
      <c r="H1" s="500"/>
      <c r="I1" s="500"/>
      <c r="J1" s="500"/>
      <c r="K1" s="500"/>
      <c r="L1" s="500"/>
      <c r="M1" s="500"/>
      <c r="N1" s="500"/>
      <c r="O1" s="500"/>
      <c r="P1" s="500"/>
    </row>
    <row r="2" spans="1:30" ht="21" x14ac:dyDescent="0.4">
      <c r="A2" s="500" t="s">
        <v>278</v>
      </c>
      <c r="B2" s="500"/>
      <c r="C2" s="500"/>
      <c r="D2" s="500"/>
      <c r="E2" s="500"/>
      <c r="F2" s="500"/>
      <c r="G2" s="500"/>
      <c r="H2" s="500"/>
      <c r="I2" s="500"/>
      <c r="J2" s="500"/>
      <c r="K2" s="500"/>
      <c r="L2" s="500"/>
      <c r="M2" s="500"/>
      <c r="N2" s="500"/>
      <c r="O2" s="500"/>
      <c r="P2" s="500"/>
    </row>
    <row r="3" spans="1:30" ht="17.399999999999999" x14ac:dyDescent="0.3">
      <c r="A3" s="501" t="s">
        <v>328</v>
      </c>
      <c r="B3" s="501"/>
      <c r="C3" s="501"/>
      <c r="D3" s="501"/>
      <c r="E3" s="501"/>
      <c r="F3" s="501"/>
      <c r="G3" s="501"/>
      <c r="H3" s="501"/>
      <c r="I3" s="501"/>
      <c r="J3" s="501"/>
      <c r="K3" s="501"/>
      <c r="L3" s="501"/>
      <c r="M3" s="501"/>
      <c r="N3" s="501"/>
      <c r="O3" s="501"/>
      <c r="P3" s="501"/>
    </row>
    <row r="4" spans="1:30" ht="15.6" x14ac:dyDescent="0.3">
      <c r="A4" s="502" t="str">
        <f>'Customer Info'!B11</f>
        <v>Breakdown of Charges Based on Entered Information</v>
      </c>
      <c r="B4" s="502"/>
      <c r="C4" s="502"/>
      <c r="D4" s="502"/>
      <c r="E4" s="502"/>
      <c r="F4" s="502"/>
      <c r="G4" s="502"/>
      <c r="H4" s="502"/>
      <c r="I4" s="502"/>
      <c r="J4" s="502"/>
      <c r="K4" s="502"/>
      <c r="L4" s="502"/>
      <c r="M4" s="502"/>
      <c r="N4" s="502"/>
      <c r="O4" s="502"/>
      <c r="P4" s="502"/>
    </row>
    <row r="5" spans="1:30" ht="15" x14ac:dyDescent="0.25">
      <c r="A5" s="333"/>
      <c r="B5" s="333"/>
      <c r="C5" s="333"/>
      <c r="D5" s="333"/>
      <c r="E5" s="333"/>
      <c r="F5" s="333"/>
      <c r="G5" s="333"/>
      <c r="H5" s="333"/>
      <c r="I5" s="333"/>
      <c r="J5" s="333"/>
      <c r="K5" s="333"/>
    </row>
    <row r="6" spans="1:30" x14ac:dyDescent="0.25">
      <c r="A6" s="334">
        <f ca="1">TODAY()</f>
        <v>45657</v>
      </c>
      <c r="B6" s="387" t="s">
        <v>330</v>
      </c>
      <c r="C6" s="334"/>
      <c r="D6" s="334"/>
      <c r="E6" s="334"/>
      <c r="F6" s="334"/>
      <c r="G6" s="334"/>
      <c r="H6" s="334"/>
      <c r="I6" s="334"/>
    </row>
    <row r="7" spans="1:30" ht="24.6" x14ac:dyDescent="0.4">
      <c r="A7" s="508"/>
      <c r="B7" s="508"/>
      <c r="C7" s="508"/>
      <c r="D7" s="508"/>
      <c r="E7" s="508"/>
      <c r="F7" s="508"/>
      <c r="G7" s="508"/>
      <c r="H7" s="508"/>
      <c r="I7" s="508"/>
      <c r="J7" s="508"/>
      <c r="K7" s="508"/>
      <c r="L7" s="508"/>
      <c r="M7" s="508"/>
      <c r="N7" s="508"/>
      <c r="O7" s="508"/>
      <c r="P7" s="508"/>
    </row>
    <row r="8" spans="1:30" x14ac:dyDescent="0.25">
      <c r="C8" s="336"/>
      <c r="D8" s="336"/>
      <c r="E8" s="336"/>
      <c r="F8" s="336"/>
      <c r="G8" s="336"/>
      <c r="H8" s="336"/>
      <c r="I8" s="336"/>
      <c r="J8" s="336"/>
      <c r="K8" s="336"/>
    </row>
    <row r="9" spans="1:30" ht="15" x14ac:dyDescent="0.25">
      <c r="A9" s="337" t="s">
        <v>2</v>
      </c>
      <c r="B9" s="338"/>
      <c r="C9" s="339">
        <f>'Customer Info'!B7</f>
        <v>0</v>
      </c>
      <c r="I9" s="340"/>
    </row>
    <row r="10" spans="1:30" ht="15" x14ac:dyDescent="0.25">
      <c r="A10" s="341" t="s">
        <v>26</v>
      </c>
      <c r="B10" s="338"/>
      <c r="C10" s="339">
        <f>'Customer Info'!B8</f>
        <v>0</v>
      </c>
    </row>
    <row r="11" spans="1:30" x14ac:dyDescent="0.25">
      <c r="A11" s="337" t="s">
        <v>3</v>
      </c>
      <c r="B11" s="342">
        <f>'Customer Info'!B9</f>
        <v>1</v>
      </c>
      <c r="C11" s="343" t="str">
        <f>LOOKUP(B11,R11:AD11,R12:AD12)</f>
        <v>January</v>
      </c>
      <c r="D11" s="344">
        <f>'Customer Info'!C9</f>
        <v>2025</v>
      </c>
      <c r="S11" s="332">
        <v>1</v>
      </c>
      <c r="T11" s="332">
        <v>2</v>
      </c>
      <c r="U11" s="332">
        <v>3</v>
      </c>
      <c r="V11" s="332">
        <v>4</v>
      </c>
      <c r="W11" s="332">
        <v>5</v>
      </c>
      <c r="X11" s="332">
        <v>6</v>
      </c>
      <c r="Y11" s="332">
        <v>7</v>
      </c>
      <c r="Z11" s="332">
        <v>8</v>
      </c>
      <c r="AA11" s="332">
        <v>9</v>
      </c>
      <c r="AB11" s="332">
        <v>10</v>
      </c>
      <c r="AC11" s="332">
        <v>11</v>
      </c>
      <c r="AD11" s="332">
        <v>12</v>
      </c>
    </row>
    <row r="12" spans="1:30" x14ac:dyDescent="0.25">
      <c r="A12" s="504"/>
      <c r="B12" s="504"/>
      <c r="C12" s="504"/>
      <c r="D12" s="504"/>
      <c r="E12" s="504"/>
      <c r="F12" s="504"/>
      <c r="G12" s="504"/>
      <c r="H12" s="504"/>
      <c r="I12" s="504"/>
      <c r="J12" s="380"/>
      <c r="K12" s="380"/>
      <c r="L12" s="428"/>
      <c r="M12" s="428"/>
      <c r="N12" s="428"/>
      <c r="O12" s="428"/>
      <c r="P12" s="428"/>
      <c r="R12" s="332" t="s">
        <v>115</v>
      </c>
      <c r="S12" s="346" t="s">
        <v>102</v>
      </c>
      <c r="T12" s="346" t="s">
        <v>103</v>
      </c>
      <c r="U12" s="346" t="s">
        <v>104</v>
      </c>
      <c r="V12" s="346" t="s">
        <v>105</v>
      </c>
      <c r="W12" s="346" t="s">
        <v>106</v>
      </c>
      <c r="X12" s="346" t="s">
        <v>107</v>
      </c>
      <c r="Y12" s="346" t="s">
        <v>108</v>
      </c>
      <c r="Z12" s="346" t="s">
        <v>109</v>
      </c>
      <c r="AA12" s="346" t="s">
        <v>110</v>
      </c>
      <c r="AB12" s="346" t="s">
        <v>112</v>
      </c>
      <c r="AC12" s="346" t="s">
        <v>111</v>
      </c>
      <c r="AD12" s="346" t="s">
        <v>113</v>
      </c>
    </row>
    <row r="13" spans="1:30" x14ac:dyDescent="0.25">
      <c r="A13" s="353" t="s">
        <v>27</v>
      </c>
      <c r="B13" s="354"/>
      <c r="C13" s="354"/>
      <c r="D13" s="354"/>
      <c r="E13" s="354"/>
      <c r="F13" s="354"/>
      <c r="G13" s="354"/>
      <c r="H13" s="354"/>
      <c r="I13" s="354"/>
      <c r="R13" s="352" t="s">
        <v>187</v>
      </c>
      <c r="S13" s="332">
        <f>'Rider Rates'!$C$22</f>
        <v>7.0209999999999995E-2</v>
      </c>
      <c r="T13" s="332">
        <f>'Rider Rates'!$C$22</f>
        <v>7.0209999999999995E-2</v>
      </c>
      <c r="U13" s="332">
        <f>'Rider Rates'!$C$22</f>
        <v>7.0209999999999995E-2</v>
      </c>
      <c r="V13" s="332">
        <f>'Rider Rates'!$C$22</f>
        <v>7.0209999999999995E-2</v>
      </c>
      <c r="W13" s="332">
        <f>'Rider Rates'!$C$22</f>
        <v>7.0209999999999995E-2</v>
      </c>
      <c r="X13" s="332">
        <f>'Rider Rates'!$B$22</f>
        <v>7.0209999999999995E-2</v>
      </c>
      <c r="Y13" s="332">
        <f>'Rider Rates'!$B$22</f>
        <v>7.0209999999999995E-2</v>
      </c>
      <c r="Z13" s="332">
        <f>'Rider Rates'!$B$22</f>
        <v>7.0209999999999995E-2</v>
      </c>
      <c r="AA13" s="332">
        <f>'Rider Rates'!$B$22</f>
        <v>7.0209999999999995E-2</v>
      </c>
      <c r="AB13" s="332">
        <f>'Rider Rates'!$C$22</f>
        <v>7.0209999999999995E-2</v>
      </c>
      <c r="AC13" s="332">
        <f>'Rider Rates'!$C$22</f>
        <v>7.0209999999999995E-2</v>
      </c>
      <c r="AD13" s="332">
        <f>'Rider Rates'!$C$22</f>
        <v>7.0209999999999995E-2</v>
      </c>
    </row>
    <row r="14" spans="1:30" x14ac:dyDescent="0.25">
      <c r="A14" s="336"/>
      <c r="B14" s="336"/>
      <c r="C14" s="336"/>
      <c r="D14" s="336"/>
      <c r="E14" s="336"/>
      <c r="F14" s="336"/>
      <c r="G14" s="336"/>
      <c r="H14" s="336"/>
      <c r="I14" s="336"/>
      <c r="R14" s="336"/>
      <c r="S14" s="348"/>
      <c r="T14" s="348"/>
      <c r="U14" s="348"/>
      <c r="V14" s="348"/>
      <c r="W14" s="348"/>
      <c r="X14" s="348"/>
      <c r="Y14" s="348"/>
      <c r="Z14" s="348"/>
      <c r="AA14" s="348"/>
      <c r="AB14" s="348"/>
      <c r="AC14" s="348"/>
      <c r="AD14" s="348"/>
    </row>
    <row r="15" spans="1:30" x14ac:dyDescent="0.25">
      <c r="A15" s="350" t="s">
        <v>52</v>
      </c>
      <c r="B15" s="350"/>
      <c r="C15" s="429">
        <f>IF('Customer Info'!B21+'Customer Info'!B22-'Customer Info'!B23&lt;0,0,'Customer Info'!B21+'Customer Info'!B22-'Customer Info'!B23)</f>
        <v>0</v>
      </c>
      <c r="D15" s="350" t="s">
        <v>41</v>
      </c>
      <c r="E15" s="350"/>
      <c r="F15" s="351"/>
      <c r="G15" s="350"/>
      <c r="H15" s="350"/>
      <c r="I15" s="350"/>
      <c r="R15" s="336"/>
      <c r="S15" s="348"/>
      <c r="T15" s="348"/>
      <c r="U15" s="348"/>
      <c r="V15" s="348"/>
      <c r="W15" s="348"/>
      <c r="X15" s="348"/>
      <c r="Y15" s="348"/>
      <c r="Z15" s="348"/>
      <c r="AA15" s="348"/>
      <c r="AB15" s="348"/>
      <c r="AC15" s="348"/>
      <c r="AD15" s="348"/>
    </row>
    <row r="16" spans="1:30" x14ac:dyDescent="0.25">
      <c r="A16" s="350" t="s">
        <v>225</v>
      </c>
      <c r="B16" s="350"/>
      <c r="C16" s="429">
        <f>'Customer Info'!B21</f>
        <v>0</v>
      </c>
      <c r="D16" s="350" t="s">
        <v>41</v>
      </c>
      <c r="E16" s="350"/>
      <c r="F16" s="351"/>
      <c r="G16" s="337" t="s">
        <v>15</v>
      </c>
      <c r="H16" s="350"/>
    </row>
    <row r="17" spans="1:221" x14ac:dyDescent="0.25">
      <c r="A17" s="350" t="s">
        <v>226</v>
      </c>
      <c r="B17" s="350"/>
      <c r="C17" s="429">
        <f>'Customer Info'!B22</f>
        <v>0</v>
      </c>
      <c r="D17" s="430" t="s">
        <v>41</v>
      </c>
      <c r="E17" s="351"/>
      <c r="F17" s="351"/>
      <c r="G17" s="337" t="s">
        <v>15</v>
      </c>
      <c r="H17" s="350"/>
      <c r="I17" s="431" t="s">
        <v>15</v>
      </c>
    </row>
    <row r="19" spans="1:221" x14ac:dyDescent="0.25">
      <c r="A19" s="353" t="s">
        <v>31</v>
      </c>
      <c r="B19" s="354"/>
      <c r="C19" s="354"/>
      <c r="D19" s="354"/>
      <c r="E19" s="354"/>
      <c r="F19" s="354"/>
      <c r="G19" s="496" t="s">
        <v>68</v>
      </c>
      <c r="H19" s="497"/>
      <c r="I19" s="497"/>
      <c r="J19" s="498"/>
      <c r="K19" s="354"/>
      <c r="L19" s="499" t="s">
        <v>69</v>
      </c>
      <c r="M19" s="499"/>
      <c r="N19" s="499"/>
      <c r="O19" s="499"/>
    </row>
    <row r="20" spans="1:221" x14ac:dyDescent="0.25">
      <c r="A20" s="336"/>
      <c r="B20" s="336"/>
      <c r="C20" s="336"/>
      <c r="D20" s="336"/>
      <c r="E20" s="336"/>
      <c r="F20" s="336"/>
      <c r="G20" s="355" t="s">
        <v>65</v>
      </c>
      <c r="H20" s="355" t="s">
        <v>66</v>
      </c>
      <c r="I20" s="355" t="s">
        <v>67</v>
      </c>
      <c r="J20" s="356" t="s">
        <v>34</v>
      </c>
      <c r="K20" s="336"/>
      <c r="L20" s="446" t="s">
        <v>65</v>
      </c>
      <c r="M20" s="446" t="s">
        <v>66</v>
      </c>
      <c r="N20" s="446" t="s">
        <v>67</v>
      </c>
      <c r="O20" s="446" t="s">
        <v>34</v>
      </c>
      <c r="P20" s="358" t="s">
        <v>57</v>
      </c>
    </row>
    <row r="21" spans="1:221" x14ac:dyDescent="0.25">
      <c r="A21" s="332" t="s">
        <v>32</v>
      </c>
      <c r="G21" s="432"/>
      <c r="H21" s="432"/>
      <c r="I21" s="432">
        <f>'Rider Rates'!B146</f>
        <v>825</v>
      </c>
      <c r="J21" s="432">
        <f>SUM(G21:I21)</f>
        <v>825</v>
      </c>
      <c r="L21" s="433"/>
      <c r="M21" s="433"/>
      <c r="N21" s="433">
        <f>I21</f>
        <v>825</v>
      </c>
      <c r="O21" s="408">
        <f>SUM(L21:N21)</f>
        <v>825</v>
      </c>
      <c r="P21" s="361">
        <v>44531</v>
      </c>
    </row>
    <row r="22" spans="1:221" x14ac:dyDescent="0.25">
      <c r="A22" s="434" t="s">
        <v>132</v>
      </c>
      <c r="D22" s="363">
        <f>C15</f>
        <v>0</v>
      </c>
      <c r="E22" s="364" t="s">
        <v>41</v>
      </c>
      <c r="F22" s="365" t="s">
        <v>8</v>
      </c>
      <c r="G22" s="407"/>
      <c r="H22" s="407"/>
      <c r="I22" s="445">
        <f>'Rider Rates'!C146</f>
        <v>5.9799999999999997E-5</v>
      </c>
      <c r="J22" s="407">
        <f>SUM(G22:I22)</f>
        <v>5.9799999999999997E-5</v>
      </c>
      <c r="K22" s="367" t="s">
        <v>42</v>
      </c>
      <c r="L22" s="408"/>
      <c r="M22" s="408"/>
      <c r="N22" s="408">
        <f>IF(C15&lt;0,0,ROUND($D22*I22,2))</f>
        <v>0</v>
      </c>
      <c r="O22" s="408">
        <f>SUM(L22:N22)</f>
        <v>0</v>
      </c>
      <c r="P22" s="361">
        <f>'Rider Rates'!H146</f>
        <v>45444</v>
      </c>
    </row>
    <row r="23" spans="1:221" x14ac:dyDescent="0.25">
      <c r="A23" s="370" t="s">
        <v>50</v>
      </c>
      <c r="B23" s="370"/>
      <c r="C23" s="370"/>
      <c r="D23" s="371"/>
      <c r="E23" s="371"/>
      <c r="F23" s="370"/>
      <c r="G23" s="370"/>
      <c r="H23" s="370"/>
      <c r="I23" s="370"/>
      <c r="J23" s="370"/>
      <c r="K23" s="373"/>
      <c r="L23" s="372"/>
      <c r="M23" s="372"/>
      <c r="N23" s="372">
        <f>SUM(N21:N22)</f>
        <v>825</v>
      </c>
      <c r="O23" s="372">
        <f>SUM(O21:O22)</f>
        <v>825</v>
      </c>
    </row>
    <row r="24" spans="1:221" x14ac:dyDescent="0.25">
      <c r="A24" s="435"/>
      <c r="B24" s="435"/>
      <c r="C24" s="436"/>
      <c r="D24" s="436"/>
      <c r="E24" s="436"/>
      <c r="F24" s="436"/>
      <c r="G24" s="437"/>
      <c r="H24" s="437"/>
      <c r="I24" s="437"/>
      <c r="J24" s="437"/>
      <c r="K24" s="435"/>
      <c r="L24" s="435"/>
      <c r="M24" s="435"/>
      <c r="N24" s="435"/>
      <c r="O24" s="435"/>
      <c r="P24" s="435"/>
    </row>
    <row r="25" spans="1:221" x14ac:dyDescent="0.25">
      <c r="A25" s="347" t="s">
        <v>70</v>
      </c>
      <c r="B25" s="384"/>
      <c r="C25" s="384"/>
      <c r="D25" s="385"/>
      <c r="E25" s="385"/>
      <c r="F25" s="384"/>
      <c r="G25" s="385"/>
      <c r="H25" s="385"/>
      <c r="I25" s="385"/>
      <c r="J25" s="385"/>
      <c r="K25" s="385"/>
      <c r="L25" s="385"/>
      <c r="M25" s="385"/>
      <c r="N25" s="385"/>
      <c r="O25" s="385"/>
      <c r="P25" s="424"/>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c r="BV25" s="336"/>
      <c r="BW25" s="336"/>
      <c r="BX25" s="336"/>
      <c r="BY25" s="336"/>
      <c r="BZ25" s="336"/>
      <c r="CA25" s="336"/>
      <c r="CB25" s="336"/>
      <c r="CC25" s="336"/>
      <c r="CD25" s="336"/>
      <c r="CE25" s="336"/>
      <c r="CF25" s="336"/>
      <c r="CG25" s="336"/>
      <c r="CH25" s="336"/>
      <c r="CI25" s="336"/>
      <c r="CJ25" s="336"/>
      <c r="CK25" s="336"/>
      <c r="CL25" s="336"/>
      <c r="CM25" s="336"/>
      <c r="CN25" s="336"/>
      <c r="CO25" s="336"/>
      <c r="CP25" s="336"/>
      <c r="CQ25" s="336"/>
      <c r="CR25" s="336"/>
      <c r="CS25" s="336"/>
      <c r="CT25" s="336"/>
      <c r="CU25" s="336"/>
      <c r="CV25" s="336"/>
      <c r="CW25" s="336"/>
      <c r="CX25" s="336"/>
      <c r="CY25" s="336"/>
      <c r="CZ25" s="336"/>
      <c r="DA25" s="336"/>
      <c r="DB25" s="336"/>
      <c r="DC25" s="336"/>
      <c r="DD25" s="336"/>
      <c r="DE25" s="336"/>
      <c r="DF25" s="336"/>
      <c r="DG25" s="336"/>
      <c r="DH25" s="336"/>
      <c r="DI25" s="336"/>
      <c r="DJ25" s="336"/>
      <c r="DK25" s="336"/>
      <c r="DL25" s="336"/>
      <c r="DM25" s="336"/>
      <c r="DN25" s="336"/>
      <c r="DO25" s="336"/>
      <c r="DP25" s="336"/>
      <c r="DQ25" s="336"/>
      <c r="DR25" s="336"/>
      <c r="DS25" s="336"/>
      <c r="DT25" s="336"/>
      <c r="DU25" s="336"/>
      <c r="DV25" s="336"/>
      <c r="DW25" s="336"/>
      <c r="DX25" s="336"/>
      <c r="DY25" s="336"/>
      <c r="DZ25" s="336"/>
      <c r="EA25" s="336"/>
      <c r="EB25" s="336"/>
      <c r="EC25" s="336"/>
      <c r="ED25" s="336"/>
      <c r="EE25" s="336"/>
      <c r="EF25" s="336"/>
      <c r="EG25" s="336"/>
      <c r="EH25" s="336"/>
      <c r="EI25" s="336"/>
      <c r="EJ25" s="336"/>
      <c r="EK25" s="336"/>
      <c r="EL25" s="336"/>
      <c r="EM25" s="336"/>
      <c r="EN25" s="336"/>
      <c r="EO25" s="336"/>
      <c r="EP25" s="336"/>
      <c r="EQ25" s="336"/>
      <c r="ER25" s="336"/>
      <c r="ES25" s="336"/>
      <c r="ET25" s="336"/>
      <c r="EU25" s="336"/>
      <c r="EV25" s="336"/>
      <c r="EW25" s="336"/>
      <c r="EX25" s="336"/>
      <c r="EY25" s="336"/>
      <c r="EZ25" s="336"/>
      <c r="FA25" s="336"/>
      <c r="FB25" s="336"/>
      <c r="FC25" s="336"/>
      <c r="FD25" s="336"/>
      <c r="FE25" s="336"/>
      <c r="FF25" s="336"/>
      <c r="FG25" s="336"/>
      <c r="FH25" s="336"/>
      <c r="FI25" s="336"/>
      <c r="FJ25" s="336"/>
      <c r="FK25" s="336"/>
      <c r="FL25" s="336"/>
      <c r="FM25" s="336"/>
      <c r="FN25" s="336"/>
      <c r="FO25" s="336"/>
      <c r="FP25" s="336"/>
      <c r="FQ25" s="336"/>
      <c r="FR25" s="336"/>
      <c r="FS25" s="336"/>
      <c r="FT25" s="336"/>
      <c r="FU25" s="336"/>
      <c r="FV25" s="336"/>
      <c r="FW25" s="336"/>
      <c r="FX25" s="336"/>
      <c r="FY25" s="336"/>
      <c r="FZ25" s="336"/>
      <c r="GA25" s="336"/>
      <c r="GB25" s="336"/>
      <c r="GC25" s="336"/>
      <c r="GD25" s="336"/>
      <c r="GE25" s="336"/>
      <c r="GF25" s="336"/>
      <c r="GG25" s="336"/>
      <c r="GH25" s="336"/>
      <c r="GI25" s="336"/>
      <c r="GJ25" s="336"/>
      <c r="GK25" s="336"/>
      <c r="GL25" s="336"/>
      <c r="GM25" s="336"/>
      <c r="GN25" s="336"/>
      <c r="GO25" s="336"/>
      <c r="GP25" s="336"/>
      <c r="GQ25" s="336"/>
      <c r="GR25" s="336"/>
      <c r="GS25" s="336"/>
      <c r="GT25" s="336"/>
      <c r="GU25" s="336"/>
      <c r="GV25" s="336"/>
      <c r="GW25" s="336"/>
      <c r="GX25" s="336"/>
      <c r="GY25" s="336"/>
      <c r="GZ25" s="336"/>
      <c r="HA25" s="336"/>
      <c r="HB25" s="336"/>
      <c r="HC25" s="336"/>
      <c r="HD25" s="336"/>
      <c r="HE25" s="336"/>
      <c r="HF25" s="336"/>
      <c r="HG25" s="336"/>
      <c r="HH25" s="336"/>
      <c r="HI25" s="336"/>
      <c r="HJ25" s="336"/>
      <c r="HK25" s="336"/>
      <c r="HL25" s="336"/>
      <c r="HM25" s="336"/>
    </row>
    <row r="26" spans="1:221" x14ac:dyDescent="0.25">
      <c r="P26" s="438"/>
      <c r="Q26" s="386"/>
      <c r="R26" s="376"/>
      <c r="S26" s="377"/>
      <c r="T26" s="378"/>
      <c r="U26" s="336"/>
      <c r="V26" s="379"/>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6"/>
      <c r="CN26" s="336"/>
      <c r="CO26" s="336"/>
      <c r="CP26" s="336"/>
      <c r="CQ26" s="336"/>
      <c r="CR26" s="336"/>
      <c r="CS26" s="336"/>
      <c r="CT26" s="336"/>
      <c r="CU26" s="336"/>
      <c r="CV26" s="336"/>
      <c r="CW26" s="336"/>
      <c r="CX26" s="336"/>
      <c r="CY26" s="336"/>
      <c r="CZ26" s="336"/>
      <c r="DA26" s="336"/>
      <c r="DB26" s="336"/>
      <c r="DC26" s="336"/>
      <c r="DD26" s="336"/>
      <c r="DE26" s="336"/>
      <c r="DF26" s="336"/>
      <c r="DG26" s="336"/>
      <c r="DH26" s="336"/>
      <c r="DI26" s="336"/>
      <c r="DJ26" s="336"/>
      <c r="DK26" s="336"/>
      <c r="DL26" s="336"/>
      <c r="DM26" s="336"/>
      <c r="DN26" s="336"/>
      <c r="DO26" s="336"/>
      <c r="DP26" s="336"/>
      <c r="DQ26" s="336"/>
      <c r="DR26" s="336"/>
      <c r="DS26" s="336"/>
      <c r="DT26" s="336"/>
      <c r="DU26" s="336"/>
      <c r="DV26" s="336"/>
      <c r="DW26" s="336"/>
      <c r="DX26" s="336"/>
      <c r="DY26" s="336"/>
      <c r="DZ26" s="336"/>
      <c r="EA26" s="336"/>
      <c r="EB26" s="336"/>
      <c r="EC26" s="336"/>
      <c r="ED26" s="336"/>
      <c r="EE26" s="336"/>
      <c r="EF26" s="336"/>
      <c r="EG26" s="336"/>
      <c r="EH26" s="336"/>
      <c r="EI26" s="336"/>
      <c r="EJ26" s="336"/>
      <c r="EK26" s="336"/>
      <c r="EL26" s="336"/>
      <c r="EM26" s="336"/>
      <c r="EN26" s="336"/>
      <c r="EO26" s="336"/>
      <c r="EP26" s="336"/>
      <c r="EQ26" s="336"/>
      <c r="ER26" s="336"/>
      <c r="ES26" s="336"/>
      <c r="ET26" s="336"/>
      <c r="EU26" s="336"/>
      <c r="EV26" s="336"/>
      <c r="EW26" s="336"/>
      <c r="EX26" s="336"/>
      <c r="EY26" s="336"/>
      <c r="EZ26" s="336"/>
      <c r="FA26" s="336"/>
      <c r="FB26" s="336"/>
      <c r="FC26" s="336"/>
      <c r="FD26" s="336"/>
      <c r="FE26" s="336"/>
      <c r="FF26" s="336"/>
      <c r="FG26" s="336"/>
      <c r="FH26" s="336"/>
      <c r="FI26" s="336"/>
      <c r="FJ26" s="336"/>
      <c r="FK26" s="336"/>
      <c r="FL26" s="336"/>
      <c r="FM26" s="336"/>
      <c r="FN26" s="336"/>
      <c r="FO26" s="336"/>
      <c r="FP26" s="336"/>
      <c r="FQ26" s="336"/>
      <c r="FR26" s="336"/>
      <c r="FS26" s="336"/>
      <c r="FT26" s="336"/>
      <c r="FU26" s="336"/>
      <c r="FV26" s="336"/>
      <c r="FW26" s="336"/>
      <c r="FX26" s="336"/>
      <c r="FY26" s="336"/>
      <c r="FZ26" s="336"/>
      <c r="GA26" s="336"/>
      <c r="GB26" s="336"/>
      <c r="GC26" s="336"/>
      <c r="GD26" s="336"/>
      <c r="GE26" s="336"/>
      <c r="GF26" s="336"/>
      <c r="GG26" s="336"/>
      <c r="GH26" s="336"/>
      <c r="GI26" s="336"/>
      <c r="GJ26" s="336"/>
      <c r="GK26" s="336"/>
      <c r="GL26" s="336"/>
      <c r="GM26" s="336"/>
      <c r="GN26" s="336"/>
      <c r="GO26" s="336"/>
      <c r="GP26" s="336"/>
      <c r="GQ26" s="336"/>
      <c r="GR26" s="336"/>
      <c r="GS26" s="336"/>
      <c r="GT26" s="336"/>
      <c r="GU26" s="336"/>
      <c r="GV26" s="336"/>
      <c r="GW26" s="336"/>
      <c r="GX26" s="336"/>
      <c r="GY26" s="336"/>
      <c r="GZ26" s="336"/>
      <c r="HA26" s="336"/>
      <c r="HB26" s="336"/>
      <c r="HC26" s="336"/>
      <c r="HD26" s="336"/>
      <c r="HE26" s="336"/>
      <c r="HF26" s="336"/>
      <c r="HG26" s="336"/>
      <c r="HH26" s="336"/>
      <c r="HI26" s="336"/>
      <c r="HJ26" s="336"/>
      <c r="HK26" s="336"/>
      <c r="HL26" s="336"/>
      <c r="HM26" s="336"/>
    </row>
    <row r="27" spans="1:221" x14ac:dyDescent="0.25">
      <c r="A27" s="387" t="s">
        <v>79</v>
      </c>
      <c r="B27" s="388"/>
      <c r="C27" s="388"/>
      <c r="D27" s="363">
        <f>IF($C$15&lt;0,0,IF($C$15&gt;833000,833000,$C$15))</f>
        <v>0</v>
      </c>
      <c r="E27" s="364" t="s">
        <v>41</v>
      </c>
      <c r="F27" s="365" t="s">
        <v>8</v>
      </c>
      <c r="G27" s="389"/>
      <c r="H27" s="389"/>
      <c r="I27" s="389">
        <f>'Rider Rates'!$B$4</f>
        <v>4.6278999999999999E-3</v>
      </c>
      <c r="J27" s="389">
        <f t="shared" ref="J27:J48" si="0">SUM(G27:I27)</f>
        <v>4.6278999999999999E-3</v>
      </c>
      <c r="K27" s="367" t="s">
        <v>42</v>
      </c>
      <c r="L27" s="250"/>
      <c r="M27" s="250"/>
      <c r="N27" s="250">
        <f t="shared" ref="N27:N32" si="1">ROUND(D27*I27,2)</f>
        <v>0</v>
      </c>
      <c r="O27" s="250">
        <f t="shared" ref="O27:O49" si="2">SUM(L27:N27)</f>
        <v>0</v>
      </c>
      <c r="P27" s="361">
        <f>'Rider Rates'!$D$4</f>
        <v>45657</v>
      </c>
      <c r="Q27" s="386"/>
      <c r="R27" s="383"/>
      <c r="S27" s="377"/>
      <c r="T27" s="378"/>
      <c r="U27" s="336"/>
      <c r="V27" s="379"/>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36"/>
      <c r="BZ27" s="336"/>
      <c r="CA27" s="336"/>
      <c r="CB27" s="336"/>
      <c r="CC27" s="336"/>
      <c r="CD27" s="336"/>
      <c r="CE27" s="336"/>
      <c r="CF27" s="336"/>
      <c r="CG27" s="336"/>
      <c r="CH27" s="336"/>
      <c r="CI27" s="336"/>
      <c r="CJ27" s="336"/>
      <c r="CK27" s="336"/>
      <c r="CL27" s="336"/>
      <c r="CM27" s="336"/>
      <c r="CN27" s="336"/>
      <c r="CO27" s="336"/>
      <c r="CP27" s="336"/>
      <c r="CQ27" s="336"/>
      <c r="CR27" s="336"/>
      <c r="CS27" s="336"/>
      <c r="CT27" s="336"/>
      <c r="CU27" s="336"/>
      <c r="CV27" s="336"/>
      <c r="CW27" s="336"/>
      <c r="CX27" s="336"/>
      <c r="CY27" s="336"/>
      <c r="CZ27" s="336"/>
      <c r="DA27" s="336"/>
      <c r="DB27" s="336"/>
      <c r="DC27" s="336"/>
      <c r="DD27" s="336"/>
      <c r="DE27" s="336"/>
      <c r="DF27" s="336"/>
      <c r="DG27" s="336"/>
      <c r="DH27" s="336"/>
      <c r="DI27" s="336"/>
      <c r="DJ27" s="336"/>
      <c r="DK27" s="336"/>
      <c r="DL27" s="336"/>
      <c r="DM27" s="336"/>
      <c r="DN27" s="336"/>
      <c r="DO27" s="336"/>
      <c r="DP27" s="336"/>
      <c r="DQ27" s="336"/>
      <c r="DR27" s="336"/>
      <c r="DS27" s="336"/>
      <c r="DT27" s="336"/>
      <c r="DU27" s="336"/>
      <c r="DV27" s="336"/>
      <c r="DW27" s="336"/>
      <c r="DX27" s="336"/>
      <c r="DY27" s="336"/>
      <c r="DZ27" s="336"/>
      <c r="EA27" s="336"/>
      <c r="EB27" s="336"/>
      <c r="EC27" s="336"/>
      <c r="ED27" s="336"/>
      <c r="EE27" s="336"/>
      <c r="EF27" s="336"/>
      <c r="EG27" s="336"/>
      <c r="EH27" s="336"/>
      <c r="EI27" s="336"/>
      <c r="EJ27" s="336"/>
      <c r="EK27" s="336"/>
      <c r="EL27" s="336"/>
      <c r="EM27" s="336"/>
      <c r="EN27" s="336"/>
      <c r="EO27" s="336"/>
      <c r="EP27" s="336"/>
      <c r="EQ27" s="336"/>
      <c r="ER27" s="336"/>
      <c r="ES27" s="336"/>
      <c r="ET27" s="336"/>
      <c r="EU27" s="336"/>
      <c r="EV27" s="336"/>
      <c r="EW27" s="336"/>
      <c r="EX27" s="336"/>
      <c r="EY27" s="336"/>
      <c r="EZ27" s="336"/>
      <c r="FA27" s="336"/>
      <c r="FB27" s="336"/>
      <c r="FC27" s="336"/>
      <c r="FD27" s="336"/>
      <c r="FE27" s="336"/>
      <c r="FF27" s="336"/>
      <c r="FG27" s="336"/>
      <c r="FH27" s="336"/>
      <c r="FI27" s="336"/>
      <c r="FJ27" s="336"/>
      <c r="FK27" s="336"/>
      <c r="FL27" s="336"/>
      <c r="FM27" s="336"/>
      <c r="FN27" s="336"/>
      <c r="FO27" s="336"/>
      <c r="FP27" s="336"/>
      <c r="FQ27" s="336"/>
      <c r="FR27" s="336"/>
      <c r="FS27" s="336"/>
      <c r="FT27" s="336"/>
      <c r="FU27" s="336"/>
      <c r="FV27" s="336"/>
      <c r="FW27" s="336"/>
      <c r="FX27" s="336"/>
      <c r="FY27" s="336"/>
      <c r="FZ27" s="336"/>
      <c r="GA27" s="336"/>
      <c r="GB27" s="336"/>
      <c r="GC27" s="336"/>
      <c r="GD27" s="336"/>
      <c r="GE27" s="336"/>
      <c r="GF27" s="336"/>
      <c r="GG27" s="336"/>
      <c r="GH27" s="336"/>
      <c r="GI27" s="336"/>
      <c r="GJ27" s="336"/>
      <c r="GK27" s="336"/>
      <c r="GL27" s="336"/>
      <c r="GM27" s="336"/>
      <c r="GN27" s="336"/>
      <c r="GO27" s="336"/>
      <c r="GP27" s="336"/>
      <c r="GQ27" s="336"/>
      <c r="GR27" s="336"/>
      <c r="GS27" s="336"/>
      <c r="GT27" s="336"/>
      <c r="GU27" s="336"/>
      <c r="GV27" s="336"/>
      <c r="GW27" s="336"/>
      <c r="GX27" s="336"/>
      <c r="GY27" s="336"/>
      <c r="GZ27" s="336"/>
      <c r="HA27" s="336"/>
      <c r="HB27" s="336"/>
      <c r="HC27" s="336"/>
      <c r="HD27" s="336"/>
      <c r="HE27" s="336"/>
      <c r="HF27" s="336"/>
      <c r="HG27" s="336"/>
      <c r="HH27" s="336"/>
      <c r="HI27" s="336"/>
      <c r="HJ27" s="336"/>
      <c r="HK27" s="336"/>
      <c r="HL27" s="336"/>
      <c r="HM27" s="336"/>
    </row>
    <row r="28" spans="1:221" x14ac:dyDescent="0.25">
      <c r="A28" s="387" t="s">
        <v>80</v>
      </c>
      <c r="B28" s="336"/>
      <c r="C28" s="336"/>
      <c r="D28" s="391">
        <f>IF($C$15&gt;833000,$C$15-833000,0)</f>
        <v>0</v>
      </c>
      <c r="E28" s="364" t="s">
        <v>41</v>
      </c>
      <c r="F28" s="365" t="s">
        <v>8</v>
      </c>
      <c r="G28" s="389"/>
      <c r="H28" s="389"/>
      <c r="I28" s="389">
        <f>'Rider Rates'!$B$5</f>
        <v>1.7560000000000001E-4</v>
      </c>
      <c r="J28" s="389">
        <f t="shared" si="0"/>
        <v>1.7560000000000001E-4</v>
      </c>
      <c r="K28" s="367" t="s">
        <v>42</v>
      </c>
      <c r="L28" s="250"/>
      <c r="M28" s="250"/>
      <c r="N28" s="250">
        <f t="shared" si="1"/>
        <v>0</v>
      </c>
      <c r="O28" s="250">
        <f t="shared" si="2"/>
        <v>0</v>
      </c>
      <c r="P28" s="361">
        <f>'Rider Rates'!$D$4</f>
        <v>45657</v>
      </c>
      <c r="Q28" s="386"/>
      <c r="R28" s="383"/>
      <c r="S28" s="377"/>
      <c r="T28" s="378"/>
      <c r="U28" s="336"/>
      <c r="V28" s="379"/>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c r="BE28" s="336"/>
      <c r="BF28" s="336"/>
      <c r="BG28" s="336"/>
      <c r="BH28" s="336"/>
      <c r="BI28" s="336"/>
      <c r="BJ28" s="336"/>
      <c r="BK28" s="336"/>
      <c r="BL28" s="336"/>
      <c r="BM28" s="336"/>
      <c r="BN28" s="336"/>
      <c r="BO28" s="336"/>
      <c r="BP28" s="336"/>
      <c r="BQ28" s="336"/>
      <c r="BR28" s="336"/>
      <c r="BS28" s="336"/>
      <c r="BT28" s="336"/>
      <c r="BU28" s="336"/>
      <c r="BV28" s="336"/>
      <c r="BW28" s="336"/>
      <c r="BX28" s="336"/>
      <c r="BY28" s="336"/>
      <c r="BZ28" s="336"/>
      <c r="CA28" s="336"/>
      <c r="CB28" s="336"/>
      <c r="CC28" s="336"/>
      <c r="CD28" s="336"/>
      <c r="CE28" s="336"/>
      <c r="CF28" s="336"/>
      <c r="CG28" s="336"/>
      <c r="CH28" s="336"/>
      <c r="CI28" s="336"/>
      <c r="CJ28" s="336"/>
      <c r="CK28" s="336"/>
      <c r="CL28" s="336"/>
      <c r="CM28" s="336"/>
      <c r="CN28" s="336"/>
      <c r="CO28" s="336"/>
      <c r="CP28" s="336"/>
      <c r="CQ28" s="336"/>
      <c r="CR28" s="336"/>
      <c r="CS28" s="336"/>
      <c r="CT28" s="336"/>
      <c r="CU28" s="336"/>
      <c r="CV28" s="336"/>
      <c r="CW28" s="336"/>
      <c r="CX28" s="336"/>
      <c r="CY28" s="336"/>
      <c r="CZ28" s="336"/>
      <c r="DA28" s="336"/>
      <c r="DB28" s="336"/>
      <c r="DC28" s="336"/>
      <c r="DD28" s="336"/>
      <c r="DE28" s="336"/>
      <c r="DF28" s="336"/>
      <c r="DG28" s="336"/>
      <c r="DH28" s="336"/>
      <c r="DI28" s="336"/>
      <c r="DJ28" s="336"/>
      <c r="DK28" s="336"/>
      <c r="DL28" s="336"/>
      <c r="DM28" s="336"/>
      <c r="DN28" s="336"/>
      <c r="DO28" s="336"/>
      <c r="DP28" s="336"/>
      <c r="DQ28" s="336"/>
      <c r="DR28" s="336"/>
      <c r="DS28" s="336"/>
      <c r="DT28" s="336"/>
      <c r="DU28" s="336"/>
      <c r="DV28" s="336"/>
      <c r="DW28" s="336"/>
      <c r="DX28" s="336"/>
      <c r="DY28" s="336"/>
      <c r="DZ28" s="336"/>
      <c r="EA28" s="336"/>
      <c r="EB28" s="336"/>
      <c r="EC28" s="336"/>
      <c r="ED28" s="336"/>
      <c r="EE28" s="336"/>
      <c r="EF28" s="336"/>
      <c r="EG28" s="336"/>
      <c r="EH28" s="336"/>
      <c r="EI28" s="336"/>
      <c r="EJ28" s="336"/>
      <c r="EK28" s="336"/>
      <c r="EL28" s="336"/>
      <c r="EM28" s="336"/>
      <c r="EN28" s="336"/>
      <c r="EO28" s="336"/>
      <c r="EP28" s="336"/>
      <c r="EQ28" s="336"/>
      <c r="ER28" s="336"/>
      <c r="ES28" s="336"/>
      <c r="ET28" s="336"/>
      <c r="EU28" s="336"/>
      <c r="EV28" s="336"/>
      <c r="EW28" s="336"/>
      <c r="EX28" s="336"/>
      <c r="EY28" s="336"/>
      <c r="EZ28" s="336"/>
      <c r="FA28" s="336"/>
      <c r="FB28" s="336"/>
      <c r="FC28" s="336"/>
      <c r="FD28" s="336"/>
      <c r="FE28" s="336"/>
      <c r="FF28" s="336"/>
      <c r="FG28" s="336"/>
      <c r="FH28" s="336"/>
      <c r="FI28" s="336"/>
      <c r="FJ28" s="336"/>
      <c r="FK28" s="336"/>
      <c r="FL28" s="336"/>
      <c r="FM28" s="336"/>
      <c r="FN28" s="336"/>
      <c r="FO28" s="336"/>
      <c r="FP28" s="336"/>
      <c r="FQ28" s="336"/>
      <c r="FR28" s="336"/>
      <c r="FS28" s="336"/>
      <c r="FT28" s="336"/>
      <c r="FU28" s="336"/>
      <c r="FV28" s="336"/>
      <c r="FW28" s="336"/>
      <c r="FX28" s="336"/>
      <c r="FY28" s="336"/>
      <c r="FZ28" s="336"/>
      <c r="GA28" s="336"/>
      <c r="GB28" s="336"/>
      <c r="GC28" s="336"/>
      <c r="GD28" s="336"/>
      <c r="GE28" s="336"/>
      <c r="GF28" s="336"/>
      <c r="GG28" s="336"/>
      <c r="GH28" s="336"/>
      <c r="GI28" s="336"/>
      <c r="GJ28" s="336"/>
      <c r="GK28" s="336"/>
      <c r="GL28" s="336"/>
      <c r="GM28" s="336"/>
      <c r="GN28" s="336"/>
      <c r="GO28" s="336"/>
      <c r="GP28" s="336"/>
      <c r="GQ28" s="336"/>
      <c r="GR28" s="336"/>
      <c r="GS28" s="336"/>
      <c r="GT28" s="336"/>
      <c r="GU28" s="336"/>
      <c r="GV28" s="336"/>
      <c r="GW28" s="336"/>
      <c r="GX28" s="336"/>
      <c r="GY28" s="336"/>
      <c r="GZ28" s="336"/>
      <c r="HA28" s="336"/>
      <c r="HB28" s="336"/>
      <c r="HC28" s="336"/>
      <c r="HD28" s="336"/>
      <c r="HE28" s="336"/>
      <c r="HF28" s="336"/>
      <c r="HG28" s="336"/>
      <c r="HH28" s="336"/>
      <c r="HI28" s="336"/>
      <c r="HJ28" s="336"/>
      <c r="HK28" s="336"/>
      <c r="HL28" s="336"/>
      <c r="HM28" s="336"/>
    </row>
    <row r="29" spans="1:221" x14ac:dyDescent="0.25">
      <c r="A29" s="387" t="s">
        <v>97</v>
      </c>
      <c r="B29" s="336"/>
      <c r="C29" s="336"/>
      <c r="D29" s="363">
        <f>IF('Customer Info'!$C$32=TRUE,0,IF($C$15&lt;0,0,IF($C$15&gt;2000,2000,$C$15)))</f>
        <v>0</v>
      </c>
      <c r="E29" s="364" t="s">
        <v>41</v>
      </c>
      <c r="F29" s="365" t="s">
        <v>8</v>
      </c>
      <c r="G29" s="389"/>
      <c r="H29" s="389"/>
      <c r="I29" s="392">
        <f>'Rider Rates'!$B$8</f>
        <v>4.6499999999999996E-3</v>
      </c>
      <c r="J29" s="392">
        <f t="shared" si="0"/>
        <v>4.6499999999999996E-3</v>
      </c>
      <c r="K29" s="367" t="s">
        <v>42</v>
      </c>
      <c r="L29" s="250"/>
      <c r="M29" s="250"/>
      <c r="N29" s="250">
        <f t="shared" si="1"/>
        <v>0</v>
      </c>
      <c r="O29" s="250">
        <f t="shared" si="2"/>
        <v>0</v>
      </c>
      <c r="P29" s="361">
        <f>'Rider Rates'!$D$7</f>
        <v>44531</v>
      </c>
      <c r="Q29" s="386"/>
      <c r="R29" s="383"/>
      <c r="S29" s="377"/>
      <c r="T29" s="378"/>
      <c r="U29" s="336"/>
      <c r="V29" s="379"/>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c r="BW29" s="336"/>
      <c r="BX29" s="336"/>
      <c r="BY29" s="336"/>
      <c r="BZ29" s="336"/>
      <c r="CA29" s="336"/>
      <c r="CB29" s="336"/>
      <c r="CC29" s="336"/>
      <c r="CD29" s="336"/>
      <c r="CE29" s="336"/>
      <c r="CF29" s="336"/>
      <c r="CG29" s="336"/>
      <c r="CH29" s="336"/>
      <c r="CI29" s="336"/>
      <c r="CJ29" s="336"/>
      <c r="CK29" s="336"/>
      <c r="CL29" s="336"/>
      <c r="CM29" s="336"/>
      <c r="CN29" s="336"/>
      <c r="CO29" s="336"/>
      <c r="CP29" s="336"/>
      <c r="CQ29" s="336"/>
      <c r="CR29" s="336"/>
      <c r="CS29" s="336"/>
      <c r="CT29" s="336"/>
      <c r="CU29" s="336"/>
      <c r="CV29" s="336"/>
      <c r="CW29" s="336"/>
      <c r="CX29" s="336"/>
      <c r="CY29" s="336"/>
      <c r="CZ29" s="336"/>
      <c r="DA29" s="336"/>
      <c r="DB29" s="336"/>
      <c r="DC29" s="336"/>
      <c r="DD29" s="336"/>
      <c r="DE29" s="336"/>
      <c r="DF29" s="336"/>
      <c r="DG29" s="336"/>
      <c r="DH29" s="336"/>
      <c r="DI29" s="336"/>
      <c r="DJ29" s="336"/>
      <c r="DK29" s="336"/>
      <c r="DL29" s="336"/>
      <c r="DM29" s="336"/>
      <c r="DN29" s="336"/>
      <c r="DO29" s="336"/>
      <c r="DP29" s="336"/>
      <c r="DQ29" s="336"/>
      <c r="DR29" s="336"/>
      <c r="DS29" s="336"/>
      <c r="DT29" s="336"/>
      <c r="DU29" s="336"/>
      <c r="DV29" s="336"/>
      <c r="DW29" s="336"/>
      <c r="DX29" s="336"/>
      <c r="DY29" s="336"/>
      <c r="DZ29" s="336"/>
      <c r="EA29" s="336"/>
      <c r="EB29" s="336"/>
      <c r="EC29" s="336"/>
      <c r="ED29" s="336"/>
      <c r="EE29" s="336"/>
      <c r="EF29" s="336"/>
      <c r="EG29" s="336"/>
      <c r="EH29" s="336"/>
      <c r="EI29" s="336"/>
      <c r="EJ29" s="336"/>
      <c r="EK29" s="336"/>
      <c r="EL29" s="336"/>
      <c r="EM29" s="336"/>
      <c r="EN29" s="336"/>
      <c r="EO29" s="336"/>
      <c r="EP29" s="336"/>
      <c r="EQ29" s="336"/>
      <c r="ER29" s="336"/>
      <c r="ES29" s="336"/>
      <c r="ET29" s="336"/>
      <c r="EU29" s="336"/>
      <c r="EV29" s="336"/>
      <c r="EW29" s="336"/>
      <c r="EX29" s="336"/>
      <c r="EY29" s="336"/>
      <c r="EZ29" s="336"/>
      <c r="FA29" s="336"/>
      <c r="FB29" s="336"/>
      <c r="FC29" s="336"/>
      <c r="FD29" s="336"/>
      <c r="FE29" s="336"/>
      <c r="FF29" s="336"/>
      <c r="FG29" s="336"/>
      <c r="FH29" s="336"/>
      <c r="FI29" s="336"/>
      <c r="FJ29" s="336"/>
      <c r="FK29" s="336"/>
      <c r="FL29" s="336"/>
      <c r="FM29" s="336"/>
      <c r="FN29" s="336"/>
      <c r="FO29" s="336"/>
      <c r="FP29" s="336"/>
      <c r="FQ29" s="336"/>
      <c r="FR29" s="336"/>
      <c r="FS29" s="336"/>
      <c r="FT29" s="336"/>
      <c r="FU29" s="336"/>
      <c r="FV29" s="336"/>
      <c r="FW29" s="336"/>
      <c r="FX29" s="336"/>
      <c r="FY29" s="336"/>
      <c r="FZ29" s="336"/>
      <c r="GA29" s="336"/>
      <c r="GB29" s="336"/>
      <c r="GC29" s="336"/>
      <c r="GD29" s="336"/>
      <c r="GE29" s="336"/>
      <c r="GF29" s="336"/>
      <c r="GG29" s="336"/>
      <c r="GH29" s="336"/>
      <c r="GI29" s="336"/>
      <c r="GJ29" s="336"/>
      <c r="GK29" s="336"/>
      <c r="GL29" s="336"/>
      <c r="GM29" s="336"/>
      <c r="GN29" s="336"/>
      <c r="GO29" s="336"/>
      <c r="GP29" s="336"/>
      <c r="GQ29" s="336"/>
      <c r="GR29" s="336"/>
      <c r="GS29" s="336"/>
      <c r="GT29" s="336"/>
      <c r="GU29" s="336"/>
      <c r="GV29" s="336"/>
      <c r="GW29" s="336"/>
      <c r="GX29" s="336"/>
      <c r="GY29" s="336"/>
      <c r="GZ29" s="336"/>
      <c r="HA29" s="336"/>
      <c r="HB29" s="336"/>
      <c r="HC29" s="336"/>
      <c r="HD29" s="336"/>
      <c r="HE29" s="336"/>
      <c r="HF29" s="336"/>
      <c r="HG29" s="336"/>
      <c r="HH29" s="336"/>
      <c r="HI29" s="336"/>
      <c r="HJ29" s="336"/>
      <c r="HK29" s="336"/>
      <c r="HL29" s="336"/>
      <c r="HM29" s="336"/>
    </row>
    <row r="30" spans="1:221" x14ac:dyDescent="0.25">
      <c r="A30" s="387" t="s">
        <v>98</v>
      </c>
      <c r="B30" s="336"/>
      <c r="C30" s="336"/>
      <c r="D30" s="363">
        <f>IF('Customer Info'!$C$32=TRUE,0,IF($C$15&lt;=2000,0,IF($C$15=0,0,IF($C$15-2000&gt;13000,13000,$C$15-2000))))</f>
        <v>0</v>
      </c>
      <c r="E30" s="364" t="s">
        <v>41</v>
      </c>
      <c r="F30" s="365" t="s">
        <v>8</v>
      </c>
      <c r="G30" s="389"/>
      <c r="H30" s="389"/>
      <c r="I30" s="392">
        <f>'Rider Rates'!$B$9</f>
        <v>4.1900000000000001E-3</v>
      </c>
      <c r="J30" s="392">
        <f t="shared" si="0"/>
        <v>4.1900000000000001E-3</v>
      </c>
      <c r="K30" s="367" t="s">
        <v>42</v>
      </c>
      <c r="L30" s="250"/>
      <c r="M30" s="250"/>
      <c r="N30" s="250">
        <f t="shared" si="1"/>
        <v>0</v>
      </c>
      <c r="O30" s="250">
        <f t="shared" si="2"/>
        <v>0</v>
      </c>
      <c r="P30" s="361">
        <f>'Rider Rates'!$D$7</f>
        <v>44531</v>
      </c>
      <c r="Q30" s="386"/>
      <c r="R30" s="383"/>
      <c r="S30" s="377"/>
      <c r="T30" s="378"/>
      <c r="U30" s="336"/>
      <c r="V30" s="379"/>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6"/>
      <c r="BI30" s="336"/>
      <c r="BJ30" s="336"/>
      <c r="BK30" s="336"/>
      <c r="BL30" s="336"/>
      <c r="BM30" s="336"/>
      <c r="BN30" s="336"/>
      <c r="BO30" s="336"/>
      <c r="BP30" s="336"/>
      <c r="BQ30" s="336"/>
      <c r="BR30" s="336"/>
      <c r="BS30" s="336"/>
      <c r="BT30" s="336"/>
      <c r="BU30" s="336"/>
      <c r="BV30" s="336"/>
      <c r="BW30" s="336"/>
      <c r="BX30" s="336"/>
      <c r="BY30" s="336"/>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6"/>
      <c r="CZ30" s="336"/>
      <c r="DA30" s="336"/>
      <c r="DB30" s="336"/>
      <c r="DC30" s="336"/>
      <c r="DD30" s="336"/>
      <c r="DE30" s="336"/>
      <c r="DF30" s="336"/>
      <c r="DG30" s="336"/>
      <c r="DH30" s="336"/>
      <c r="DI30" s="336"/>
      <c r="DJ30" s="336"/>
      <c r="DK30" s="336"/>
      <c r="DL30" s="336"/>
      <c r="DM30" s="336"/>
      <c r="DN30" s="336"/>
      <c r="DO30" s="336"/>
      <c r="DP30" s="336"/>
      <c r="DQ30" s="336"/>
      <c r="DR30" s="336"/>
      <c r="DS30" s="336"/>
      <c r="DT30" s="336"/>
      <c r="DU30" s="336"/>
      <c r="DV30" s="336"/>
      <c r="DW30" s="336"/>
      <c r="DX30" s="336"/>
      <c r="DY30" s="336"/>
      <c r="DZ30" s="336"/>
      <c r="EA30" s="336"/>
      <c r="EB30" s="336"/>
      <c r="EC30" s="336"/>
      <c r="ED30" s="336"/>
      <c r="EE30" s="336"/>
      <c r="EF30" s="336"/>
      <c r="EG30" s="336"/>
      <c r="EH30" s="336"/>
      <c r="EI30" s="336"/>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6"/>
      <c r="FU30" s="336"/>
      <c r="FV30" s="336"/>
      <c r="FW30" s="336"/>
      <c r="FX30" s="336"/>
      <c r="FY30" s="336"/>
      <c r="FZ30" s="336"/>
      <c r="GA30" s="336"/>
      <c r="GB30" s="336"/>
      <c r="GC30" s="336"/>
      <c r="GD30" s="336"/>
      <c r="GE30" s="336"/>
      <c r="GF30" s="336"/>
      <c r="GG30" s="336"/>
      <c r="GH30" s="336"/>
      <c r="GI30" s="336"/>
      <c r="GJ30" s="336"/>
      <c r="GK30" s="336"/>
      <c r="GL30" s="336"/>
      <c r="GM30" s="336"/>
      <c r="GN30" s="336"/>
      <c r="GO30" s="336"/>
      <c r="GP30" s="336"/>
      <c r="GQ30" s="336"/>
      <c r="GR30" s="336"/>
      <c r="GS30" s="336"/>
      <c r="GT30" s="336"/>
      <c r="GU30" s="336"/>
      <c r="GV30" s="336"/>
      <c r="GW30" s="336"/>
      <c r="GX30" s="336"/>
      <c r="GY30" s="336"/>
      <c r="GZ30" s="336"/>
      <c r="HA30" s="336"/>
      <c r="HB30" s="336"/>
      <c r="HC30" s="336"/>
      <c r="HD30" s="336"/>
      <c r="HE30" s="336"/>
      <c r="HF30" s="336"/>
      <c r="HG30" s="336"/>
      <c r="HH30" s="336"/>
      <c r="HI30" s="336"/>
      <c r="HJ30" s="336"/>
      <c r="HK30" s="336"/>
      <c r="HL30" s="336"/>
      <c r="HM30" s="336"/>
    </row>
    <row r="31" spans="1:221" x14ac:dyDescent="0.25">
      <c r="A31" s="387" t="s">
        <v>99</v>
      </c>
      <c r="B31" s="336"/>
      <c r="C31" s="336"/>
      <c r="D31" s="363">
        <f>IF('Customer Info'!$C$32=TRUE,0,IF($C$15=0,0,IF($C$15-15000&gt;=0,$C$15-15000,0)))</f>
        <v>0</v>
      </c>
      <c r="E31" s="364" t="s">
        <v>41</v>
      </c>
      <c r="F31" s="365" t="s">
        <v>8</v>
      </c>
      <c r="G31" s="389"/>
      <c r="H31" s="389"/>
      <c r="I31" s="392">
        <f>'Rider Rates'!$B$10</f>
        <v>3.63E-3</v>
      </c>
      <c r="J31" s="392">
        <f t="shared" si="0"/>
        <v>3.63E-3</v>
      </c>
      <c r="K31" s="367" t="s">
        <v>42</v>
      </c>
      <c r="L31" s="250"/>
      <c r="M31" s="250"/>
      <c r="N31" s="250">
        <f t="shared" si="1"/>
        <v>0</v>
      </c>
      <c r="O31" s="250">
        <f t="shared" si="2"/>
        <v>0</v>
      </c>
      <c r="P31" s="361">
        <f>'Rider Rates'!$D$7</f>
        <v>44531</v>
      </c>
      <c r="Q31" s="386"/>
      <c r="R31" s="383"/>
      <c r="S31" s="377"/>
      <c r="T31" s="378"/>
      <c r="U31" s="336"/>
      <c r="V31" s="379"/>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6"/>
      <c r="CN31" s="336"/>
      <c r="CO31" s="336"/>
      <c r="CP31" s="336"/>
      <c r="CQ31" s="336"/>
      <c r="CR31" s="336"/>
      <c r="CS31" s="336"/>
      <c r="CT31" s="336"/>
      <c r="CU31" s="336"/>
      <c r="CV31" s="336"/>
      <c r="CW31" s="336"/>
      <c r="CX31" s="336"/>
      <c r="CY31" s="336"/>
      <c r="CZ31" s="336"/>
      <c r="DA31" s="336"/>
      <c r="DB31" s="336"/>
      <c r="DC31" s="336"/>
      <c r="DD31" s="336"/>
      <c r="DE31" s="336"/>
      <c r="DF31" s="336"/>
      <c r="DG31" s="336"/>
      <c r="DH31" s="336"/>
      <c r="DI31" s="336"/>
      <c r="DJ31" s="336"/>
      <c r="DK31" s="336"/>
      <c r="DL31" s="336"/>
      <c r="DM31" s="336"/>
      <c r="DN31" s="336"/>
      <c r="DO31" s="336"/>
      <c r="DP31" s="336"/>
      <c r="DQ31" s="336"/>
      <c r="DR31" s="336"/>
      <c r="DS31" s="336"/>
      <c r="DT31" s="336"/>
      <c r="DU31" s="336"/>
      <c r="DV31" s="336"/>
      <c r="DW31" s="336"/>
      <c r="DX31" s="336"/>
      <c r="DY31" s="336"/>
      <c r="DZ31" s="336"/>
      <c r="EA31" s="336"/>
      <c r="EB31" s="336"/>
      <c r="EC31" s="336"/>
      <c r="ED31" s="336"/>
      <c r="EE31" s="336"/>
      <c r="EF31" s="336"/>
      <c r="EG31" s="336"/>
      <c r="EH31" s="336"/>
      <c r="EI31" s="336"/>
      <c r="EJ31" s="336"/>
      <c r="EK31" s="336"/>
      <c r="EL31" s="336"/>
      <c r="EM31" s="336"/>
      <c r="EN31" s="336"/>
      <c r="EO31" s="336"/>
      <c r="EP31" s="336"/>
      <c r="EQ31" s="336"/>
      <c r="ER31" s="336"/>
      <c r="ES31" s="336"/>
      <c r="ET31" s="336"/>
      <c r="EU31" s="336"/>
      <c r="EV31" s="336"/>
      <c r="EW31" s="336"/>
      <c r="EX31" s="336"/>
      <c r="EY31" s="336"/>
      <c r="EZ31" s="336"/>
      <c r="FA31" s="336"/>
      <c r="FB31" s="336"/>
      <c r="FC31" s="336"/>
      <c r="FD31" s="336"/>
      <c r="FE31" s="336"/>
      <c r="FF31" s="336"/>
      <c r="FG31" s="336"/>
      <c r="FH31" s="336"/>
      <c r="FI31" s="336"/>
      <c r="FJ31" s="336"/>
      <c r="FK31" s="336"/>
      <c r="FL31" s="336"/>
      <c r="FM31" s="336"/>
      <c r="FN31" s="336"/>
      <c r="FO31" s="336"/>
      <c r="FP31" s="336"/>
      <c r="FQ31" s="336"/>
      <c r="FR31" s="336"/>
      <c r="FS31" s="336"/>
      <c r="FT31" s="336"/>
      <c r="FU31" s="336"/>
      <c r="FV31" s="336"/>
      <c r="FW31" s="336"/>
      <c r="FX31" s="336"/>
      <c r="FY31" s="336"/>
      <c r="FZ31" s="336"/>
      <c r="GA31" s="336"/>
      <c r="GB31" s="336"/>
      <c r="GC31" s="336"/>
      <c r="GD31" s="336"/>
      <c r="GE31" s="336"/>
      <c r="GF31" s="336"/>
      <c r="GG31" s="336"/>
      <c r="GH31" s="336"/>
      <c r="GI31" s="336"/>
      <c r="GJ31" s="336"/>
      <c r="GK31" s="336"/>
      <c r="GL31" s="336"/>
      <c r="GM31" s="336"/>
      <c r="GN31" s="336"/>
      <c r="GO31" s="336"/>
      <c r="GP31" s="336"/>
      <c r="GQ31" s="336"/>
      <c r="GR31" s="336"/>
      <c r="GS31" s="336"/>
      <c r="GT31" s="336"/>
      <c r="GU31" s="336"/>
      <c r="GV31" s="336"/>
      <c r="GW31" s="336"/>
      <c r="GX31" s="336"/>
      <c r="GY31" s="336"/>
      <c r="GZ31" s="336"/>
      <c r="HA31" s="336"/>
      <c r="HB31" s="336"/>
      <c r="HC31" s="336"/>
      <c r="HD31" s="336"/>
      <c r="HE31" s="336"/>
      <c r="HF31" s="336"/>
      <c r="HG31" s="336"/>
      <c r="HH31" s="336"/>
      <c r="HI31" s="336"/>
      <c r="HJ31" s="336"/>
      <c r="HK31" s="336"/>
      <c r="HL31" s="336"/>
      <c r="HM31" s="336"/>
    </row>
    <row r="32" spans="1:221" x14ac:dyDescent="0.25">
      <c r="A32" s="395" t="s">
        <v>159</v>
      </c>
      <c r="B32" s="336"/>
      <c r="C32" s="336"/>
      <c r="D32" s="363">
        <f>IF($C$15&lt;0,0,$C$15)</f>
        <v>0</v>
      </c>
      <c r="E32" s="364" t="s">
        <v>41</v>
      </c>
      <c r="F32" s="365" t="s">
        <v>8</v>
      </c>
      <c r="G32" s="389"/>
      <c r="H32" s="389"/>
      <c r="I32" s="389">
        <f>'Rider Rates'!$B$16</f>
        <v>0</v>
      </c>
      <c r="J32" s="389">
        <f>SUM(G32:I32)</f>
        <v>0</v>
      </c>
      <c r="K32" s="367" t="s">
        <v>42</v>
      </c>
      <c r="L32" s="250"/>
      <c r="M32" s="250"/>
      <c r="N32" s="250">
        <f t="shared" si="1"/>
        <v>0</v>
      </c>
      <c r="O32" s="250">
        <f t="shared" si="2"/>
        <v>0</v>
      </c>
      <c r="P32" s="361">
        <f>'Rider Rates'!$D$16</f>
        <v>45322</v>
      </c>
      <c r="Q32" s="386"/>
      <c r="R32" s="383"/>
      <c r="S32" s="377"/>
      <c r="T32" s="378"/>
      <c r="U32" s="336"/>
      <c r="V32" s="379"/>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c r="BE32" s="336"/>
      <c r="BF32" s="336"/>
      <c r="BG32" s="336"/>
      <c r="BH32" s="336"/>
      <c r="BI32" s="336"/>
      <c r="BJ32" s="336"/>
      <c r="BK32" s="336"/>
      <c r="BL32" s="336"/>
      <c r="BM32" s="336"/>
      <c r="BN32" s="336"/>
      <c r="BO32" s="336"/>
      <c r="BP32" s="336"/>
      <c r="BQ32" s="336"/>
      <c r="BR32" s="336"/>
      <c r="BS32" s="336"/>
      <c r="BT32" s="336"/>
      <c r="BU32" s="336"/>
      <c r="BV32" s="336"/>
      <c r="BW32" s="336"/>
      <c r="BX32" s="336"/>
      <c r="BY32" s="336"/>
      <c r="BZ32" s="336"/>
      <c r="CA32" s="336"/>
      <c r="CB32" s="336"/>
      <c r="CC32" s="336"/>
      <c r="CD32" s="336"/>
      <c r="CE32" s="336"/>
      <c r="CF32" s="336"/>
      <c r="CG32" s="336"/>
      <c r="CH32" s="336"/>
      <c r="CI32" s="336"/>
      <c r="CJ32" s="336"/>
      <c r="CK32" s="336"/>
      <c r="CL32" s="336"/>
      <c r="CM32" s="336"/>
      <c r="CN32" s="336"/>
      <c r="CO32" s="336"/>
      <c r="CP32" s="336"/>
      <c r="CQ32" s="336"/>
      <c r="CR32" s="336"/>
      <c r="CS32" s="336"/>
      <c r="CT32" s="336"/>
      <c r="CU32" s="336"/>
      <c r="CV32" s="336"/>
      <c r="CW32" s="336"/>
      <c r="CX32" s="336"/>
      <c r="CY32" s="336"/>
      <c r="CZ32" s="336"/>
      <c r="DA32" s="336"/>
      <c r="DB32" s="336"/>
      <c r="DC32" s="336"/>
      <c r="DD32" s="336"/>
      <c r="DE32" s="336"/>
      <c r="DF32" s="336"/>
      <c r="DG32" s="336"/>
      <c r="DH32" s="336"/>
      <c r="DI32" s="336"/>
      <c r="DJ32" s="336"/>
      <c r="DK32" s="336"/>
      <c r="DL32" s="336"/>
      <c r="DM32" s="336"/>
      <c r="DN32" s="336"/>
      <c r="DO32" s="336"/>
      <c r="DP32" s="336"/>
      <c r="DQ32" s="336"/>
      <c r="DR32" s="336"/>
      <c r="DS32" s="336"/>
      <c r="DT32" s="336"/>
      <c r="DU32" s="336"/>
      <c r="DV32" s="336"/>
      <c r="DW32" s="336"/>
      <c r="DX32" s="336"/>
      <c r="DY32" s="336"/>
      <c r="DZ32" s="336"/>
      <c r="EA32" s="336"/>
      <c r="EB32" s="336"/>
      <c r="EC32" s="336"/>
      <c r="ED32" s="336"/>
      <c r="EE32" s="336"/>
      <c r="EF32" s="336"/>
      <c r="EG32" s="336"/>
      <c r="EH32" s="336"/>
      <c r="EI32" s="336"/>
      <c r="EJ32" s="336"/>
      <c r="EK32" s="336"/>
      <c r="EL32" s="336"/>
      <c r="EM32" s="336"/>
      <c r="EN32" s="336"/>
      <c r="EO32" s="336"/>
      <c r="EP32" s="336"/>
      <c r="EQ32" s="336"/>
      <c r="ER32" s="336"/>
      <c r="ES32" s="336"/>
      <c r="ET32" s="336"/>
      <c r="EU32" s="336"/>
      <c r="EV32" s="336"/>
      <c r="EW32" s="336"/>
      <c r="EX32" s="336"/>
      <c r="EY32" s="336"/>
      <c r="EZ32" s="336"/>
      <c r="FA32" s="336"/>
      <c r="FB32" s="336"/>
      <c r="FC32" s="336"/>
      <c r="FD32" s="336"/>
      <c r="FE32" s="336"/>
      <c r="FF32" s="336"/>
      <c r="FG32" s="336"/>
      <c r="FH32" s="336"/>
      <c r="FI32" s="336"/>
      <c r="FJ32" s="336"/>
      <c r="FK32" s="336"/>
      <c r="FL32" s="336"/>
      <c r="FM32" s="336"/>
      <c r="FN32" s="336"/>
      <c r="FO32" s="336"/>
      <c r="FP32" s="336"/>
      <c r="FQ32" s="336"/>
      <c r="FR32" s="336"/>
      <c r="FS32" s="336"/>
      <c r="FT32" s="336"/>
      <c r="FU32" s="336"/>
      <c r="FV32" s="336"/>
      <c r="FW32" s="336"/>
      <c r="FX32" s="336"/>
      <c r="FY32" s="336"/>
      <c r="FZ32" s="336"/>
      <c r="GA32" s="336"/>
      <c r="GB32" s="336"/>
      <c r="GC32" s="336"/>
      <c r="GD32" s="336"/>
      <c r="GE32" s="336"/>
      <c r="GF32" s="336"/>
      <c r="GG32" s="336"/>
      <c r="GH32" s="336"/>
      <c r="GI32" s="336"/>
      <c r="GJ32" s="336"/>
      <c r="GK32" s="336"/>
      <c r="GL32" s="336"/>
      <c r="GM32" s="336"/>
      <c r="GN32" s="336"/>
      <c r="GO32" s="336"/>
      <c r="GP32" s="336"/>
      <c r="GQ32" s="336"/>
      <c r="GR32" s="336"/>
      <c r="GS32" s="336"/>
      <c r="GT32" s="336"/>
      <c r="GU32" s="336"/>
      <c r="GV32" s="336"/>
      <c r="GW32" s="336"/>
      <c r="GX32" s="336"/>
      <c r="GY32" s="336"/>
      <c r="GZ32" s="336"/>
      <c r="HA32" s="336"/>
      <c r="HB32" s="336"/>
      <c r="HC32" s="336"/>
      <c r="HD32" s="336"/>
      <c r="HE32" s="336"/>
      <c r="HF32" s="336"/>
      <c r="HG32" s="336"/>
      <c r="HH32" s="336"/>
      <c r="HI32" s="336"/>
      <c r="HJ32" s="336"/>
      <c r="HK32" s="336"/>
      <c r="HL32" s="336"/>
      <c r="HM32" s="336"/>
    </row>
    <row r="33" spans="1:221" x14ac:dyDescent="0.25">
      <c r="A33" s="395" t="s">
        <v>237</v>
      </c>
      <c r="B33" s="336"/>
      <c r="C33" s="336"/>
      <c r="D33" s="393">
        <f>$N$23</f>
        <v>825</v>
      </c>
      <c r="E33" s="364" t="s">
        <v>122</v>
      </c>
      <c r="F33" s="365" t="s">
        <v>8</v>
      </c>
      <c r="G33" s="389"/>
      <c r="H33" s="389"/>
      <c r="I33" s="394">
        <f>'Rider Rates'!$B$18+'Rider Rates'!$E$18</f>
        <v>0</v>
      </c>
      <c r="J33" s="394">
        <f>SUM(G33:I33)</f>
        <v>0</v>
      </c>
      <c r="K33" s="367"/>
      <c r="L33" s="250"/>
      <c r="M33" s="250"/>
      <c r="N33" s="250">
        <f>ROUND($D$33*'Rider Rates'!$B$18,2)+ROUND($D$33*'Rider Rates'!$E$18,2)</f>
        <v>0</v>
      </c>
      <c r="O33" s="250">
        <f t="shared" si="2"/>
        <v>0</v>
      </c>
      <c r="P33" s="361">
        <f>MAX('Rider Rates'!$D$18,'Rider Rates'!$F$18)</f>
        <v>44531</v>
      </c>
      <c r="Q33" s="386"/>
      <c r="R33" s="383"/>
      <c r="S33" s="377"/>
      <c r="T33" s="378"/>
      <c r="U33" s="336"/>
      <c r="V33" s="379"/>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c r="BE33" s="336"/>
      <c r="BF33" s="336"/>
      <c r="BG33" s="336"/>
      <c r="BH33" s="336"/>
      <c r="BI33" s="336"/>
      <c r="BJ33" s="336"/>
      <c r="BK33" s="336"/>
      <c r="BL33" s="336"/>
      <c r="BM33" s="336"/>
      <c r="BN33" s="336"/>
      <c r="BO33" s="336"/>
      <c r="BP33" s="336"/>
      <c r="BQ33" s="336"/>
      <c r="BR33" s="336"/>
      <c r="BS33" s="336"/>
      <c r="BT33" s="336"/>
      <c r="BU33" s="336"/>
      <c r="BV33" s="336"/>
      <c r="BW33" s="336"/>
      <c r="BX33" s="336"/>
      <c r="BY33" s="336"/>
      <c r="BZ33" s="336"/>
      <c r="CA33" s="336"/>
      <c r="CB33" s="336"/>
      <c r="CC33" s="336"/>
      <c r="CD33" s="336"/>
      <c r="CE33" s="336"/>
      <c r="CF33" s="336"/>
      <c r="CG33" s="336"/>
      <c r="CH33" s="336"/>
      <c r="CI33" s="336"/>
      <c r="CJ33" s="336"/>
      <c r="CK33" s="336"/>
      <c r="CL33" s="336"/>
      <c r="CM33" s="336"/>
      <c r="CN33" s="336"/>
      <c r="CO33" s="336"/>
      <c r="CP33" s="336"/>
      <c r="CQ33" s="336"/>
      <c r="CR33" s="336"/>
      <c r="CS33" s="336"/>
      <c r="CT33" s="336"/>
      <c r="CU33" s="336"/>
      <c r="CV33" s="336"/>
      <c r="CW33" s="336"/>
      <c r="CX33" s="336"/>
      <c r="CY33" s="336"/>
      <c r="CZ33" s="336"/>
      <c r="DA33" s="336"/>
      <c r="DB33" s="336"/>
      <c r="DC33" s="336"/>
      <c r="DD33" s="336"/>
      <c r="DE33" s="336"/>
      <c r="DF33" s="336"/>
      <c r="DG33" s="336"/>
      <c r="DH33" s="336"/>
      <c r="DI33" s="336"/>
      <c r="DJ33" s="336"/>
      <c r="DK33" s="336"/>
      <c r="DL33" s="336"/>
      <c r="DM33" s="336"/>
      <c r="DN33" s="336"/>
      <c r="DO33" s="336"/>
      <c r="DP33" s="336"/>
      <c r="DQ33" s="336"/>
      <c r="DR33" s="336"/>
      <c r="DS33" s="336"/>
      <c r="DT33" s="336"/>
      <c r="DU33" s="336"/>
      <c r="DV33" s="336"/>
      <c r="DW33" s="336"/>
      <c r="DX33" s="336"/>
      <c r="DY33" s="336"/>
      <c r="DZ33" s="336"/>
      <c r="EA33" s="336"/>
      <c r="EB33" s="336"/>
      <c r="EC33" s="336"/>
      <c r="ED33" s="336"/>
      <c r="EE33" s="336"/>
      <c r="EF33" s="336"/>
      <c r="EG33" s="336"/>
      <c r="EH33" s="336"/>
      <c r="EI33" s="336"/>
      <c r="EJ33" s="336"/>
      <c r="EK33" s="336"/>
      <c r="EL33" s="336"/>
      <c r="EM33" s="336"/>
      <c r="EN33" s="336"/>
      <c r="EO33" s="336"/>
      <c r="EP33" s="336"/>
      <c r="EQ33" s="336"/>
      <c r="ER33" s="336"/>
      <c r="ES33" s="336"/>
      <c r="ET33" s="336"/>
      <c r="EU33" s="336"/>
      <c r="EV33" s="336"/>
      <c r="EW33" s="336"/>
      <c r="EX33" s="336"/>
      <c r="EY33" s="336"/>
      <c r="EZ33" s="336"/>
      <c r="FA33" s="336"/>
      <c r="FB33" s="336"/>
      <c r="FC33" s="336"/>
      <c r="FD33" s="336"/>
      <c r="FE33" s="336"/>
      <c r="FF33" s="336"/>
      <c r="FG33" s="336"/>
      <c r="FH33" s="336"/>
      <c r="FI33" s="336"/>
      <c r="FJ33" s="336"/>
      <c r="FK33" s="336"/>
      <c r="FL33" s="336"/>
      <c r="FM33" s="336"/>
      <c r="FN33" s="336"/>
      <c r="FO33" s="336"/>
      <c r="FP33" s="336"/>
      <c r="FQ33" s="336"/>
      <c r="FR33" s="336"/>
      <c r="FS33" s="336"/>
      <c r="FT33" s="336"/>
      <c r="FU33" s="336"/>
      <c r="FV33" s="336"/>
      <c r="FW33" s="336"/>
      <c r="FX33" s="336"/>
      <c r="FY33" s="336"/>
      <c r="FZ33" s="336"/>
      <c r="GA33" s="336"/>
      <c r="GB33" s="336"/>
      <c r="GC33" s="336"/>
      <c r="GD33" s="336"/>
      <c r="GE33" s="336"/>
      <c r="GF33" s="336"/>
      <c r="GG33" s="336"/>
      <c r="GH33" s="336"/>
      <c r="GI33" s="336"/>
      <c r="GJ33" s="336"/>
      <c r="GK33" s="336"/>
      <c r="GL33" s="336"/>
      <c r="GM33" s="336"/>
      <c r="GN33" s="336"/>
      <c r="GO33" s="336"/>
      <c r="GP33" s="336"/>
      <c r="GQ33" s="336"/>
      <c r="GR33" s="336"/>
      <c r="GS33" s="336"/>
      <c r="GT33" s="336"/>
      <c r="GU33" s="336"/>
      <c r="GV33" s="336"/>
      <c r="GW33" s="336"/>
      <c r="GX33" s="336"/>
      <c r="GY33" s="336"/>
      <c r="GZ33" s="336"/>
      <c r="HA33" s="336"/>
      <c r="HB33" s="336"/>
      <c r="HC33" s="336"/>
      <c r="HD33" s="336"/>
      <c r="HE33" s="336"/>
      <c r="HF33" s="336"/>
      <c r="HG33" s="336"/>
      <c r="HH33" s="336"/>
      <c r="HI33" s="336"/>
      <c r="HJ33" s="336"/>
      <c r="HK33" s="336"/>
      <c r="HL33" s="336"/>
      <c r="HM33" s="336"/>
    </row>
    <row r="34" spans="1:221" x14ac:dyDescent="0.25">
      <c r="A34" s="395" t="s">
        <v>186</v>
      </c>
      <c r="B34" s="336"/>
      <c r="C34" s="336"/>
      <c r="D34" s="363">
        <f>C15</f>
        <v>0</v>
      </c>
      <c r="E34" s="364" t="s">
        <v>41</v>
      </c>
      <c r="F34" s="365" t="s">
        <v>8</v>
      </c>
      <c r="G34" s="389"/>
      <c r="H34" s="389"/>
      <c r="I34" s="389"/>
      <c r="J34" s="396">
        <f>SUM(G34:H34)</f>
        <v>0</v>
      </c>
      <c r="K34" s="367" t="s">
        <v>42</v>
      </c>
      <c r="L34" s="250">
        <f>ROUND(D34*G34,2)</f>
        <v>0</v>
      </c>
      <c r="M34" s="250"/>
      <c r="N34" s="250"/>
      <c r="O34" s="250">
        <f t="shared" si="2"/>
        <v>0</v>
      </c>
      <c r="P34" s="361">
        <f>'Rider Rates'!$D$22</f>
        <v>45444</v>
      </c>
      <c r="Q34" s="386"/>
      <c r="R34" s="383"/>
      <c r="S34" s="377"/>
      <c r="T34" s="378"/>
      <c r="U34" s="336"/>
      <c r="V34" s="379"/>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c r="CD34" s="336"/>
      <c r="CE34" s="336"/>
      <c r="CF34" s="336"/>
      <c r="CG34" s="336"/>
      <c r="CH34" s="336"/>
      <c r="CI34" s="336"/>
      <c r="CJ34" s="336"/>
      <c r="CK34" s="336"/>
      <c r="CL34" s="336"/>
      <c r="CM34" s="336"/>
      <c r="CN34" s="336"/>
      <c r="CO34" s="336"/>
      <c r="CP34" s="336"/>
      <c r="CQ34" s="336"/>
      <c r="CR34" s="336"/>
      <c r="CS34" s="336"/>
      <c r="CT34" s="336"/>
      <c r="CU34" s="336"/>
      <c r="CV34" s="336"/>
      <c r="CW34" s="336"/>
      <c r="CX34" s="336"/>
      <c r="CY34" s="336"/>
      <c r="CZ34" s="336"/>
      <c r="DA34" s="336"/>
      <c r="DB34" s="336"/>
      <c r="DC34" s="336"/>
      <c r="DD34" s="336"/>
      <c r="DE34" s="336"/>
      <c r="DF34" s="336"/>
      <c r="DG34" s="336"/>
      <c r="DH34" s="336"/>
      <c r="DI34" s="336"/>
      <c r="DJ34" s="336"/>
      <c r="DK34" s="336"/>
      <c r="DL34" s="336"/>
      <c r="DM34" s="336"/>
      <c r="DN34" s="336"/>
      <c r="DO34" s="336"/>
      <c r="DP34" s="336"/>
      <c r="DQ34" s="336"/>
      <c r="DR34" s="336"/>
      <c r="DS34" s="336"/>
      <c r="DT34" s="336"/>
      <c r="DU34" s="336"/>
      <c r="DV34" s="336"/>
      <c r="DW34" s="336"/>
      <c r="DX34" s="336"/>
      <c r="DY34" s="336"/>
      <c r="DZ34" s="336"/>
      <c r="EA34" s="336"/>
      <c r="EB34" s="336"/>
      <c r="EC34" s="336"/>
      <c r="ED34" s="336"/>
      <c r="EE34" s="336"/>
      <c r="EF34" s="336"/>
      <c r="EG34" s="336"/>
      <c r="EH34" s="336"/>
      <c r="EI34" s="336"/>
      <c r="EJ34" s="336"/>
      <c r="EK34" s="336"/>
      <c r="EL34" s="336"/>
      <c r="EM34" s="336"/>
      <c r="EN34" s="336"/>
      <c r="EO34" s="336"/>
      <c r="EP34" s="336"/>
      <c r="EQ34" s="336"/>
      <c r="ER34" s="336"/>
      <c r="ES34" s="336"/>
      <c r="ET34" s="336"/>
      <c r="EU34" s="336"/>
      <c r="EV34" s="336"/>
      <c r="EW34" s="336"/>
      <c r="EX34" s="336"/>
      <c r="EY34" s="336"/>
      <c r="EZ34" s="336"/>
      <c r="FA34" s="336"/>
      <c r="FB34" s="336"/>
      <c r="FC34" s="336"/>
      <c r="FD34" s="336"/>
      <c r="FE34" s="336"/>
      <c r="FF34" s="336"/>
      <c r="FG34" s="336"/>
      <c r="FH34" s="336"/>
      <c r="FI34" s="336"/>
      <c r="FJ34" s="336"/>
      <c r="FK34" s="336"/>
      <c r="FL34" s="336"/>
      <c r="FM34" s="336"/>
      <c r="FN34" s="336"/>
      <c r="FO34" s="336"/>
      <c r="FP34" s="336"/>
      <c r="FQ34" s="336"/>
      <c r="FR34" s="336"/>
      <c r="FS34" s="336"/>
      <c r="FT34" s="336"/>
      <c r="FU34" s="336"/>
      <c r="FV34" s="336"/>
      <c r="FW34" s="336"/>
      <c r="FX34" s="336"/>
      <c r="FY34" s="336"/>
      <c r="FZ34" s="336"/>
      <c r="GA34" s="336"/>
      <c r="GB34" s="336"/>
      <c r="GC34" s="336"/>
      <c r="GD34" s="336"/>
      <c r="GE34" s="336"/>
      <c r="GF34" s="336"/>
      <c r="GG34" s="336"/>
      <c r="GH34" s="336"/>
      <c r="GI34" s="336"/>
      <c r="GJ34" s="336"/>
      <c r="GK34" s="336"/>
      <c r="GL34" s="336"/>
      <c r="GM34" s="336"/>
      <c r="GN34" s="336"/>
      <c r="GO34" s="336"/>
      <c r="GP34" s="336"/>
      <c r="GQ34" s="336"/>
      <c r="GR34" s="336"/>
      <c r="GS34" s="336"/>
      <c r="GT34" s="336"/>
      <c r="GU34" s="336"/>
      <c r="GV34" s="336"/>
      <c r="GW34" s="336"/>
      <c r="GX34" s="336"/>
      <c r="GY34" s="336"/>
      <c r="GZ34" s="336"/>
      <c r="HA34" s="336"/>
      <c r="HB34" s="336"/>
      <c r="HC34" s="336"/>
      <c r="HD34" s="336"/>
      <c r="HE34" s="336"/>
      <c r="HF34" s="336"/>
      <c r="HG34" s="336"/>
      <c r="HH34" s="336"/>
      <c r="HI34" s="336"/>
      <c r="HJ34" s="336"/>
      <c r="HK34" s="336"/>
      <c r="HL34" s="336"/>
      <c r="HM34" s="336"/>
    </row>
    <row r="35" spans="1:221" x14ac:dyDescent="0.25">
      <c r="A35" s="395" t="s">
        <v>162</v>
      </c>
      <c r="B35" s="336"/>
      <c r="C35" s="336"/>
      <c r="D35" s="363">
        <f t="shared" ref="D35:D36" si="3">C16</f>
        <v>0</v>
      </c>
      <c r="E35" s="364" t="s">
        <v>41</v>
      </c>
      <c r="F35" s="365" t="s">
        <v>8</v>
      </c>
      <c r="G35" s="389"/>
      <c r="H35" s="389"/>
      <c r="I35" s="389"/>
      <c r="J35" s="396">
        <f>SUM(G35:H35)</f>
        <v>0</v>
      </c>
      <c r="K35" s="367" t="s">
        <v>42</v>
      </c>
      <c r="L35" s="250">
        <f>ROUND(D35*G35,2)</f>
        <v>0</v>
      </c>
      <c r="M35" s="250"/>
      <c r="N35" s="250"/>
      <c r="O35" s="250">
        <f t="shared" si="2"/>
        <v>0</v>
      </c>
      <c r="P35" s="361">
        <f>'Rider Rates'!$D$35</f>
        <v>45444</v>
      </c>
      <c r="Q35" s="386"/>
      <c r="R35" s="383"/>
      <c r="S35" s="377"/>
      <c r="T35" s="378"/>
      <c r="U35" s="336"/>
      <c r="V35" s="379"/>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6"/>
      <c r="CA35" s="336"/>
      <c r="CB35" s="336"/>
      <c r="CC35" s="336"/>
      <c r="CD35" s="336"/>
      <c r="CE35" s="336"/>
      <c r="CF35" s="336"/>
      <c r="CG35" s="336"/>
      <c r="CH35" s="336"/>
      <c r="CI35" s="336"/>
      <c r="CJ35" s="336"/>
      <c r="CK35" s="336"/>
      <c r="CL35" s="336"/>
      <c r="CM35" s="336"/>
      <c r="CN35" s="336"/>
      <c r="CO35" s="336"/>
      <c r="CP35" s="336"/>
      <c r="CQ35" s="336"/>
      <c r="CR35" s="336"/>
      <c r="CS35" s="336"/>
      <c r="CT35" s="336"/>
      <c r="CU35" s="336"/>
      <c r="CV35" s="336"/>
      <c r="CW35" s="336"/>
      <c r="CX35" s="336"/>
      <c r="CY35" s="336"/>
      <c r="CZ35" s="336"/>
      <c r="DA35" s="336"/>
      <c r="DB35" s="336"/>
      <c r="DC35" s="336"/>
      <c r="DD35" s="336"/>
      <c r="DE35" s="336"/>
      <c r="DF35" s="336"/>
      <c r="DG35" s="336"/>
      <c r="DH35" s="336"/>
      <c r="DI35" s="336"/>
      <c r="DJ35" s="336"/>
      <c r="DK35" s="336"/>
      <c r="DL35" s="336"/>
      <c r="DM35" s="336"/>
      <c r="DN35" s="336"/>
      <c r="DO35" s="336"/>
      <c r="DP35" s="336"/>
      <c r="DQ35" s="336"/>
      <c r="DR35" s="336"/>
      <c r="DS35" s="336"/>
      <c r="DT35" s="336"/>
      <c r="DU35" s="336"/>
      <c r="DV35" s="336"/>
      <c r="DW35" s="336"/>
      <c r="DX35" s="336"/>
      <c r="DY35" s="336"/>
      <c r="DZ35" s="336"/>
      <c r="EA35" s="336"/>
      <c r="EB35" s="336"/>
      <c r="EC35" s="336"/>
      <c r="ED35" s="336"/>
      <c r="EE35" s="336"/>
      <c r="EF35" s="336"/>
      <c r="EG35" s="336"/>
      <c r="EH35" s="336"/>
      <c r="EI35" s="336"/>
      <c r="EJ35" s="336"/>
      <c r="EK35" s="336"/>
      <c r="EL35" s="336"/>
      <c r="EM35" s="336"/>
      <c r="EN35" s="336"/>
      <c r="EO35" s="336"/>
      <c r="EP35" s="336"/>
      <c r="EQ35" s="336"/>
      <c r="ER35" s="336"/>
      <c r="ES35" s="336"/>
      <c r="ET35" s="336"/>
      <c r="EU35" s="336"/>
      <c r="EV35" s="336"/>
      <c r="EW35" s="336"/>
      <c r="EX35" s="336"/>
      <c r="EY35" s="336"/>
      <c r="EZ35" s="336"/>
      <c r="FA35" s="336"/>
      <c r="FB35" s="336"/>
      <c r="FC35" s="336"/>
      <c r="FD35" s="336"/>
      <c r="FE35" s="336"/>
      <c r="FF35" s="336"/>
      <c r="FG35" s="336"/>
      <c r="FH35" s="336"/>
      <c r="FI35" s="336"/>
      <c r="FJ35" s="336"/>
      <c r="FK35" s="336"/>
      <c r="FL35" s="336"/>
      <c r="FM35" s="336"/>
      <c r="FN35" s="336"/>
      <c r="FO35" s="336"/>
      <c r="FP35" s="336"/>
      <c r="FQ35" s="336"/>
      <c r="FR35" s="336"/>
      <c r="FS35" s="336"/>
      <c r="FT35" s="336"/>
      <c r="FU35" s="336"/>
      <c r="FV35" s="336"/>
      <c r="FW35" s="336"/>
      <c r="FX35" s="336"/>
      <c r="FY35" s="336"/>
      <c r="FZ35" s="336"/>
      <c r="GA35" s="336"/>
      <c r="GB35" s="336"/>
      <c r="GC35" s="336"/>
      <c r="GD35" s="336"/>
      <c r="GE35" s="336"/>
      <c r="GF35" s="336"/>
      <c r="GG35" s="336"/>
      <c r="GH35" s="336"/>
      <c r="GI35" s="336"/>
      <c r="GJ35" s="336"/>
      <c r="GK35" s="336"/>
      <c r="GL35" s="336"/>
      <c r="GM35" s="336"/>
      <c r="GN35" s="336"/>
      <c r="GO35" s="336"/>
      <c r="GP35" s="336"/>
      <c r="GQ35" s="336"/>
      <c r="GR35" s="336"/>
      <c r="GS35" s="336"/>
      <c r="GT35" s="336"/>
      <c r="GU35" s="336"/>
      <c r="GV35" s="336"/>
      <c r="GW35" s="336"/>
      <c r="GX35" s="336"/>
      <c r="GY35" s="336"/>
      <c r="GZ35" s="336"/>
      <c r="HA35" s="336"/>
      <c r="HB35" s="336"/>
      <c r="HC35" s="336"/>
      <c r="HD35" s="336"/>
      <c r="HE35" s="336"/>
      <c r="HF35" s="336"/>
      <c r="HG35" s="336"/>
      <c r="HH35" s="336"/>
      <c r="HI35" s="336"/>
      <c r="HJ35" s="336"/>
      <c r="HK35" s="336"/>
      <c r="HL35" s="336"/>
      <c r="HM35" s="336"/>
    </row>
    <row r="36" spans="1:221" x14ac:dyDescent="0.25">
      <c r="A36" s="395" t="s">
        <v>219</v>
      </c>
      <c r="B36" s="336"/>
      <c r="C36" s="336"/>
      <c r="D36" s="363">
        <f t="shared" si="3"/>
        <v>0</v>
      </c>
      <c r="E36" s="364" t="s">
        <v>41</v>
      </c>
      <c r="F36" s="358" t="s">
        <v>8</v>
      </c>
      <c r="G36" s="389"/>
      <c r="H36" s="389"/>
      <c r="I36" s="389"/>
      <c r="J36" s="396">
        <f>SUM(G36:H36)</f>
        <v>0</v>
      </c>
      <c r="K36" s="367" t="s">
        <v>42</v>
      </c>
      <c r="L36" s="250">
        <f>ROUND(D36*G36,2)</f>
        <v>0</v>
      </c>
      <c r="M36" s="250"/>
      <c r="N36" s="250"/>
      <c r="O36" s="250">
        <f t="shared" si="2"/>
        <v>0</v>
      </c>
      <c r="P36" s="361">
        <f>'Rider Rates'!D36</f>
        <v>45444</v>
      </c>
      <c r="Q36" s="386"/>
      <c r="R36" s="383"/>
      <c r="S36" s="377"/>
      <c r="T36" s="378"/>
      <c r="U36" s="336"/>
      <c r="V36" s="379"/>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6"/>
      <c r="CA36" s="336"/>
      <c r="CB36" s="336"/>
      <c r="CC36" s="336"/>
      <c r="CD36" s="336"/>
      <c r="CE36" s="336"/>
      <c r="CF36" s="336"/>
      <c r="CG36" s="336"/>
      <c r="CH36" s="336"/>
      <c r="CI36" s="336"/>
      <c r="CJ36" s="336"/>
      <c r="CK36" s="336"/>
      <c r="CL36" s="336"/>
      <c r="CM36" s="336"/>
      <c r="CN36" s="336"/>
      <c r="CO36" s="336"/>
      <c r="CP36" s="336"/>
      <c r="CQ36" s="336"/>
      <c r="CR36" s="336"/>
      <c r="CS36" s="336"/>
      <c r="CT36" s="336"/>
      <c r="CU36" s="336"/>
      <c r="CV36" s="336"/>
      <c r="CW36" s="336"/>
      <c r="CX36" s="336"/>
      <c r="CY36" s="336"/>
      <c r="CZ36" s="336"/>
      <c r="DA36" s="336"/>
      <c r="DB36" s="336"/>
      <c r="DC36" s="336"/>
      <c r="DD36" s="336"/>
      <c r="DE36" s="336"/>
      <c r="DF36" s="336"/>
      <c r="DG36" s="336"/>
      <c r="DH36" s="336"/>
      <c r="DI36" s="336"/>
      <c r="DJ36" s="336"/>
      <c r="DK36" s="336"/>
      <c r="DL36" s="336"/>
      <c r="DM36" s="336"/>
      <c r="DN36" s="336"/>
      <c r="DO36" s="336"/>
      <c r="DP36" s="336"/>
      <c r="DQ36" s="336"/>
      <c r="DR36" s="336"/>
      <c r="DS36" s="336"/>
      <c r="DT36" s="336"/>
      <c r="DU36" s="336"/>
      <c r="DV36" s="336"/>
      <c r="DW36" s="336"/>
      <c r="DX36" s="336"/>
      <c r="DY36" s="336"/>
      <c r="DZ36" s="336"/>
      <c r="EA36" s="336"/>
      <c r="EB36" s="336"/>
      <c r="EC36" s="336"/>
      <c r="ED36" s="336"/>
      <c r="EE36" s="336"/>
      <c r="EF36" s="336"/>
      <c r="EG36" s="336"/>
      <c r="EH36" s="336"/>
      <c r="EI36" s="336"/>
      <c r="EJ36" s="336"/>
      <c r="EK36" s="336"/>
      <c r="EL36" s="336"/>
      <c r="EM36" s="336"/>
      <c r="EN36" s="336"/>
      <c r="EO36" s="336"/>
      <c r="EP36" s="336"/>
      <c r="EQ36" s="336"/>
      <c r="ER36" s="336"/>
      <c r="ES36" s="336"/>
      <c r="ET36" s="336"/>
      <c r="EU36" s="336"/>
      <c r="EV36" s="336"/>
      <c r="EW36" s="336"/>
      <c r="EX36" s="336"/>
      <c r="EY36" s="336"/>
      <c r="EZ36" s="336"/>
      <c r="FA36" s="336"/>
      <c r="FB36" s="336"/>
      <c r="FC36" s="336"/>
      <c r="FD36" s="336"/>
      <c r="FE36" s="336"/>
      <c r="FF36" s="336"/>
      <c r="FG36" s="336"/>
      <c r="FH36" s="336"/>
      <c r="FI36" s="336"/>
      <c r="FJ36" s="336"/>
      <c r="FK36" s="336"/>
      <c r="FL36" s="336"/>
      <c r="FM36" s="336"/>
      <c r="FN36" s="336"/>
      <c r="FO36" s="336"/>
      <c r="FP36" s="336"/>
      <c r="FQ36" s="336"/>
      <c r="FR36" s="336"/>
      <c r="FS36" s="336"/>
      <c r="FT36" s="336"/>
      <c r="FU36" s="336"/>
      <c r="FV36" s="336"/>
      <c r="FW36" s="336"/>
      <c r="FX36" s="336"/>
      <c r="FY36" s="336"/>
      <c r="FZ36" s="336"/>
      <c r="GA36" s="336"/>
      <c r="GB36" s="336"/>
      <c r="GC36" s="336"/>
      <c r="GD36" s="336"/>
      <c r="GE36" s="336"/>
      <c r="GF36" s="336"/>
      <c r="GG36" s="336"/>
      <c r="GH36" s="336"/>
      <c r="GI36" s="336"/>
      <c r="GJ36" s="336"/>
      <c r="GK36" s="336"/>
      <c r="GL36" s="336"/>
      <c r="GM36" s="336"/>
      <c r="GN36" s="336"/>
      <c r="GO36" s="336"/>
      <c r="GP36" s="336"/>
      <c r="GQ36" s="336"/>
      <c r="GR36" s="336"/>
      <c r="GS36" s="336"/>
      <c r="GT36" s="336"/>
      <c r="GU36" s="336"/>
      <c r="GV36" s="336"/>
      <c r="GW36" s="336"/>
      <c r="GX36" s="336"/>
      <c r="GY36" s="336"/>
      <c r="GZ36" s="336"/>
      <c r="HA36" s="336"/>
      <c r="HB36" s="336"/>
      <c r="HC36" s="336"/>
      <c r="HD36" s="336"/>
      <c r="HE36" s="336"/>
      <c r="HF36" s="336"/>
      <c r="HG36" s="336"/>
      <c r="HH36" s="336"/>
      <c r="HI36" s="336"/>
      <c r="HJ36" s="336"/>
      <c r="HK36" s="336"/>
      <c r="HL36" s="336"/>
      <c r="HM36" s="336"/>
    </row>
    <row r="37" spans="1:221" x14ac:dyDescent="0.25">
      <c r="A37" s="395" t="s">
        <v>193</v>
      </c>
      <c r="B37" s="336"/>
      <c r="C37" s="336"/>
      <c r="D37" s="363">
        <f>C16+C17</f>
        <v>0</v>
      </c>
      <c r="E37" s="364" t="s">
        <v>41</v>
      </c>
      <c r="F37" s="365" t="s">
        <v>8</v>
      </c>
      <c r="G37" s="389"/>
      <c r="H37" s="389"/>
      <c r="I37" s="389"/>
      <c r="J37" s="396">
        <f>SUM(G37:H37)</f>
        <v>0</v>
      </c>
      <c r="K37" s="367" t="s">
        <v>42</v>
      </c>
      <c r="L37" s="250">
        <f>ROUND(D37*G37,2)</f>
        <v>0</v>
      </c>
      <c r="M37" s="250"/>
      <c r="N37" s="250"/>
      <c r="O37" s="250">
        <f t="shared" si="2"/>
        <v>0</v>
      </c>
      <c r="P37" s="361">
        <f>'Rider Rates'!$D$45</f>
        <v>45657</v>
      </c>
      <c r="Q37" s="386"/>
      <c r="R37" s="383"/>
      <c r="S37" s="377"/>
      <c r="T37" s="378"/>
      <c r="U37" s="336"/>
      <c r="V37" s="379"/>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36"/>
      <c r="BI37" s="336"/>
      <c r="BJ37" s="336"/>
      <c r="BK37" s="336"/>
      <c r="BL37" s="336"/>
      <c r="BM37" s="336"/>
      <c r="BN37" s="336"/>
      <c r="BO37" s="336"/>
      <c r="BP37" s="336"/>
      <c r="BQ37" s="336"/>
      <c r="BR37" s="336"/>
      <c r="BS37" s="336"/>
      <c r="BT37" s="336"/>
      <c r="BU37" s="336"/>
      <c r="BV37" s="336"/>
      <c r="BW37" s="336"/>
      <c r="BX37" s="336"/>
      <c r="BY37" s="336"/>
      <c r="BZ37" s="336"/>
      <c r="CA37" s="336"/>
      <c r="CB37" s="336"/>
      <c r="CC37" s="336"/>
      <c r="CD37" s="336"/>
      <c r="CE37" s="336"/>
      <c r="CF37" s="336"/>
      <c r="CG37" s="336"/>
      <c r="CH37" s="336"/>
      <c r="CI37" s="336"/>
      <c r="CJ37" s="336"/>
      <c r="CK37" s="336"/>
      <c r="CL37" s="336"/>
      <c r="CM37" s="336"/>
      <c r="CN37" s="336"/>
      <c r="CO37" s="336"/>
      <c r="CP37" s="336"/>
      <c r="CQ37" s="336"/>
      <c r="CR37" s="336"/>
      <c r="CS37" s="336"/>
      <c r="CT37" s="336"/>
      <c r="CU37" s="336"/>
      <c r="CV37" s="336"/>
      <c r="CW37" s="336"/>
      <c r="CX37" s="336"/>
      <c r="CY37" s="336"/>
      <c r="CZ37" s="336"/>
      <c r="DA37" s="336"/>
      <c r="DB37" s="336"/>
      <c r="DC37" s="336"/>
      <c r="DD37" s="336"/>
      <c r="DE37" s="336"/>
      <c r="DF37" s="336"/>
      <c r="DG37" s="336"/>
      <c r="DH37" s="336"/>
      <c r="DI37" s="336"/>
      <c r="DJ37" s="336"/>
      <c r="DK37" s="336"/>
      <c r="DL37" s="336"/>
      <c r="DM37" s="336"/>
      <c r="DN37" s="336"/>
      <c r="DO37" s="336"/>
      <c r="DP37" s="336"/>
      <c r="DQ37" s="336"/>
      <c r="DR37" s="336"/>
      <c r="DS37" s="336"/>
      <c r="DT37" s="336"/>
      <c r="DU37" s="336"/>
      <c r="DV37" s="336"/>
      <c r="DW37" s="336"/>
      <c r="DX37" s="336"/>
      <c r="DY37" s="336"/>
      <c r="DZ37" s="336"/>
      <c r="EA37" s="336"/>
      <c r="EB37" s="336"/>
      <c r="EC37" s="336"/>
      <c r="ED37" s="336"/>
      <c r="EE37" s="336"/>
      <c r="EF37" s="336"/>
      <c r="EG37" s="336"/>
      <c r="EH37" s="336"/>
      <c r="EI37" s="336"/>
      <c r="EJ37" s="336"/>
      <c r="EK37" s="336"/>
      <c r="EL37" s="336"/>
      <c r="EM37" s="336"/>
      <c r="EN37" s="336"/>
      <c r="EO37" s="336"/>
      <c r="EP37" s="336"/>
      <c r="EQ37" s="336"/>
      <c r="ER37" s="336"/>
      <c r="ES37" s="336"/>
      <c r="ET37" s="336"/>
      <c r="EU37" s="336"/>
      <c r="EV37" s="336"/>
      <c r="EW37" s="336"/>
      <c r="EX37" s="336"/>
      <c r="EY37" s="336"/>
      <c r="EZ37" s="336"/>
      <c r="FA37" s="336"/>
      <c r="FB37" s="336"/>
      <c r="FC37" s="336"/>
      <c r="FD37" s="336"/>
      <c r="FE37" s="336"/>
      <c r="FF37" s="336"/>
      <c r="FG37" s="336"/>
      <c r="FH37" s="336"/>
      <c r="FI37" s="336"/>
      <c r="FJ37" s="336"/>
      <c r="FK37" s="336"/>
      <c r="FL37" s="336"/>
      <c r="FM37" s="336"/>
      <c r="FN37" s="336"/>
      <c r="FO37" s="336"/>
      <c r="FP37" s="336"/>
      <c r="FQ37" s="336"/>
      <c r="FR37" s="336"/>
      <c r="FS37" s="336"/>
      <c r="FT37" s="336"/>
      <c r="FU37" s="336"/>
      <c r="FV37" s="336"/>
      <c r="FW37" s="336"/>
      <c r="FX37" s="336"/>
      <c r="FY37" s="336"/>
      <c r="FZ37" s="336"/>
      <c r="GA37" s="336"/>
      <c r="GB37" s="336"/>
      <c r="GC37" s="336"/>
      <c r="GD37" s="336"/>
      <c r="GE37" s="336"/>
      <c r="GF37" s="336"/>
      <c r="GG37" s="336"/>
      <c r="GH37" s="336"/>
      <c r="GI37" s="336"/>
      <c r="GJ37" s="336"/>
      <c r="GK37" s="336"/>
      <c r="GL37" s="336"/>
      <c r="GM37" s="336"/>
      <c r="GN37" s="336"/>
      <c r="GO37" s="336"/>
      <c r="GP37" s="336"/>
      <c r="GQ37" s="336"/>
      <c r="GR37" s="336"/>
      <c r="GS37" s="336"/>
      <c r="GT37" s="336"/>
      <c r="GU37" s="336"/>
      <c r="GV37" s="336"/>
      <c r="GW37" s="336"/>
      <c r="GX37" s="336"/>
      <c r="GY37" s="336"/>
      <c r="GZ37" s="336"/>
      <c r="HA37" s="336"/>
      <c r="HB37" s="336"/>
      <c r="HC37" s="336"/>
      <c r="HD37" s="336"/>
      <c r="HE37" s="336"/>
      <c r="HF37" s="336"/>
      <c r="HG37" s="336"/>
      <c r="HH37" s="336"/>
      <c r="HI37" s="336"/>
      <c r="HJ37" s="336"/>
      <c r="HK37" s="336"/>
      <c r="HL37" s="336"/>
      <c r="HM37" s="336"/>
    </row>
    <row r="38" spans="1:221" x14ac:dyDescent="0.25">
      <c r="A38" s="397" t="s">
        <v>210</v>
      </c>
      <c r="B38" s="336"/>
      <c r="C38" s="336"/>
      <c r="D38" s="363">
        <f>IF($C$15&lt;0,0,IF($C$15&gt;833000,833000,$C$15))</f>
        <v>0</v>
      </c>
      <c r="E38" s="364" t="s">
        <v>41</v>
      </c>
      <c r="F38" s="365" t="s">
        <v>8</v>
      </c>
      <c r="G38" s="389"/>
      <c r="H38" s="389"/>
      <c r="I38" s="389">
        <f>'Rider Rates'!D49</f>
        <v>1.8006999999999999E-3</v>
      </c>
      <c r="J38" s="389">
        <f>SUM(G38:I38)</f>
        <v>1.8006999999999999E-3</v>
      </c>
      <c r="K38" s="367" t="s">
        <v>42</v>
      </c>
      <c r="L38" s="250"/>
      <c r="M38" s="250"/>
      <c r="N38" s="250">
        <f>D38*J38</f>
        <v>0</v>
      </c>
      <c r="O38" s="250">
        <f t="shared" si="2"/>
        <v>0</v>
      </c>
      <c r="P38" s="361">
        <f>'Rider Rates'!E49</f>
        <v>45658</v>
      </c>
      <c r="Q38" s="386"/>
      <c r="R38" s="383"/>
      <c r="S38" s="377"/>
      <c r="T38" s="378"/>
      <c r="U38" s="336"/>
      <c r="V38" s="379"/>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6"/>
      <c r="CT38" s="336"/>
      <c r="CU38" s="336"/>
      <c r="CV38" s="336"/>
      <c r="CW38" s="336"/>
      <c r="CX38" s="336"/>
      <c r="CY38" s="336"/>
      <c r="CZ38" s="336"/>
      <c r="DA38" s="336"/>
      <c r="DB38" s="336"/>
      <c r="DC38" s="336"/>
      <c r="DD38" s="336"/>
      <c r="DE38" s="336"/>
      <c r="DF38" s="336"/>
      <c r="DG38" s="336"/>
      <c r="DH38" s="336"/>
      <c r="DI38" s="336"/>
      <c r="DJ38" s="336"/>
      <c r="DK38" s="336"/>
      <c r="DL38" s="336"/>
      <c r="DM38" s="336"/>
      <c r="DN38" s="336"/>
      <c r="DO38" s="336"/>
      <c r="DP38" s="336"/>
      <c r="DQ38" s="336"/>
      <c r="DR38" s="336"/>
      <c r="DS38" s="336"/>
      <c r="DT38" s="336"/>
      <c r="DU38" s="336"/>
      <c r="DV38" s="336"/>
      <c r="DW38" s="336"/>
      <c r="DX38" s="336"/>
      <c r="DY38" s="336"/>
      <c r="DZ38" s="336"/>
      <c r="EA38" s="336"/>
      <c r="EB38" s="336"/>
      <c r="EC38" s="336"/>
      <c r="ED38" s="336"/>
      <c r="EE38" s="336"/>
      <c r="EF38" s="336"/>
      <c r="EG38" s="336"/>
      <c r="EH38" s="336"/>
      <c r="EI38" s="336"/>
      <c r="EJ38" s="336"/>
      <c r="EK38" s="336"/>
      <c r="EL38" s="336"/>
      <c r="EM38" s="336"/>
      <c r="EN38" s="336"/>
      <c r="EO38" s="336"/>
      <c r="EP38" s="336"/>
      <c r="EQ38" s="336"/>
      <c r="ER38" s="336"/>
      <c r="ES38" s="336"/>
      <c r="ET38" s="336"/>
      <c r="EU38" s="336"/>
      <c r="EV38" s="336"/>
      <c r="EW38" s="336"/>
      <c r="EX38" s="336"/>
      <c r="EY38" s="336"/>
      <c r="EZ38" s="336"/>
      <c r="FA38" s="336"/>
      <c r="FB38" s="336"/>
      <c r="FC38" s="336"/>
      <c r="FD38" s="336"/>
      <c r="FE38" s="336"/>
      <c r="FF38" s="336"/>
      <c r="FG38" s="336"/>
      <c r="FH38" s="336"/>
      <c r="FI38" s="336"/>
      <c r="FJ38" s="336"/>
      <c r="FK38" s="336"/>
      <c r="FL38" s="336"/>
      <c r="FM38" s="336"/>
      <c r="FN38" s="336"/>
      <c r="FO38" s="336"/>
      <c r="FP38" s="336"/>
      <c r="FQ38" s="336"/>
      <c r="FR38" s="336"/>
      <c r="FS38" s="336"/>
      <c r="FT38" s="336"/>
      <c r="FU38" s="336"/>
      <c r="FV38" s="336"/>
      <c r="FW38" s="336"/>
      <c r="FX38" s="336"/>
      <c r="FY38" s="336"/>
      <c r="FZ38" s="336"/>
      <c r="GA38" s="336"/>
      <c r="GB38" s="336"/>
      <c r="GC38" s="336"/>
      <c r="GD38" s="336"/>
      <c r="GE38" s="336"/>
      <c r="GF38" s="336"/>
      <c r="GG38" s="336"/>
      <c r="GH38" s="336"/>
      <c r="GI38" s="336"/>
      <c r="GJ38" s="336"/>
      <c r="GK38" s="336"/>
      <c r="GL38" s="336"/>
      <c r="GM38" s="336"/>
      <c r="GN38" s="336"/>
      <c r="GO38" s="336"/>
      <c r="GP38" s="336"/>
      <c r="GQ38" s="336"/>
      <c r="GR38" s="336"/>
      <c r="GS38" s="336"/>
      <c r="GT38" s="336"/>
      <c r="GU38" s="336"/>
      <c r="GV38" s="336"/>
      <c r="GW38" s="336"/>
      <c r="GX38" s="336"/>
      <c r="GY38" s="336"/>
      <c r="GZ38" s="336"/>
      <c r="HA38" s="336"/>
      <c r="HB38" s="336"/>
      <c r="HC38" s="336"/>
      <c r="HD38" s="336"/>
      <c r="HE38" s="336"/>
      <c r="HF38" s="336"/>
      <c r="HG38" s="336"/>
      <c r="HH38" s="336"/>
      <c r="HI38" s="336"/>
      <c r="HJ38" s="336"/>
      <c r="HK38" s="336"/>
      <c r="HL38" s="336"/>
      <c r="HM38" s="336"/>
    </row>
    <row r="39" spans="1:221" x14ac:dyDescent="0.25">
      <c r="A39" s="395" t="s">
        <v>189</v>
      </c>
      <c r="B39" s="336"/>
      <c r="C39" s="336"/>
      <c r="D39" s="363">
        <f>IF($C$15&lt;0,0,$C$15)</f>
        <v>0</v>
      </c>
      <c r="E39" s="398" t="s">
        <v>41</v>
      </c>
      <c r="F39" s="365" t="s">
        <v>8</v>
      </c>
      <c r="G39" s="389"/>
      <c r="H39" s="389">
        <f>'Rider Rates'!$B$56</f>
        <v>2.3467399999999999E-2</v>
      </c>
      <c r="I39" s="389"/>
      <c r="J39" s="389">
        <f>SUM(G39:I39)</f>
        <v>2.3467399999999999E-2</v>
      </c>
      <c r="K39" s="367" t="s">
        <v>42</v>
      </c>
      <c r="L39" s="250"/>
      <c r="M39" s="250">
        <f>ROUND(D39*H39,2)</f>
        <v>0</v>
      </c>
      <c r="N39" s="399"/>
      <c r="O39" s="250">
        <f t="shared" si="2"/>
        <v>0</v>
      </c>
      <c r="P39" s="361">
        <f>'Rider Rates'!$D$56</f>
        <v>45383</v>
      </c>
      <c r="Q39" s="386"/>
      <c r="R39" s="383"/>
      <c r="S39" s="377"/>
      <c r="T39" s="378"/>
      <c r="U39" s="336"/>
      <c r="V39" s="379"/>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6"/>
      <c r="CT39" s="336"/>
      <c r="CU39" s="336"/>
      <c r="CV39" s="336"/>
      <c r="CW39" s="336"/>
      <c r="CX39" s="336"/>
      <c r="CY39" s="336"/>
      <c r="CZ39" s="336"/>
      <c r="DA39" s="336"/>
      <c r="DB39" s="336"/>
      <c r="DC39" s="336"/>
      <c r="DD39" s="336"/>
      <c r="DE39" s="336"/>
      <c r="DF39" s="336"/>
      <c r="DG39" s="336"/>
      <c r="DH39" s="336"/>
      <c r="DI39" s="336"/>
      <c r="DJ39" s="336"/>
      <c r="DK39" s="336"/>
      <c r="DL39" s="336"/>
      <c r="DM39" s="336"/>
      <c r="DN39" s="336"/>
      <c r="DO39" s="336"/>
      <c r="DP39" s="336"/>
      <c r="DQ39" s="336"/>
      <c r="DR39" s="336"/>
      <c r="DS39" s="336"/>
      <c r="DT39" s="336"/>
      <c r="DU39" s="336"/>
      <c r="DV39" s="336"/>
      <c r="DW39" s="336"/>
      <c r="DX39" s="336"/>
      <c r="DY39" s="336"/>
      <c r="DZ39" s="336"/>
      <c r="EA39" s="336"/>
      <c r="EB39" s="336"/>
      <c r="EC39" s="336"/>
      <c r="ED39" s="336"/>
      <c r="EE39" s="336"/>
      <c r="EF39" s="336"/>
      <c r="EG39" s="336"/>
      <c r="EH39" s="336"/>
      <c r="EI39" s="336"/>
      <c r="EJ39" s="336"/>
      <c r="EK39" s="336"/>
      <c r="EL39" s="336"/>
      <c r="EM39" s="336"/>
      <c r="EN39" s="336"/>
      <c r="EO39" s="336"/>
      <c r="EP39" s="336"/>
      <c r="EQ39" s="336"/>
      <c r="ER39" s="336"/>
      <c r="ES39" s="336"/>
      <c r="ET39" s="336"/>
      <c r="EU39" s="336"/>
      <c r="EV39" s="336"/>
      <c r="EW39" s="336"/>
      <c r="EX39" s="336"/>
      <c r="EY39" s="336"/>
      <c r="EZ39" s="336"/>
      <c r="FA39" s="336"/>
      <c r="FB39" s="336"/>
      <c r="FC39" s="336"/>
      <c r="FD39" s="336"/>
      <c r="FE39" s="336"/>
      <c r="FF39" s="336"/>
      <c r="FG39" s="336"/>
      <c r="FH39" s="336"/>
      <c r="FI39" s="336"/>
      <c r="FJ39" s="336"/>
      <c r="FK39" s="336"/>
      <c r="FL39" s="336"/>
      <c r="FM39" s="336"/>
      <c r="FN39" s="336"/>
      <c r="FO39" s="336"/>
      <c r="FP39" s="336"/>
      <c r="FQ39" s="336"/>
      <c r="FR39" s="336"/>
      <c r="FS39" s="336"/>
      <c r="FT39" s="336"/>
      <c r="FU39" s="336"/>
      <c r="FV39" s="336"/>
      <c r="FW39" s="336"/>
      <c r="FX39" s="336"/>
      <c r="FY39" s="336"/>
      <c r="FZ39" s="336"/>
      <c r="GA39" s="336"/>
      <c r="GB39" s="336"/>
      <c r="GC39" s="336"/>
      <c r="GD39" s="336"/>
      <c r="GE39" s="336"/>
      <c r="GF39" s="336"/>
      <c r="GG39" s="336"/>
      <c r="GH39" s="336"/>
      <c r="GI39" s="336"/>
      <c r="GJ39" s="336"/>
      <c r="GK39" s="336"/>
      <c r="GL39" s="336"/>
      <c r="GM39" s="336"/>
      <c r="GN39" s="336"/>
      <c r="GO39" s="336"/>
      <c r="GP39" s="336"/>
      <c r="GQ39" s="336"/>
      <c r="GR39" s="336"/>
      <c r="GS39" s="336"/>
      <c r="GT39" s="336"/>
      <c r="GU39" s="336"/>
      <c r="GV39" s="336"/>
      <c r="GW39" s="336"/>
      <c r="GX39" s="336"/>
      <c r="GY39" s="336"/>
      <c r="GZ39" s="336"/>
      <c r="HA39" s="336"/>
      <c r="HB39" s="336"/>
      <c r="HC39" s="336"/>
      <c r="HD39" s="336"/>
      <c r="HE39" s="336"/>
      <c r="HF39" s="336"/>
      <c r="HG39" s="336"/>
      <c r="HH39" s="336"/>
      <c r="HI39" s="336"/>
      <c r="HJ39" s="336"/>
      <c r="HK39" s="336"/>
      <c r="HL39" s="336"/>
      <c r="HM39" s="336"/>
    </row>
    <row r="40" spans="1:221" x14ac:dyDescent="0.25">
      <c r="A40" s="387" t="s">
        <v>96</v>
      </c>
      <c r="B40" s="336"/>
      <c r="C40" s="336"/>
      <c r="D40" s="363">
        <f>IF('Customer Info'!C34=TRUE,0,IF($C$15&lt;0,0,$C$15))</f>
        <v>0</v>
      </c>
      <c r="E40" s="364" t="s">
        <v>41</v>
      </c>
      <c r="F40" s="365" t="s">
        <v>8</v>
      </c>
      <c r="G40" s="389"/>
      <c r="H40" s="389"/>
      <c r="I40" s="389">
        <f>'Rider Rates'!$B$70+'Rider Rates'!$C$70</f>
        <v>0</v>
      </c>
      <c r="J40" s="389">
        <f t="shared" si="0"/>
        <v>0</v>
      </c>
      <c r="K40" s="367" t="s">
        <v>42</v>
      </c>
      <c r="L40" s="250"/>
      <c r="M40" s="250"/>
      <c r="N40" s="250">
        <f>ROUND($D$40*'Rider Rates'!$B$70,2)+ROUND($D$40*'Rider Rates'!$C$70,2)</f>
        <v>0</v>
      </c>
      <c r="O40" s="250">
        <f t="shared" si="2"/>
        <v>0</v>
      </c>
      <c r="P40" s="361">
        <f>'Rider Rates'!$D$70</f>
        <v>45444</v>
      </c>
      <c r="Q40" s="386"/>
      <c r="R40" s="383"/>
      <c r="S40" s="377"/>
      <c r="T40" s="378"/>
      <c r="U40" s="336"/>
      <c r="V40" s="379"/>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336"/>
      <c r="CN40" s="336"/>
      <c r="CO40" s="336"/>
      <c r="CP40" s="336"/>
      <c r="CQ40" s="336"/>
      <c r="CR40" s="336"/>
      <c r="CS40" s="336"/>
      <c r="CT40" s="336"/>
      <c r="CU40" s="336"/>
      <c r="CV40" s="336"/>
      <c r="CW40" s="336"/>
      <c r="CX40" s="336"/>
      <c r="CY40" s="336"/>
      <c r="CZ40" s="336"/>
      <c r="DA40" s="336"/>
      <c r="DB40" s="336"/>
      <c r="DC40" s="336"/>
      <c r="DD40" s="336"/>
      <c r="DE40" s="336"/>
      <c r="DF40" s="336"/>
      <c r="DG40" s="336"/>
      <c r="DH40" s="336"/>
      <c r="DI40" s="336"/>
      <c r="DJ40" s="336"/>
      <c r="DK40" s="336"/>
      <c r="DL40" s="336"/>
      <c r="DM40" s="336"/>
      <c r="DN40" s="336"/>
      <c r="DO40" s="336"/>
      <c r="DP40" s="336"/>
      <c r="DQ40" s="336"/>
      <c r="DR40" s="336"/>
      <c r="DS40" s="336"/>
      <c r="DT40" s="336"/>
      <c r="DU40" s="336"/>
      <c r="DV40" s="336"/>
      <c r="DW40" s="336"/>
      <c r="DX40" s="336"/>
      <c r="DY40" s="336"/>
      <c r="DZ40" s="336"/>
      <c r="EA40" s="336"/>
      <c r="EB40" s="336"/>
      <c r="EC40" s="336"/>
      <c r="ED40" s="336"/>
      <c r="EE40" s="336"/>
      <c r="EF40" s="336"/>
      <c r="EG40" s="336"/>
      <c r="EH40" s="336"/>
      <c r="EI40" s="336"/>
      <c r="EJ40" s="336"/>
      <c r="EK40" s="336"/>
      <c r="EL40" s="336"/>
      <c r="EM40" s="336"/>
      <c r="EN40" s="336"/>
      <c r="EO40" s="336"/>
      <c r="EP40" s="336"/>
      <c r="EQ40" s="336"/>
      <c r="ER40" s="336"/>
      <c r="ES40" s="336"/>
      <c r="ET40" s="336"/>
      <c r="EU40" s="336"/>
      <c r="EV40" s="336"/>
      <c r="EW40" s="336"/>
      <c r="EX40" s="336"/>
      <c r="EY40" s="336"/>
      <c r="EZ40" s="336"/>
      <c r="FA40" s="336"/>
      <c r="FB40" s="336"/>
      <c r="FC40" s="336"/>
      <c r="FD40" s="336"/>
      <c r="FE40" s="336"/>
      <c r="FF40" s="336"/>
      <c r="FG40" s="336"/>
      <c r="FH40" s="336"/>
      <c r="FI40" s="336"/>
      <c r="FJ40" s="336"/>
      <c r="FK40" s="336"/>
      <c r="FL40" s="336"/>
      <c r="FM40" s="336"/>
      <c r="FN40" s="336"/>
      <c r="FO40" s="336"/>
      <c r="FP40" s="336"/>
      <c r="FQ40" s="336"/>
      <c r="FR40" s="336"/>
      <c r="FS40" s="336"/>
      <c r="FT40" s="336"/>
      <c r="FU40" s="336"/>
      <c r="FV40" s="336"/>
      <c r="FW40" s="336"/>
      <c r="FX40" s="336"/>
      <c r="FY40" s="336"/>
      <c r="FZ40" s="336"/>
      <c r="GA40" s="336"/>
      <c r="GB40" s="336"/>
      <c r="GC40" s="336"/>
      <c r="GD40" s="336"/>
      <c r="GE40" s="336"/>
      <c r="GF40" s="336"/>
      <c r="GG40" s="336"/>
      <c r="GH40" s="336"/>
      <c r="GI40" s="336"/>
      <c r="GJ40" s="336"/>
      <c r="GK40" s="336"/>
      <c r="GL40" s="336"/>
      <c r="GM40" s="336"/>
      <c r="GN40" s="336"/>
      <c r="GO40" s="336"/>
      <c r="GP40" s="336"/>
      <c r="GQ40" s="336"/>
      <c r="GR40" s="336"/>
      <c r="GS40" s="336"/>
      <c r="GT40" s="336"/>
      <c r="GU40" s="336"/>
      <c r="GV40" s="336"/>
      <c r="GW40" s="336"/>
      <c r="GX40" s="336"/>
      <c r="GY40" s="336"/>
      <c r="GZ40" s="336"/>
      <c r="HA40" s="336"/>
      <c r="HB40" s="336"/>
      <c r="HC40" s="336"/>
      <c r="HD40" s="336"/>
      <c r="HE40" s="336"/>
      <c r="HF40" s="336"/>
      <c r="HG40" s="336"/>
      <c r="HH40" s="336"/>
      <c r="HI40" s="336"/>
      <c r="HJ40" s="336"/>
      <c r="HK40" s="336"/>
      <c r="HL40" s="336"/>
      <c r="HM40" s="336"/>
    </row>
    <row r="41" spans="1:221" x14ac:dyDescent="0.25">
      <c r="A41" s="387" t="s">
        <v>96</v>
      </c>
      <c r="B41" s="336"/>
      <c r="C41" s="336"/>
      <c r="D41" s="363"/>
      <c r="E41" s="364" t="s">
        <v>115</v>
      </c>
      <c r="F41" s="365"/>
      <c r="G41" s="389"/>
      <c r="H41" s="389"/>
      <c r="I41" s="403">
        <f>'Rider Rates'!$B$77</f>
        <v>0</v>
      </c>
      <c r="J41" s="403">
        <f>IF('Customer Info'!C34=TRUE,0,SUM(G41:I41))</f>
        <v>0</v>
      </c>
      <c r="K41" s="367"/>
      <c r="L41" s="250"/>
      <c r="M41" s="250"/>
      <c r="N41" s="250">
        <f>J41</f>
        <v>0</v>
      </c>
      <c r="O41" s="250">
        <f>SUM(L41:N41)</f>
        <v>0</v>
      </c>
      <c r="P41" s="361">
        <f>'Rider Rates'!$D$77</f>
        <v>45444</v>
      </c>
      <c r="Q41" s="386"/>
      <c r="R41" s="383"/>
      <c r="S41" s="377"/>
      <c r="T41" s="378"/>
      <c r="U41" s="336"/>
      <c r="V41" s="379"/>
      <c r="W41" s="336"/>
      <c r="X41" s="336"/>
      <c r="Y41" s="336"/>
      <c r="Z41" s="336"/>
      <c r="AA41" s="336"/>
      <c r="AB41" s="336"/>
      <c r="AC41" s="336"/>
      <c r="AD41" s="336"/>
      <c r="AE41" s="336"/>
      <c r="AF41" s="336"/>
      <c r="AG41" s="336"/>
      <c r="AH41" s="336"/>
      <c r="AI41" s="336"/>
      <c r="AJ41" s="336"/>
      <c r="AK41" s="336"/>
      <c r="AL41" s="336"/>
      <c r="AM41" s="336"/>
      <c r="AN41" s="336"/>
      <c r="AO41" s="336"/>
      <c r="AP41" s="336"/>
      <c r="AQ41" s="336"/>
      <c r="AR41" s="336"/>
      <c r="AS41" s="336"/>
      <c r="AT41" s="336"/>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36"/>
      <c r="BZ41" s="336"/>
      <c r="CA41" s="336"/>
      <c r="CB41" s="336"/>
      <c r="CC41" s="336"/>
      <c r="CD41" s="336"/>
      <c r="CE41" s="336"/>
      <c r="CF41" s="336"/>
      <c r="CG41" s="336"/>
      <c r="CH41" s="336"/>
      <c r="CI41" s="336"/>
      <c r="CJ41" s="336"/>
      <c r="CK41" s="336"/>
      <c r="CL41" s="336"/>
      <c r="CM41" s="336"/>
      <c r="CN41" s="336"/>
      <c r="CO41" s="336"/>
      <c r="CP41" s="336"/>
      <c r="CQ41" s="336"/>
      <c r="CR41" s="336"/>
      <c r="CS41" s="336"/>
      <c r="CT41" s="336"/>
      <c r="CU41" s="336"/>
      <c r="CV41" s="336"/>
      <c r="CW41" s="336"/>
      <c r="CX41" s="336"/>
      <c r="CY41" s="336"/>
      <c r="CZ41" s="336"/>
      <c r="DA41" s="336"/>
      <c r="DB41" s="336"/>
      <c r="DC41" s="336"/>
      <c r="DD41" s="336"/>
      <c r="DE41" s="336"/>
      <c r="DF41" s="336"/>
      <c r="DG41" s="336"/>
      <c r="DH41" s="336"/>
      <c r="DI41" s="336"/>
      <c r="DJ41" s="336"/>
      <c r="DK41" s="336"/>
      <c r="DL41" s="336"/>
      <c r="DM41" s="336"/>
      <c r="DN41" s="336"/>
      <c r="DO41" s="336"/>
      <c r="DP41" s="336"/>
      <c r="DQ41" s="336"/>
      <c r="DR41" s="336"/>
      <c r="DS41" s="336"/>
      <c r="DT41" s="336"/>
      <c r="DU41" s="336"/>
      <c r="DV41" s="336"/>
      <c r="DW41" s="336"/>
      <c r="DX41" s="336"/>
      <c r="DY41" s="336"/>
      <c r="DZ41" s="336"/>
      <c r="EA41" s="336"/>
      <c r="EB41" s="336"/>
      <c r="EC41" s="336"/>
      <c r="ED41" s="336"/>
      <c r="EE41" s="336"/>
      <c r="EF41" s="336"/>
      <c r="EG41" s="336"/>
      <c r="EH41" s="336"/>
      <c r="EI41" s="336"/>
      <c r="EJ41" s="336"/>
      <c r="EK41" s="336"/>
      <c r="EL41" s="336"/>
      <c r="EM41" s="336"/>
      <c r="EN41" s="336"/>
      <c r="EO41" s="336"/>
      <c r="EP41" s="336"/>
      <c r="EQ41" s="336"/>
      <c r="ER41" s="336"/>
      <c r="ES41" s="336"/>
      <c r="ET41" s="336"/>
      <c r="EU41" s="336"/>
      <c r="EV41" s="336"/>
      <c r="EW41" s="336"/>
      <c r="EX41" s="336"/>
      <c r="EY41" s="336"/>
      <c r="EZ41" s="336"/>
      <c r="FA41" s="336"/>
      <c r="FB41" s="336"/>
      <c r="FC41" s="336"/>
      <c r="FD41" s="336"/>
      <c r="FE41" s="336"/>
      <c r="FF41" s="336"/>
      <c r="FG41" s="336"/>
      <c r="FH41" s="336"/>
      <c r="FI41" s="336"/>
      <c r="FJ41" s="336"/>
      <c r="FK41" s="336"/>
      <c r="FL41" s="336"/>
      <c r="FM41" s="336"/>
      <c r="FN41" s="336"/>
      <c r="FO41" s="336"/>
      <c r="FP41" s="336"/>
      <c r="FQ41" s="336"/>
      <c r="FR41" s="336"/>
      <c r="FS41" s="336"/>
      <c r="FT41" s="336"/>
      <c r="FU41" s="336"/>
      <c r="FV41" s="336"/>
      <c r="FW41" s="336"/>
      <c r="FX41" s="336"/>
      <c r="FY41" s="336"/>
      <c r="FZ41" s="336"/>
      <c r="GA41" s="336"/>
      <c r="GB41" s="336"/>
      <c r="GC41" s="336"/>
      <c r="GD41" s="336"/>
      <c r="GE41" s="336"/>
      <c r="GF41" s="336"/>
      <c r="GG41" s="336"/>
      <c r="GH41" s="336"/>
      <c r="GI41" s="336"/>
      <c r="GJ41" s="336"/>
      <c r="GK41" s="336"/>
      <c r="GL41" s="336"/>
      <c r="GM41" s="336"/>
      <c r="GN41" s="336"/>
      <c r="GO41" s="336"/>
      <c r="GP41" s="336"/>
      <c r="GQ41" s="336"/>
      <c r="GR41" s="336"/>
      <c r="GS41" s="336"/>
      <c r="GT41" s="336"/>
      <c r="GU41" s="336"/>
      <c r="GV41" s="336"/>
      <c r="GW41" s="336"/>
      <c r="GX41" s="336"/>
      <c r="GY41" s="336"/>
      <c r="GZ41" s="336"/>
      <c r="HA41" s="336"/>
      <c r="HB41" s="336"/>
      <c r="HC41" s="336"/>
      <c r="HD41" s="336"/>
      <c r="HE41" s="336"/>
      <c r="HF41" s="336"/>
      <c r="HG41" s="336"/>
      <c r="HH41" s="336"/>
      <c r="HI41" s="336"/>
      <c r="HJ41" s="336"/>
      <c r="HK41" s="336"/>
      <c r="HL41" s="336"/>
      <c r="HM41" s="336"/>
    </row>
    <row r="42" spans="1:221" x14ac:dyDescent="0.25">
      <c r="A42" s="387" t="s">
        <v>81</v>
      </c>
      <c r="B42" s="336"/>
      <c r="C42" s="336"/>
      <c r="D42" s="393">
        <f>$N$23</f>
        <v>825</v>
      </c>
      <c r="E42" s="364" t="s">
        <v>122</v>
      </c>
      <c r="F42" s="365" t="s">
        <v>8</v>
      </c>
      <c r="G42" s="400"/>
      <c r="H42" s="356"/>
      <c r="I42" s="401">
        <f>'Rider Rates'!$B$85</f>
        <v>4.94232E-2</v>
      </c>
      <c r="J42" s="401">
        <f t="shared" si="0"/>
        <v>4.94232E-2</v>
      </c>
      <c r="K42" s="367"/>
      <c r="L42" s="250"/>
      <c r="M42" s="250"/>
      <c r="N42" s="250">
        <f>ROUND(D42*I42,2)</f>
        <v>40.770000000000003</v>
      </c>
      <c r="O42" s="250">
        <f t="shared" si="2"/>
        <v>40.770000000000003</v>
      </c>
      <c r="P42" s="361">
        <f>'Rider Rates'!$D$85</f>
        <v>45562</v>
      </c>
      <c r="Q42" s="386"/>
      <c r="R42" s="383"/>
      <c r="S42" s="377"/>
      <c r="T42" s="378"/>
      <c r="U42" s="336"/>
      <c r="V42" s="379"/>
      <c r="W42" s="336"/>
      <c r="X42" s="336"/>
      <c r="Y42" s="336"/>
      <c r="Z42" s="336"/>
      <c r="AA42" s="336"/>
      <c r="AB42" s="336"/>
      <c r="AC42" s="336"/>
      <c r="AD42" s="336"/>
      <c r="AE42" s="336"/>
      <c r="AF42" s="336"/>
      <c r="AG42" s="336"/>
      <c r="AH42" s="336"/>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36"/>
      <c r="CN42" s="336"/>
      <c r="CO42" s="336"/>
      <c r="CP42" s="336"/>
      <c r="CQ42" s="336"/>
      <c r="CR42" s="336"/>
      <c r="CS42" s="336"/>
      <c r="CT42" s="336"/>
      <c r="CU42" s="336"/>
      <c r="CV42" s="336"/>
      <c r="CW42" s="336"/>
      <c r="CX42" s="336"/>
      <c r="CY42" s="336"/>
      <c r="CZ42" s="336"/>
      <c r="DA42" s="336"/>
      <c r="DB42" s="336"/>
      <c r="DC42" s="336"/>
      <c r="DD42" s="336"/>
      <c r="DE42" s="336"/>
      <c r="DF42" s="336"/>
      <c r="DG42" s="336"/>
      <c r="DH42" s="336"/>
      <c r="DI42" s="336"/>
      <c r="DJ42" s="336"/>
      <c r="DK42" s="336"/>
      <c r="DL42" s="336"/>
      <c r="DM42" s="336"/>
      <c r="DN42" s="336"/>
      <c r="DO42" s="336"/>
      <c r="DP42" s="336"/>
      <c r="DQ42" s="336"/>
      <c r="DR42" s="336"/>
      <c r="DS42" s="336"/>
      <c r="DT42" s="336"/>
      <c r="DU42" s="336"/>
      <c r="DV42" s="336"/>
      <c r="DW42" s="336"/>
      <c r="DX42" s="336"/>
      <c r="DY42" s="336"/>
      <c r="DZ42" s="336"/>
      <c r="EA42" s="336"/>
      <c r="EB42" s="336"/>
      <c r="EC42" s="336"/>
      <c r="ED42" s="336"/>
      <c r="EE42" s="336"/>
      <c r="EF42" s="336"/>
      <c r="EG42" s="336"/>
      <c r="EH42" s="336"/>
      <c r="EI42" s="336"/>
      <c r="EJ42" s="336"/>
      <c r="EK42" s="336"/>
      <c r="EL42" s="336"/>
      <c r="EM42" s="336"/>
      <c r="EN42" s="336"/>
      <c r="EO42" s="336"/>
      <c r="EP42" s="336"/>
      <c r="EQ42" s="336"/>
      <c r="ER42" s="336"/>
      <c r="ES42" s="336"/>
      <c r="ET42" s="336"/>
      <c r="EU42" s="336"/>
      <c r="EV42" s="336"/>
      <c r="EW42" s="336"/>
      <c r="EX42" s="336"/>
      <c r="EY42" s="336"/>
      <c r="EZ42" s="336"/>
      <c r="FA42" s="336"/>
      <c r="FB42" s="336"/>
      <c r="FC42" s="336"/>
      <c r="FD42" s="336"/>
      <c r="FE42" s="336"/>
      <c r="FF42" s="336"/>
      <c r="FG42" s="336"/>
      <c r="FH42" s="336"/>
      <c r="FI42" s="336"/>
      <c r="FJ42" s="336"/>
      <c r="FK42" s="336"/>
      <c r="FL42" s="336"/>
      <c r="FM42" s="336"/>
      <c r="FN42" s="336"/>
      <c r="FO42" s="336"/>
      <c r="FP42" s="336"/>
      <c r="FQ42" s="336"/>
      <c r="FR42" s="336"/>
      <c r="FS42" s="336"/>
      <c r="FT42" s="336"/>
      <c r="FU42" s="336"/>
      <c r="FV42" s="336"/>
      <c r="FW42" s="336"/>
      <c r="FX42" s="336"/>
      <c r="FY42" s="336"/>
      <c r="FZ42" s="336"/>
      <c r="GA42" s="336"/>
      <c r="GB42" s="336"/>
      <c r="GC42" s="336"/>
      <c r="GD42" s="336"/>
      <c r="GE42" s="336"/>
      <c r="GF42" s="336"/>
      <c r="GG42" s="336"/>
      <c r="GH42" s="336"/>
      <c r="GI42" s="336"/>
      <c r="GJ42" s="336"/>
      <c r="GK42" s="336"/>
      <c r="GL42" s="336"/>
      <c r="GM42" s="336"/>
      <c r="GN42" s="336"/>
      <c r="GO42" s="336"/>
      <c r="GP42" s="336"/>
      <c r="GQ42" s="336"/>
      <c r="GR42" s="336"/>
      <c r="GS42" s="336"/>
      <c r="GT42" s="336"/>
      <c r="GU42" s="336"/>
      <c r="GV42" s="336"/>
      <c r="GW42" s="336"/>
      <c r="GX42" s="336"/>
      <c r="GY42" s="336"/>
      <c r="GZ42" s="336"/>
      <c r="HA42" s="336"/>
      <c r="HB42" s="336"/>
      <c r="HC42" s="336"/>
      <c r="HD42" s="336"/>
      <c r="HE42" s="336"/>
      <c r="HF42" s="336"/>
      <c r="HG42" s="336"/>
      <c r="HH42" s="336"/>
      <c r="HI42" s="336"/>
      <c r="HJ42" s="336"/>
      <c r="HK42" s="336"/>
      <c r="HL42" s="336"/>
      <c r="HM42" s="336"/>
    </row>
    <row r="43" spans="1:221" x14ac:dyDescent="0.25">
      <c r="A43" s="387" t="s">
        <v>82</v>
      </c>
      <c r="B43" s="336"/>
      <c r="C43" s="336"/>
      <c r="D43" s="393">
        <f>$N$23</f>
        <v>825</v>
      </c>
      <c r="E43" s="364" t="s">
        <v>122</v>
      </c>
      <c r="F43" s="365" t="s">
        <v>8</v>
      </c>
      <c r="G43" s="402"/>
      <c r="H43" s="356"/>
      <c r="I43" s="401">
        <f>'Rider Rates'!$B$87</f>
        <v>6.6985699999999995E-2</v>
      </c>
      <c r="J43" s="401">
        <f t="shared" si="0"/>
        <v>6.6985699999999995E-2</v>
      </c>
      <c r="K43" s="367"/>
      <c r="L43" s="250"/>
      <c r="M43" s="250"/>
      <c r="N43" s="250">
        <f>ROUND(D43*I43,2)</f>
        <v>55.26</v>
      </c>
      <c r="O43" s="250">
        <f t="shared" si="2"/>
        <v>55.26</v>
      </c>
      <c r="P43" s="361">
        <f>'Rider Rates'!$D$87</f>
        <v>45167</v>
      </c>
      <c r="Q43" s="386"/>
      <c r="R43" s="383"/>
      <c r="S43" s="377"/>
      <c r="T43" s="378"/>
      <c r="U43" s="336"/>
      <c r="V43" s="379"/>
      <c r="W43" s="336"/>
      <c r="X43" s="336"/>
      <c r="Y43" s="336"/>
      <c r="Z43" s="336"/>
      <c r="AA43" s="336"/>
      <c r="AB43" s="336"/>
      <c r="AC43" s="336"/>
      <c r="AD43" s="336"/>
      <c r="AE43" s="336"/>
      <c r="AF43" s="336"/>
      <c r="AG43" s="336"/>
      <c r="AH43" s="336"/>
      <c r="AI43" s="336"/>
      <c r="AJ43" s="336"/>
      <c r="AK43" s="336"/>
      <c r="AL43" s="336"/>
      <c r="AM43" s="336"/>
      <c r="AN43" s="336"/>
      <c r="AO43" s="336"/>
      <c r="AP43" s="336"/>
      <c r="AQ43" s="336"/>
      <c r="AR43" s="336"/>
      <c r="AS43" s="336"/>
      <c r="AT43" s="336"/>
      <c r="AU43" s="336"/>
      <c r="AV43" s="336"/>
      <c r="AW43" s="336"/>
      <c r="AX43" s="336"/>
      <c r="AY43" s="336"/>
      <c r="AZ43" s="336"/>
      <c r="BA43" s="336"/>
      <c r="BB43" s="336"/>
      <c r="BC43" s="336"/>
      <c r="BD43" s="336"/>
      <c r="BE43" s="336"/>
      <c r="BF43" s="336"/>
      <c r="BG43" s="336"/>
      <c r="BH43" s="336"/>
      <c r="BI43" s="336"/>
      <c r="BJ43" s="336"/>
      <c r="BK43" s="336"/>
      <c r="BL43" s="336"/>
      <c r="BM43" s="336"/>
      <c r="BN43" s="336"/>
      <c r="BO43" s="336"/>
      <c r="BP43" s="336"/>
      <c r="BQ43" s="336"/>
      <c r="BR43" s="336"/>
      <c r="BS43" s="336"/>
      <c r="BT43" s="336"/>
      <c r="BU43" s="336"/>
      <c r="BV43" s="336"/>
      <c r="BW43" s="336"/>
      <c r="BX43" s="336"/>
      <c r="BY43" s="336"/>
      <c r="BZ43" s="336"/>
      <c r="CA43" s="336"/>
      <c r="CB43" s="336"/>
      <c r="CC43" s="336"/>
      <c r="CD43" s="336"/>
      <c r="CE43" s="336"/>
      <c r="CF43" s="336"/>
      <c r="CG43" s="336"/>
      <c r="CH43" s="336"/>
      <c r="CI43" s="336"/>
      <c r="CJ43" s="336"/>
      <c r="CK43" s="336"/>
      <c r="CL43" s="336"/>
      <c r="CM43" s="336"/>
      <c r="CN43" s="336"/>
      <c r="CO43" s="336"/>
      <c r="CP43" s="336"/>
      <c r="CQ43" s="336"/>
      <c r="CR43" s="336"/>
      <c r="CS43" s="336"/>
      <c r="CT43" s="336"/>
      <c r="CU43" s="336"/>
      <c r="CV43" s="336"/>
      <c r="CW43" s="336"/>
      <c r="CX43" s="336"/>
      <c r="CY43" s="336"/>
      <c r="CZ43" s="336"/>
      <c r="DA43" s="336"/>
      <c r="DB43" s="336"/>
      <c r="DC43" s="336"/>
      <c r="DD43" s="336"/>
      <c r="DE43" s="336"/>
      <c r="DF43" s="336"/>
      <c r="DG43" s="336"/>
      <c r="DH43" s="336"/>
      <c r="DI43" s="336"/>
      <c r="DJ43" s="336"/>
      <c r="DK43" s="336"/>
      <c r="DL43" s="336"/>
      <c r="DM43" s="336"/>
      <c r="DN43" s="336"/>
      <c r="DO43" s="336"/>
      <c r="DP43" s="336"/>
      <c r="DQ43" s="336"/>
      <c r="DR43" s="336"/>
      <c r="DS43" s="336"/>
      <c r="DT43" s="336"/>
      <c r="DU43" s="336"/>
      <c r="DV43" s="336"/>
      <c r="DW43" s="336"/>
      <c r="DX43" s="336"/>
      <c r="DY43" s="336"/>
      <c r="DZ43" s="336"/>
      <c r="EA43" s="336"/>
      <c r="EB43" s="336"/>
      <c r="EC43" s="336"/>
      <c r="ED43" s="336"/>
      <c r="EE43" s="336"/>
      <c r="EF43" s="336"/>
      <c r="EG43" s="336"/>
      <c r="EH43" s="336"/>
      <c r="EI43" s="336"/>
      <c r="EJ43" s="336"/>
      <c r="EK43" s="336"/>
      <c r="EL43" s="336"/>
      <c r="EM43" s="336"/>
      <c r="EN43" s="336"/>
      <c r="EO43" s="336"/>
      <c r="EP43" s="336"/>
      <c r="EQ43" s="336"/>
      <c r="ER43" s="336"/>
      <c r="ES43" s="336"/>
      <c r="ET43" s="336"/>
      <c r="EU43" s="336"/>
      <c r="EV43" s="336"/>
      <c r="EW43" s="336"/>
      <c r="EX43" s="336"/>
      <c r="EY43" s="336"/>
      <c r="EZ43" s="336"/>
      <c r="FA43" s="336"/>
      <c r="FB43" s="336"/>
      <c r="FC43" s="336"/>
      <c r="FD43" s="336"/>
      <c r="FE43" s="336"/>
      <c r="FF43" s="336"/>
      <c r="FG43" s="336"/>
      <c r="FH43" s="336"/>
      <c r="FI43" s="336"/>
      <c r="FJ43" s="336"/>
      <c r="FK43" s="336"/>
      <c r="FL43" s="336"/>
      <c r="FM43" s="336"/>
      <c r="FN43" s="336"/>
      <c r="FO43" s="336"/>
      <c r="FP43" s="336"/>
      <c r="FQ43" s="336"/>
      <c r="FR43" s="336"/>
      <c r="FS43" s="336"/>
      <c r="FT43" s="336"/>
      <c r="FU43" s="336"/>
      <c r="FV43" s="336"/>
      <c r="FW43" s="336"/>
      <c r="FX43" s="336"/>
      <c r="FY43" s="336"/>
      <c r="FZ43" s="336"/>
      <c r="GA43" s="336"/>
      <c r="GB43" s="336"/>
      <c r="GC43" s="336"/>
      <c r="GD43" s="336"/>
      <c r="GE43" s="336"/>
      <c r="GF43" s="336"/>
      <c r="GG43" s="336"/>
      <c r="GH43" s="336"/>
      <c r="GI43" s="336"/>
      <c r="GJ43" s="336"/>
      <c r="GK43" s="336"/>
      <c r="GL43" s="336"/>
      <c r="GM43" s="336"/>
      <c r="GN43" s="336"/>
      <c r="GO43" s="336"/>
      <c r="GP43" s="336"/>
      <c r="GQ43" s="336"/>
      <c r="GR43" s="336"/>
      <c r="GS43" s="336"/>
      <c r="GT43" s="336"/>
      <c r="GU43" s="336"/>
      <c r="GV43" s="336"/>
      <c r="GW43" s="336"/>
      <c r="GX43" s="336"/>
      <c r="GY43" s="336"/>
      <c r="GZ43" s="336"/>
      <c r="HA43" s="336"/>
      <c r="HB43" s="336"/>
      <c r="HC43" s="336"/>
      <c r="HD43" s="336"/>
      <c r="HE43" s="336"/>
      <c r="HF43" s="336"/>
      <c r="HG43" s="336"/>
      <c r="HH43" s="336"/>
      <c r="HI43" s="336"/>
      <c r="HJ43" s="336"/>
      <c r="HK43" s="336"/>
      <c r="HL43" s="336"/>
      <c r="HM43" s="336"/>
    </row>
    <row r="44" spans="1:221" x14ac:dyDescent="0.25">
      <c r="A44" s="395" t="s">
        <v>206</v>
      </c>
      <c r="B44" s="336"/>
      <c r="C44" s="336"/>
      <c r="D44" s="393"/>
      <c r="E44" s="398" t="s">
        <v>115</v>
      </c>
      <c r="F44" s="386"/>
      <c r="G44" s="402"/>
      <c r="H44" s="356"/>
      <c r="I44" s="403">
        <f>'Rider Rates'!$B$91</f>
        <v>17.53</v>
      </c>
      <c r="J44" s="403">
        <f t="shared" si="0"/>
        <v>17.53</v>
      </c>
      <c r="K44" s="367"/>
      <c r="L44" s="250"/>
      <c r="M44" s="250"/>
      <c r="N44" s="250">
        <f>I44</f>
        <v>17.53</v>
      </c>
      <c r="O44" s="250">
        <f t="shared" si="2"/>
        <v>17.53</v>
      </c>
      <c r="P44" s="361">
        <f>'Rider Rates'!$D$91</f>
        <v>45657</v>
      </c>
      <c r="Q44" s="386"/>
      <c r="R44" s="383"/>
      <c r="S44" s="377"/>
      <c r="T44" s="378"/>
      <c r="U44" s="336"/>
      <c r="V44" s="379"/>
      <c r="W44" s="336"/>
      <c r="X44" s="336"/>
      <c r="Y44" s="336"/>
      <c r="Z44" s="336"/>
      <c r="AA44" s="336"/>
      <c r="AB44" s="336"/>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36"/>
      <c r="AY44" s="336"/>
      <c r="AZ44" s="336"/>
      <c r="BA44" s="336"/>
      <c r="BB44" s="336"/>
      <c r="BC44" s="336"/>
      <c r="BD44" s="336"/>
      <c r="BE44" s="336"/>
      <c r="BF44" s="336"/>
      <c r="BG44" s="336"/>
      <c r="BH44" s="336"/>
      <c r="BI44" s="336"/>
      <c r="BJ44" s="336"/>
      <c r="BK44" s="336"/>
      <c r="BL44" s="336"/>
      <c r="BM44" s="336"/>
      <c r="BN44" s="336"/>
      <c r="BO44" s="336"/>
      <c r="BP44" s="336"/>
      <c r="BQ44" s="336"/>
      <c r="BR44" s="336"/>
      <c r="BS44" s="336"/>
      <c r="BT44" s="336"/>
      <c r="BU44" s="336"/>
      <c r="BV44" s="336"/>
      <c r="BW44" s="336"/>
      <c r="BX44" s="336"/>
      <c r="BY44" s="336"/>
      <c r="BZ44" s="336"/>
      <c r="CA44" s="336"/>
      <c r="CB44" s="336"/>
      <c r="CC44" s="336"/>
      <c r="CD44" s="336"/>
      <c r="CE44" s="336"/>
      <c r="CF44" s="336"/>
      <c r="CG44" s="336"/>
      <c r="CH44" s="336"/>
      <c r="CI44" s="336"/>
      <c r="CJ44" s="336"/>
      <c r="CK44" s="336"/>
      <c r="CL44" s="336"/>
      <c r="CM44" s="336"/>
      <c r="CN44" s="336"/>
      <c r="CO44" s="336"/>
      <c r="CP44" s="336"/>
      <c r="CQ44" s="336"/>
      <c r="CR44" s="336"/>
      <c r="CS44" s="336"/>
      <c r="CT44" s="336"/>
      <c r="CU44" s="336"/>
      <c r="CV44" s="336"/>
      <c r="CW44" s="336"/>
      <c r="CX44" s="336"/>
      <c r="CY44" s="336"/>
      <c r="CZ44" s="336"/>
      <c r="DA44" s="336"/>
      <c r="DB44" s="336"/>
      <c r="DC44" s="336"/>
      <c r="DD44" s="336"/>
      <c r="DE44" s="336"/>
      <c r="DF44" s="336"/>
      <c r="DG44" s="336"/>
      <c r="DH44" s="336"/>
      <c r="DI44" s="336"/>
      <c r="DJ44" s="336"/>
      <c r="DK44" s="336"/>
      <c r="DL44" s="336"/>
      <c r="DM44" s="336"/>
      <c r="DN44" s="336"/>
      <c r="DO44" s="336"/>
      <c r="DP44" s="336"/>
      <c r="DQ44" s="336"/>
      <c r="DR44" s="336"/>
      <c r="DS44" s="336"/>
      <c r="DT44" s="336"/>
      <c r="DU44" s="336"/>
      <c r="DV44" s="336"/>
      <c r="DW44" s="336"/>
      <c r="DX44" s="336"/>
      <c r="DY44" s="336"/>
      <c r="DZ44" s="336"/>
      <c r="EA44" s="336"/>
      <c r="EB44" s="336"/>
      <c r="EC44" s="336"/>
      <c r="ED44" s="336"/>
      <c r="EE44" s="336"/>
      <c r="EF44" s="336"/>
      <c r="EG44" s="336"/>
      <c r="EH44" s="336"/>
      <c r="EI44" s="336"/>
      <c r="EJ44" s="336"/>
      <c r="EK44" s="336"/>
      <c r="EL44" s="336"/>
      <c r="EM44" s="336"/>
      <c r="EN44" s="336"/>
      <c r="EO44" s="336"/>
      <c r="EP44" s="336"/>
      <c r="EQ44" s="336"/>
      <c r="ER44" s="336"/>
      <c r="ES44" s="336"/>
      <c r="ET44" s="336"/>
      <c r="EU44" s="336"/>
      <c r="EV44" s="336"/>
      <c r="EW44" s="336"/>
      <c r="EX44" s="336"/>
      <c r="EY44" s="336"/>
      <c r="EZ44" s="336"/>
      <c r="FA44" s="336"/>
      <c r="FB44" s="336"/>
      <c r="FC44" s="336"/>
      <c r="FD44" s="336"/>
      <c r="FE44" s="336"/>
      <c r="FF44" s="336"/>
      <c r="FG44" s="336"/>
      <c r="FH44" s="336"/>
      <c r="FI44" s="336"/>
      <c r="FJ44" s="336"/>
      <c r="FK44" s="336"/>
      <c r="FL44" s="336"/>
      <c r="FM44" s="336"/>
      <c r="FN44" s="336"/>
      <c r="FO44" s="336"/>
      <c r="FP44" s="336"/>
      <c r="FQ44" s="336"/>
      <c r="FR44" s="336"/>
      <c r="FS44" s="336"/>
      <c r="FT44" s="336"/>
      <c r="FU44" s="336"/>
      <c r="FV44" s="336"/>
      <c r="FW44" s="336"/>
      <c r="FX44" s="336"/>
      <c r="FY44" s="336"/>
      <c r="FZ44" s="336"/>
      <c r="GA44" s="336"/>
      <c r="GB44" s="336"/>
      <c r="GC44" s="336"/>
      <c r="GD44" s="336"/>
      <c r="GE44" s="336"/>
      <c r="GF44" s="336"/>
      <c r="GG44" s="336"/>
      <c r="GH44" s="336"/>
      <c r="GI44" s="336"/>
      <c r="GJ44" s="336"/>
      <c r="GK44" s="336"/>
      <c r="GL44" s="336"/>
      <c r="GM44" s="336"/>
      <c r="GN44" s="336"/>
      <c r="GO44" s="336"/>
      <c r="GP44" s="336"/>
      <c r="GQ44" s="336"/>
      <c r="GR44" s="336"/>
      <c r="GS44" s="336"/>
      <c r="GT44" s="336"/>
      <c r="GU44" s="336"/>
      <c r="GV44" s="336"/>
      <c r="GW44" s="336"/>
      <c r="GX44" s="336"/>
      <c r="GY44" s="336"/>
      <c r="GZ44" s="336"/>
      <c r="HA44" s="336"/>
      <c r="HB44" s="336"/>
      <c r="HC44" s="336"/>
      <c r="HD44" s="336"/>
      <c r="HE44" s="336"/>
      <c r="HF44" s="336"/>
      <c r="HG44" s="336"/>
      <c r="HH44" s="336"/>
      <c r="HI44" s="336"/>
      <c r="HJ44" s="336"/>
      <c r="HK44" s="336"/>
      <c r="HL44" s="336"/>
      <c r="HM44" s="336"/>
    </row>
    <row r="45" spans="1:221" x14ac:dyDescent="0.25">
      <c r="A45" s="395" t="s">
        <v>239</v>
      </c>
      <c r="B45" s="336"/>
      <c r="C45" s="336"/>
      <c r="D45" s="363">
        <f>IF($C$15&lt;0,0,$C$15)</f>
        <v>0</v>
      </c>
      <c r="E45" s="364" t="s">
        <v>41</v>
      </c>
      <c r="F45" s="365" t="s">
        <v>8</v>
      </c>
      <c r="G45" s="389"/>
      <c r="H45" s="389"/>
      <c r="I45" s="389"/>
      <c r="J45" s="389">
        <f>'Rider Rates'!$B$95</f>
        <v>0</v>
      </c>
      <c r="K45" s="367" t="s">
        <v>42</v>
      </c>
      <c r="L45" s="250"/>
      <c r="M45" s="250"/>
      <c r="N45" s="250"/>
      <c r="O45" s="250">
        <f>ROUND($D45*('Rider Rates'!B$95),2)</f>
        <v>0</v>
      </c>
      <c r="P45" s="361">
        <f>'Rider Rates'!$D$95</f>
        <v>44531</v>
      </c>
      <c r="Q45" s="386"/>
      <c r="R45" s="383"/>
      <c r="S45" s="377"/>
      <c r="T45" s="378"/>
      <c r="U45" s="336"/>
      <c r="V45" s="379"/>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6"/>
      <c r="AY45" s="336"/>
      <c r="AZ45" s="336"/>
      <c r="BA45" s="336"/>
      <c r="BB45" s="336"/>
      <c r="BC45" s="336"/>
      <c r="BD45" s="336"/>
      <c r="BE45" s="336"/>
      <c r="BF45" s="336"/>
      <c r="BG45" s="336"/>
      <c r="BH45" s="336"/>
      <c r="BI45" s="336"/>
      <c r="BJ45" s="336"/>
      <c r="BK45" s="336"/>
      <c r="BL45" s="336"/>
      <c r="BM45" s="336"/>
      <c r="BN45" s="336"/>
      <c r="BO45" s="336"/>
      <c r="BP45" s="336"/>
      <c r="BQ45" s="336"/>
      <c r="BR45" s="336"/>
      <c r="BS45" s="336"/>
      <c r="BT45" s="336"/>
      <c r="BU45" s="336"/>
      <c r="BV45" s="336"/>
      <c r="BW45" s="336"/>
      <c r="BX45" s="336"/>
      <c r="BY45" s="336"/>
      <c r="BZ45" s="336"/>
      <c r="CA45" s="336"/>
      <c r="CB45" s="336"/>
      <c r="CC45" s="336"/>
      <c r="CD45" s="336"/>
      <c r="CE45" s="336"/>
      <c r="CF45" s="336"/>
      <c r="CG45" s="336"/>
      <c r="CH45" s="336"/>
      <c r="CI45" s="336"/>
      <c r="CJ45" s="336"/>
      <c r="CK45" s="336"/>
      <c r="CL45" s="336"/>
      <c r="CM45" s="336"/>
      <c r="CN45" s="336"/>
      <c r="CO45" s="336"/>
      <c r="CP45" s="336"/>
      <c r="CQ45" s="336"/>
      <c r="CR45" s="336"/>
      <c r="CS45" s="336"/>
      <c r="CT45" s="336"/>
      <c r="CU45" s="336"/>
      <c r="CV45" s="336"/>
      <c r="CW45" s="336"/>
      <c r="CX45" s="336"/>
      <c r="CY45" s="336"/>
      <c r="CZ45" s="336"/>
      <c r="DA45" s="336"/>
      <c r="DB45" s="336"/>
      <c r="DC45" s="336"/>
      <c r="DD45" s="336"/>
      <c r="DE45" s="336"/>
      <c r="DF45" s="336"/>
      <c r="DG45" s="336"/>
      <c r="DH45" s="336"/>
      <c r="DI45" s="336"/>
      <c r="DJ45" s="336"/>
      <c r="DK45" s="336"/>
      <c r="DL45" s="336"/>
      <c r="DM45" s="336"/>
      <c r="DN45" s="336"/>
      <c r="DO45" s="336"/>
      <c r="DP45" s="336"/>
      <c r="DQ45" s="336"/>
      <c r="DR45" s="336"/>
      <c r="DS45" s="336"/>
      <c r="DT45" s="336"/>
      <c r="DU45" s="336"/>
      <c r="DV45" s="336"/>
      <c r="DW45" s="336"/>
      <c r="DX45" s="336"/>
      <c r="DY45" s="336"/>
      <c r="DZ45" s="336"/>
      <c r="EA45" s="336"/>
      <c r="EB45" s="336"/>
      <c r="EC45" s="336"/>
      <c r="ED45" s="336"/>
      <c r="EE45" s="336"/>
      <c r="EF45" s="336"/>
      <c r="EG45" s="336"/>
      <c r="EH45" s="336"/>
      <c r="EI45" s="336"/>
      <c r="EJ45" s="336"/>
      <c r="EK45" s="336"/>
      <c r="EL45" s="336"/>
      <c r="EM45" s="336"/>
      <c r="EN45" s="336"/>
      <c r="EO45" s="336"/>
      <c r="EP45" s="336"/>
      <c r="EQ45" s="336"/>
      <c r="ER45" s="336"/>
      <c r="ES45" s="336"/>
      <c r="ET45" s="336"/>
      <c r="EU45" s="336"/>
      <c r="EV45" s="336"/>
      <c r="EW45" s="336"/>
      <c r="EX45" s="336"/>
      <c r="EY45" s="336"/>
      <c r="EZ45" s="336"/>
      <c r="FA45" s="336"/>
      <c r="FB45" s="336"/>
      <c r="FC45" s="336"/>
      <c r="FD45" s="336"/>
      <c r="FE45" s="336"/>
      <c r="FF45" s="336"/>
      <c r="FG45" s="336"/>
      <c r="FH45" s="336"/>
      <c r="FI45" s="336"/>
      <c r="FJ45" s="336"/>
      <c r="FK45" s="336"/>
      <c r="FL45" s="336"/>
      <c r="FM45" s="336"/>
      <c r="FN45" s="336"/>
      <c r="FO45" s="336"/>
      <c r="FP45" s="336"/>
      <c r="FQ45" s="336"/>
      <c r="FR45" s="336"/>
      <c r="FS45" s="336"/>
      <c r="FT45" s="336"/>
      <c r="FU45" s="336"/>
      <c r="FV45" s="336"/>
      <c r="FW45" s="336"/>
      <c r="FX45" s="336"/>
      <c r="FY45" s="336"/>
      <c r="FZ45" s="336"/>
      <c r="GA45" s="336"/>
      <c r="GB45" s="336"/>
      <c r="GC45" s="336"/>
      <c r="GD45" s="336"/>
      <c r="GE45" s="336"/>
      <c r="GF45" s="336"/>
      <c r="GG45" s="336"/>
      <c r="GH45" s="336"/>
      <c r="GI45" s="336"/>
      <c r="GJ45" s="336"/>
      <c r="GK45" s="336"/>
      <c r="GL45" s="336"/>
      <c r="GM45" s="336"/>
      <c r="GN45" s="336"/>
      <c r="GO45" s="336"/>
      <c r="GP45" s="336"/>
      <c r="GQ45" s="336"/>
      <c r="GR45" s="336"/>
      <c r="GS45" s="336"/>
      <c r="GT45" s="336"/>
      <c r="GU45" s="336"/>
      <c r="GV45" s="336"/>
      <c r="GW45" s="336"/>
      <c r="GX45" s="336"/>
      <c r="GY45" s="336"/>
      <c r="GZ45" s="336"/>
      <c r="HA45" s="336"/>
      <c r="HB45" s="336"/>
      <c r="HC45" s="336"/>
      <c r="HD45" s="336"/>
      <c r="HE45" s="336"/>
      <c r="HF45" s="336"/>
      <c r="HG45" s="336"/>
      <c r="HH45" s="336"/>
      <c r="HI45" s="336"/>
      <c r="HJ45" s="336"/>
      <c r="HK45" s="336"/>
      <c r="HL45" s="336"/>
      <c r="HM45" s="336"/>
    </row>
    <row r="46" spans="1:221" x14ac:dyDescent="0.25">
      <c r="A46" s="387" t="s">
        <v>156</v>
      </c>
      <c r="B46" s="336"/>
      <c r="C46" s="336"/>
      <c r="D46" s="393">
        <f>$N$23</f>
        <v>825</v>
      </c>
      <c r="E46" s="364" t="s">
        <v>122</v>
      </c>
      <c r="F46" s="365" t="s">
        <v>8</v>
      </c>
      <c r="G46" s="402"/>
      <c r="H46" s="356"/>
      <c r="I46" s="401">
        <f>'Rider Rates'!$B$105</f>
        <v>0.2363101</v>
      </c>
      <c r="J46" s="401">
        <f t="shared" si="0"/>
        <v>0.2363101</v>
      </c>
      <c r="K46" s="367"/>
      <c r="L46" s="250"/>
      <c r="M46" s="250"/>
      <c r="N46" s="250">
        <f>ROUND(D46*I46,2)</f>
        <v>194.96</v>
      </c>
      <c r="O46" s="250">
        <f t="shared" si="2"/>
        <v>194.96</v>
      </c>
      <c r="P46" s="361">
        <f>'Rider Rates'!$D$105</f>
        <v>45622</v>
      </c>
      <c r="Q46" s="386"/>
      <c r="R46" s="383"/>
      <c r="S46" s="377"/>
      <c r="T46" s="378"/>
      <c r="U46" s="336"/>
      <c r="V46" s="379"/>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336"/>
      <c r="AU46" s="336"/>
      <c r="AV46" s="336"/>
      <c r="AW46" s="336"/>
      <c r="AX46" s="336"/>
      <c r="AY46" s="336"/>
      <c r="AZ46" s="336"/>
      <c r="BA46" s="336"/>
      <c r="BB46" s="336"/>
      <c r="BC46" s="336"/>
      <c r="BD46" s="336"/>
      <c r="BE46" s="336"/>
      <c r="BF46" s="336"/>
      <c r="BG46" s="336"/>
      <c r="BH46" s="336"/>
      <c r="BI46" s="336"/>
      <c r="BJ46" s="336"/>
      <c r="BK46" s="336"/>
      <c r="BL46" s="336"/>
      <c r="BM46" s="336"/>
      <c r="BN46" s="336"/>
      <c r="BO46" s="336"/>
      <c r="BP46" s="336"/>
      <c r="BQ46" s="336"/>
      <c r="BR46" s="336"/>
      <c r="BS46" s="336"/>
      <c r="BT46" s="336"/>
      <c r="BU46" s="336"/>
      <c r="BV46" s="336"/>
      <c r="BW46" s="336"/>
      <c r="BX46" s="336"/>
      <c r="BY46" s="336"/>
      <c r="BZ46" s="336"/>
      <c r="CA46" s="336"/>
      <c r="CB46" s="336"/>
      <c r="CC46" s="336"/>
      <c r="CD46" s="336"/>
      <c r="CE46" s="336"/>
      <c r="CF46" s="336"/>
      <c r="CG46" s="336"/>
      <c r="CH46" s="336"/>
      <c r="CI46" s="336"/>
      <c r="CJ46" s="336"/>
      <c r="CK46" s="336"/>
      <c r="CL46" s="336"/>
      <c r="CM46" s="336"/>
      <c r="CN46" s="336"/>
      <c r="CO46" s="336"/>
      <c r="CP46" s="336"/>
      <c r="CQ46" s="336"/>
      <c r="CR46" s="336"/>
      <c r="CS46" s="336"/>
      <c r="CT46" s="336"/>
      <c r="CU46" s="336"/>
      <c r="CV46" s="336"/>
      <c r="CW46" s="336"/>
      <c r="CX46" s="336"/>
      <c r="CY46" s="336"/>
      <c r="CZ46" s="336"/>
      <c r="DA46" s="336"/>
      <c r="DB46" s="336"/>
      <c r="DC46" s="336"/>
      <c r="DD46" s="336"/>
      <c r="DE46" s="336"/>
      <c r="DF46" s="336"/>
      <c r="DG46" s="336"/>
      <c r="DH46" s="336"/>
      <c r="DI46" s="336"/>
      <c r="DJ46" s="336"/>
      <c r="DK46" s="336"/>
      <c r="DL46" s="336"/>
      <c r="DM46" s="336"/>
      <c r="DN46" s="336"/>
      <c r="DO46" s="336"/>
      <c r="DP46" s="336"/>
      <c r="DQ46" s="336"/>
      <c r="DR46" s="336"/>
      <c r="DS46" s="336"/>
      <c r="DT46" s="336"/>
      <c r="DU46" s="336"/>
      <c r="DV46" s="336"/>
      <c r="DW46" s="336"/>
      <c r="DX46" s="336"/>
      <c r="DY46" s="336"/>
      <c r="DZ46" s="336"/>
      <c r="EA46" s="336"/>
      <c r="EB46" s="336"/>
      <c r="EC46" s="336"/>
      <c r="ED46" s="336"/>
      <c r="EE46" s="336"/>
      <c r="EF46" s="336"/>
      <c r="EG46" s="336"/>
      <c r="EH46" s="336"/>
      <c r="EI46" s="336"/>
      <c r="EJ46" s="336"/>
      <c r="EK46" s="336"/>
      <c r="EL46" s="336"/>
      <c r="EM46" s="336"/>
      <c r="EN46" s="336"/>
      <c r="EO46" s="336"/>
      <c r="EP46" s="336"/>
      <c r="EQ46" s="336"/>
      <c r="ER46" s="336"/>
      <c r="ES46" s="336"/>
      <c r="ET46" s="336"/>
      <c r="EU46" s="336"/>
      <c r="EV46" s="336"/>
      <c r="EW46" s="336"/>
      <c r="EX46" s="336"/>
      <c r="EY46" s="336"/>
      <c r="EZ46" s="336"/>
      <c r="FA46" s="336"/>
      <c r="FB46" s="336"/>
      <c r="FC46" s="336"/>
      <c r="FD46" s="336"/>
      <c r="FE46" s="336"/>
      <c r="FF46" s="336"/>
      <c r="FG46" s="336"/>
      <c r="FH46" s="336"/>
      <c r="FI46" s="336"/>
      <c r="FJ46" s="336"/>
      <c r="FK46" s="336"/>
      <c r="FL46" s="336"/>
      <c r="FM46" s="336"/>
      <c r="FN46" s="336"/>
      <c r="FO46" s="336"/>
      <c r="FP46" s="336"/>
      <c r="FQ46" s="336"/>
      <c r="FR46" s="336"/>
      <c r="FS46" s="336"/>
      <c r="FT46" s="336"/>
      <c r="FU46" s="336"/>
      <c r="FV46" s="336"/>
      <c r="FW46" s="336"/>
      <c r="FX46" s="336"/>
      <c r="FY46" s="336"/>
      <c r="FZ46" s="336"/>
      <c r="GA46" s="336"/>
      <c r="GB46" s="336"/>
      <c r="GC46" s="336"/>
      <c r="GD46" s="336"/>
      <c r="GE46" s="336"/>
      <c r="GF46" s="336"/>
      <c r="GG46" s="336"/>
      <c r="GH46" s="336"/>
      <c r="GI46" s="336"/>
      <c r="GJ46" s="336"/>
      <c r="GK46" s="336"/>
      <c r="GL46" s="336"/>
      <c r="GM46" s="336"/>
      <c r="GN46" s="336"/>
      <c r="GO46" s="336"/>
      <c r="GP46" s="336"/>
      <c r="GQ46" s="336"/>
      <c r="GR46" s="336"/>
      <c r="GS46" s="336"/>
      <c r="GT46" s="336"/>
      <c r="GU46" s="336"/>
      <c r="GV46" s="336"/>
      <c r="GW46" s="336"/>
      <c r="GX46" s="336"/>
      <c r="GY46" s="336"/>
      <c r="GZ46" s="336"/>
      <c r="HA46" s="336"/>
      <c r="HB46" s="336"/>
      <c r="HC46" s="336"/>
      <c r="HD46" s="336"/>
      <c r="HE46" s="336"/>
      <c r="HF46" s="336"/>
      <c r="HG46" s="336"/>
      <c r="HH46" s="336"/>
      <c r="HI46" s="336"/>
      <c r="HJ46" s="336"/>
      <c r="HK46" s="336"/>
      <c r="HL46" s="336"/>
      <c r="HM46" s="336"/>
    </row>
    <row r="47" spans="1:221" x14ac:dyDescent="0.25">
      <c r="A47" s="395" t="s">
        <v>209</v>
      </c>
      <c r="B47" s="336"/>
      <c r="C47" s="336"/>
      <c r="D47" s="393"/>
      <c r="E47" s="398" t="s">
        <v>115</v>
      </c>
      <c r="F47" s="386"/>
      <c r="G47" s="402"/>
      <c r="H47" s="356"/>
      <c r="I47" s="403">
        <f>'Rider Rates'!$B$109</f>
        <v>0</v>
      </c>
      <c r="J47" s="403">
        <f t="shared" si="0"/>
        <v>0</v>
      </c>
      <c r="K47" s="367"/>
      <c r="L47" s="250"/>
      <c r="M47" s="250"/>
      <c r="N47" s="250">
        <f>I47</f>
        <v>0</v>
      </c>
      <c r="O47" s="250">
        <f t="shared" si="2"/>
        <v>0</v>
      </c>
      <c r="P47" s="361">
        <f>'Rider Rates'!$D$109</f>
        <v>44894</v>
      </c>
      <c r="Q47" s="386"/>
      <c r="R47" s="383"/>
      <c r="S47" s="377"/>
      <c r="T47" s="378"/>
      <c r="U47" s="336"/>
      <c r="V47" s="379"/>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s="336"/>
      <c r="AT47" s="336"/>
      <c r="AU47" s="336"/>
      <c r="AV47" s="336"/>
      <c r="AW47" s="336"/>
      <c r="AX47" s="336"/>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6"/>
      <c r="BZ47" s="336"/>
      <c r="CA47" s="336"/>
      <c r="CB47" s="336"/>
      <c r="CC47" s="336"/>
      <c r="CD47" s="336"/>
      <c r="CE47" s="336"/>
      <c r="CF47" s="336"/>
      <c r="CG47" s="336"/>
      <c r="CH47" s="336"/>
      <c r="CI47" s="336"/>
      <c r="CJ47" s="336"/>
      <c r="CK47" s="336"/>
      <c r="CL47" s="336"/>
      <c r="CM47" s="336"/>
      <c r="CN47" s="336"/>
      <c r="CO47" s="336"/>
      <c r="CP47" s="336"/>
      <c r="CQ47" s="336"/>
      <c r="CR47" s="336"/>
      <c r="CS47" s="336"/>
      <c r="CT47" s="336"/>
      <c r="CU47" s="336"/>
      <c r="CV47" s="336"/>
      <c r="CW47" s="336"/>
      <c r="CX47" s="336"/>
      <c r="CY47" s="336"/>
      <c r="CZ47" s="336"/>
      <c r="DA47" s="336"/>
      <c r="DB47" s="336"/>
      <c r="DC47" s="336"/>
      <c r="DD47" s="336"/>
      <c r="DE47" s="336"/>
      <c r="DF47" s="336"/>
      <c r="DG47" s="336"/>
      <c r="DH47" s="336"/>
      <c r="DI47" s="336"/>
      <c r="DJ47" s="336"/>
      <c r="DK47" s="336"/>
      <c r="DL47" s="336"/>
      <c r="DM47" s="336"/>
      <c r="DN47" s="336"/>
      <c r="DO47" s="336"/>
      <c r="DP47" s="336"/>
      <c r="DQ47" s="336"/>
      <c r="DR47" s="336"/>
      <c r="DS47" s="336"/>
      <c r="DT47" s="336"/>
      <c r="DU47" s="336"/>
      <c r="DV47" s="336"/>
      <c r="DW47" s="336"/>
      <c r="DX47" s="336"/>
      <c r="DY47" s="336"/>
      <c r="DZ47" s="336"/>
      <c r="EA47" s="336"/>
      <c r="EB47" s="336"/>
      <c r="EC47" s="336"/>
      <c r="ED47" s="336"/>
      <c r="EE47" s="336"/>
      <c r="EF47" s="336"/>
      <c r="EG47" s="336"/>
      <c r="EH47" s="336"/>
      <c r="EI47" s="336"/>
      <c r="EJ47" s="336"/>
      <c r="EK47" s="336"/>
      <c r="EL47" s="336"/>
      <c r="EM47" s="336"/>
      <c r="EN47" s="336"/>
      <c r="EO47" s="336"/>
      <c r="EP47" s="336"/>
      <c r="EQ47" s="336"/>
      <c r="ER47" s="336"/>
      <c r="ES47" s="336"/>
      <c r="ET47" s="336"/>
      <c r="EU47" s="336"/>
      <c r="EV47" s="336"/>
      <c r="EW47" s="336"/>
      <c r="EX47" s="336"/>
      <c r="EY47" s="336"/>
      <c r="EZ47" s="336"/>
      <c r="FA47" s="336"/>
      <c r="FB47" s="336"/>
      <c r="FC47" s="336"/>
      <c r="FD47" s="336"/>
      <c r="FE47" s="336"/>
      <c r="FF47" s="336"/>
      <c r="FG47" s="336"/>
      <c r="FH47" s="336"/>
      <c r="FI47" s="336"/>
      <c r="FJ47" s="336"/>
      <c r="FK47" s="336"/>
      <c r="FL47" s="336"/>
      <c r="FM47" s="336"/>
      <c r="FN47" s="336"/>
      <c r="FO47" s="336"/>
      <c r="FP47" s="336"/>
      <c r="FQ47" s="336"/>
      <c r="FR47" s="336"/>
      <c r="FS47" s="336"/>
      <c r="FT47" s="336"/>
      <c r="FU47" s="336"/>
      <c r="FV47" s="336"/>
      <c r="FW47" s="336"/>
      <c r="FX47" s="336"/>
      <c r="FY47" s="336"/>
      <c r="FZ47" s="336"/>
      <c r="GA47" s="336"/>
      <c r="GB47" s="336"/>
      <c r="GC47" s="336"/>
      <c r="GD47" s="336"/>
      <c r="GE47" s="336"/>
      <c r="GF47" s="336"/>
      <c r="GG47" s="336"/>
      <c r="GH47" s="336"/>
      <c r="GI47" s="336"/>
      <c r="GJ47" s="336"/>
      <c r="GK47" s="336"/>
      <c r="GL47" s="336"/>
      <c r="GM47" s="336"/>
      <c r="GN47" s="336"/>
      <c r="GO47" s="336"/>
      <c r="GP47" s="336"/>
      <c r="GQ47" s="336"/>
      <c r="GR47" s="336"/>
      <c r="GS47" s="336"/>
      <c r="GT47" s="336"/>
      <c r="GU47" s="336"/>
      <c r="GV47" s="336"/>
      <c r="GW47" s="336"/>
      <c r="GX47" s="336"/>
      <c r="GY47" s="336"/>
      <c r="GZ47" s="336"/>
      <c r="HA47" s="336"/>
      <c r="HB47" s="336"/>
      <c r="HC47" s="336"/>
      <c r="HD47" s="336"/>
      <c r="HE47" s="336"/>
      <c r="HF47" s="336"/>
      <c r="HG47" s="336"/>
      <c r="HH47" s="336"/>
      <c r="HI47" s="336"/>
      <c r="HJ47" s="336"/>
      <c r="HK47" s="336"/>
      <c r="HL47" s="336"/>
      <c r="HM47" s="336"/>
    </row>
    <row r="48" spans="1:221" x14ac:dyDescent="0.25">
      <c r="A48" s="395" t="s">
        <v>217</v>
      </c>
      <c r="B48" s="336"/>
      <c r="C48" s="336"/>
      <c r="D48" s="393"/>
      <c r="E48" s="398" t="s">
        <v>115</v>
      </c>
      <c r="F48" s="386"/>
      <c r="G48" s="402"/>
      <c r="H48" s="356"/>
      <c r="I48" s="404">
        <f>'Rider Rates'!B122</f>
        <v>4.84</v>
      </c>
      <c r="J48" s="403">
        <f t="shared" si="0"/>
        <v>4.84</v>
      </c>
      <c r="K48" s="367"/>
      <c r="L48" s="250"/>
      <c r="M48" s="250"/>
      <c r="N48" s="405">
        <f>I48</f>
        <v>4.84</v>
      </c>
      <c r="O48" s="250">
        <f t="shared" si="2"/>
        <v>4.84</v>
      </c>
      <c r="P48" s="361">
        <f>'Rider Rates'!D122</f>
        <v>45593</v>
      </c>
      <c r="Q48" s="386"/>
      <c r="R48" s="383"/>
      <c r="S48" s="377"/>
      <c r="T48" s="378"/>
      <c r="U48" s="336"/>
      <c r="V48" s="379"/>
      <c r="W48" s="336"/>
      <c r="X48" s="336"/>
      <c r="Y48" s="336"/>
      <c r="Z48" s="336"/>
      <c r="AA48" s="336"/>
      <c r="AB48" s="336"/>
      <c r="AC48" s="336"/>
      <c r="AD48" s="336"/>
      <c r="AE48" s="336"/>
      <c r="AF48" s="336"/>
      <c r="AG48" s="336"/>
      <c r="AH48" s="336"/>
      <c r="AI48" s="336"/>
      <c r="AJ48" s="336"/>
      <c r="AK48" s="336"/>
      <c r="AL48" s="336"/>
      <c r="AM48" s="336"/>
      <c r="AN48" s="336"/>
      <c r="AO48" s="336"/>
      <c r="AP48" s="336"/>
      <c r="AQ48" s="336"/>
      <c r="AR48" s="336"/>
      <c r="AS48" s="336"/>
      <c r="AT48" s="336"/>
      <c r="AU48" s="336"/>
      <c r="AV48" s="336"/>
      <c r="AW48" s="336"/>
      <c r="AX48" s="336"/>
      <c r="AY48" s="336"/>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6"/>
      <c r="CA48" s="336"/>
      <c r="CB48" s="336"/>
      <c r="CC48" s="336"/>
      <c r="CD48" s="336"/>
      <c r="CE48" s="336"/>
      <c r="CF48" s="336"/>
      <c r="CG48" s="336"/>
      <c r="CH48" s="336"/>
      <c r="CI48" s="336"/>
      <c r="CJ48" s="336"/>
      <c r="CK48" s="336"/>
      <c r="CL48" s="336"/>
      <c r="CM48" s="336"/>
      <c r="CN48" s="336"/>
      <c r="CO48" s="336"/>
      <c r="CP48" s="336"/>
      <c r="CQ48" s="336"/>
      <c r="CR48" s="336"/>
      <c r="CS48" s="336"/>
      <c r="CT48" s="336"/>
      <c r="CU48" s="336"/>
      <c r="CV48" s="336"/>
      <c r="CW48" s="336"/>
      <c r="CX48" s="336"/>
      <c r="CY48" s="336"/>
      <c r="CZ48" s="336"/>
      <c r="DA48" s="336"/>
      <c r="DB48" s="336"/>
      <c r="DC48" s="336"/>
      <c r="DD48" s="336"/>
      <c r="DE48" s="336"/>
      <c r="DF48" s="336"/>
      <c r="DG48" s="336"/>
      <c r="DH48" s="336"/>
      <c r="DI48" s="336"/>
      <c r="DJ48" s="336"/>
      <c r="DK48" s="336"/>
      <c r="DL48" s="336"/>
      <c r="DM48" s="336"/>
      <c r="DN48" s="336"/>
      <c r="DO48" s="336"/>
      <c r="DP48" s="336"/>
      <c r="DQ48" s="336"/>
      <c r="DR48" s="336"/>
      <c r="DS48" s="336"/>
      <c r="DT48" s="336"/>
      <c r="DU48" s="336"/>
      <c r="DV48" s="336"/>
      <c r="DW48" s="336"/>
      <c r="DX48" s="336"/>
      <c r="DY48" s="336"/>
      <c r="DZ48" s="336"/>
      <c r="EA48" s="336"/>
      <c r="EB48" s="336"/>
      <c r="EC48" s="336"/>
      <c r="ED48" s="336"/>
      <c r="EE48" s="336"/>
      <c r="EF48" s="336"/>
      <c r="EG48" s="336"/>
      <c r="EH48" s="336"/>
      <c r="EI48" s="336"/>
      <c r="EJ48" s="336"/>
      <c r="EK48" s="336"/>
      <c r="EL48" s="336"/>
      <c r="EM48" s="336"/>
      <c r="EN48" s="336"/>
      <c r="EO48" s="336"/>
      <c r="EP48" s="336"/>
      <c r="EQ48" s="336"/>
      <c r="ER48" s="336"/>
      <c r="ES48" s="336"/>
      <c r="ET48" s="336"/>
      <c r="EU48" s="336"/>
      <c r="EV48" s="336"/>
      <c r="EW48" s="336"/>
      <c r="EX48" s="336"/>
      <c r="EY48" s="336"/>
      <c r="EZ48" s="336"/>
      <c r="FA48" s="336"/>
      <c r="FB48" s="336"/>
      <c r="FC48" s="336"/>
      <c r="FD48" s="336"/>
      <c r="FE48" s="336"/>
      <c r="FF48" s="336"/>
      <c r="FG48" s="336"/>
      <c r="FH48" s="336"/>
      <c r="FI48" s="336"/>
      <c r="FJ48" s="336"/>
      <c r="FK48" s="336"/>
      <c r="FL48" s="336"/>
      <c r="FM48" s="336"/>
      <c r="FN48" s="336"/>
      <c r="FO48" s="336"/>
      <c r="FP48" s="336"/>
      <c r="FQ48" s="336"/>
      <c r="FR48" s="336"/>
      <c r="FS48" s="336"/>
      <c r="FT48" s="336"/>
      <c r="FU48" s="336"/>
      <c r="FV48" s="336"/>
      <c r="FW48" s="336"/>
      <c r="FX48" s="336"/>
      <c r="FY48" s="336"/>
      <c r="FZ48" s="336"/>
      <c r="GA48" s="336"/>
      <c r="GB48" s="336"/>
      <c r="GC48" s="336"/>
      <c r="GD48" s="336"/>
      <c r="GE48" s="336"/>
      <c r="GF48" s="336"/>
      <c r="GG48" s="336"/>
      <c r="GH48" s="336"/>
      <c r="GI48" s="336"/>
      <c r="GJ48" s="336"/>
      <c r="GK48" s="336"/>
      <c r="GL48" s="336"/>
      <c r="GM48" s="336"/>
      <c r="GN48" s="336"/>
      <c r="GO48" s="336"/>
      <c r="GP48" s="336"/>
      <c r="GQ48" s="336"/>
      <c r="GR48" s="336"/>
      <c r="GS48" s="336"/>
      <c r="GT48" s="336"/>
      <c r="GU48" s="336"/>
      <c r="GV48" s="336"/>
      <c r="GW48" s="336"/>
      <c r="GX48" s="336"/>
      <c r="GY48" s="336"/>
      <c r="GZ48" s="336"/>
      <c r="HA48" s="336"/>
      <c r="HB48" s="336"/>
      <c r="HC48" s="336"/>
      <c r="HD48" s="336"/>
      <c r="HE48" s="336"/>
      <c r="HF48" s="336"/>
      <c r="HG48" s="336"/>
      <c r="HH48" s="336"/>
      <c r="HI48" s="336"/>
      <c r="HJ48" s="336"/>
      <c r="HK48" s="336"/>
      <c r="HL48" s="336"/>
      <c r="HM48" s="336"/>
    </row>
    <row r="49" spans="1:236" x14ac:dyDescent="0.25">
      <c r="A49" s="387" t="s">
        <v>157</v>
      </c>
      <c r="B49" s="336"/>
      <c r="C49" s="336"/>
      <c r="D49" s="363">
        <f>C16+C17</f>
        <v>0</v>
      </c>
      <c r="E49" s="364" t="s">
        <v>41</v>
      </c>
      <c r="F49" s="365" t="s">
        <v>8</v>
      </c>
      <c r="G49" s="389"/>
      <c r="H49" s="389"/>
      <c r="I49" s="401"/>
      <c r="J49" s="396">
        <f>SUM(G49:H49)</f>
        <v>0</v>
      </c>
      <c r="K49" s="367" t="s">
        <v>42</v>
      </c>
      <c r="L49" s="250">
        <f>ROUND(D49*G49,2)</f>
        <v>0</v>
      </c>
      <c r="M49" s="250"/>
      <c r="N49" s="250"/>
      <c r="O49" s="250">
        <f t="shared" si="2"/>
        <v>0</v>
      </c>
      <c r="P49" s="361">
        <f>'Rider Rates'!$D$112</f>
        <v>44531</v>
      </c>
      <c r="Q49" s="386"/>
      <c r="R49" s="383"/>
      <c r="S49" s="377"/>
      <c r="T49" s="378"/>
      <c r="U49" s="336"/>
      <c r="V49" s="379"/>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6"/>
      <c r="BY49" s="336"/>
      <c r="BZ49" s="336"/>
      <c r="CA49" s="336"/>
      <c r="CB49" s="336"/>
      <c r="CC49" s="336"/>
      <c r="CD49" s="336"/>
      <c r="CE49" s="336"/>
      <c r="CF49" s="336"/>
      <c r="CG49" s="336"/>
      <c r="CH49" s="336"/>
      <c r="CI49" s="336"/>
      <c r="CJ49" s="336"/>
      <c r="CK49" s="336"/>
      <c r="CL49" s="336"/>
      <c r="CM49" s="336"/>
      <c r="CN49" s="336"/>
      <c r="CO49" s="336"/>
      <c r="CP49" s="336"/>
      <c r="CQ49" s="336"/>
      <c r="CR49" s="336"/>
      <c r="CS49" s="336"/>
      <c r="CT49" s="336"/>
      <c r="CU49" s="336"/>
      <c r="CV49" s="336"/>
      <c r="CW49" s="336"/>
      <c r="CX49" s="336"/>
      <c r="CY49" s="336"/>
      <c r="CZ49" s="336"/>
      <c r="DA49" s="336"/>
      <c r="DB49" s="336"/>
      <c r="DC49" s="336"/>
      <c r="DD49" s="336"/>
      <c r="DE49" s="336"/>
      <c r="DF49" s="336"/>
      <c r="DG49" s="336"/>
      <c r="DH49" s="336"/>
      <c r="DI49" s="336"/>
      <c r="DJ49" s="336"/>
      <c r="DK49" s="336"/>
      <c r="DL49" s="336"/>
      <c r="DM49" s="336"/>
      <c r="DN49" s="336"/>
      <c r="DO49" s="336"/>
      <c r="DP49" s="336"/>
      <c r="DQ49" s="336"/>
      <c r="DR49" s="336"/>
      <c r="DS49" s="336"/>
      <c r="DT49" s="336"/>
      <c r="DU49" s="336"/>
      <c r="DV49" s="336"/>
      <c r="DW49" s="336"/>
      <c r="DX49" s="336"/>
      <c r="DY49" s="336"/>
      <c r="DZ49" s="336"/>
      <c r="EA49" s="336"/>
      <c r="EB49" s="336"/>
      <c r="EC49" s="336"/>
      <c r="ED49" s="336"/>
      <c r="EE49" s="336"/>
      <c r="EF49" s="336"/>
      <c r="EG49" s="336"/>
      <c r="EH49" s="336"/>
      <c r="EI49" s="336"/>
      <c r="EJ49" s="336"/>
      <c r="EK49" s="336"/>
      <c r="EL49" s="336"/>
      <c r="EM49" s="336"/>
      <c r="EN49" s="336"/>
      <c r="EO49" s="336"/>
      <c r="EP49" s="336"/>
      <c r="EQ49" s="336"/>
      <c r="ER49" s="336"/>
      <c r="ES49" s="336"/>
      <c r="ET49" s="336"/>
      <c r="EU49" s="336"/>
      <c r="EV49" s="336"/>
      <c r="EW49" s="336"/>
      <c r="EX49" s="336"/>
      <c r="EY49" s="336"/>
      <c r="EZ49" s="336"/>
      <c r="FA49" s="336"/>
      <c r="FB49" s="336"/>
      <c r="FC49" s="336"/>
      <c r="FD49" s="336"/>
      <c r="FE49" s="336"/>
      <c r="FF49" s="336"/>
      <c r="FG49" s="336"/>
      <c r="FH49" s="336"/>
      <c r="FI49" s="336"/>
      <c r="FJ49" s="336"/>
      <c r="FK49" s="336"/>
      <c r="FL49" s="336"/>
      <c r="FM49" s="336"/>
      <c r="FN49" s="336"/>
      <c r="FO49" s="336"/>
      <c r="FP49" s="336"/>
      <c r="FQ49" s="336"/>
      <c r="FR49" s="336"/>
      <c r="FS49" s="336"/>
      <c r="FT49" s="336"/>
      <c r="FU49" s="336"/>
      <c r="FV49" s="336"/>
      <c r="FW49" s="336"/>
      <c r="FX49" s="336"/>
      <c r="FY49" s="336"/>
      <c r="FZ49" s="336"/>
      <c r="GA49" s="336"/>
      <c r="GB49" s="336"/>
      <c r="GC49" s="336"/>
      <c r="GD49" s="336"/>
      <c r="GE49" s="336"/>
      <c r="GF49" s="336"/>
      <c r="GG49" s="336"/>
      <c r="GH49" s="336"/>
      <c r="GI49" s="336"/>
      <c r="GJ49" s="336"/>
      <c r="GK49" s="336"/>
      <c r="GL49" s="336"/>
      <c r="GM49" s="336"/>
      <c r="GN49" s="336"/>
      <c r="GO49" s="336"/>
      <c r="GP49" s="336"/>
      <c r="GQ49" s="336"/>
      <c r="GR49" s="336"/>
      <c r="GS49" s="336"/>
      <c r="GT49" s="336"/>
      <c r="GU49" s="336"/>
      <c r="GV49" s="336"/>
      <c r="GW49" s="336"/>
      <c r="GX49" s="336"/>
      <c r="GY49" s="336"/>
      <c r="GZ49" s="336"/>
      <c r="HA49" s="336"/>
      <c r="HB49" s="336"/>
      <c r="HC49" s="336"/>
      <c r="HD49" s="336"/>
      <c r="HE49" s="336"/>
      <c r="HF49" s="336"/>
      <c r="HG49" s="336"/>
      <c r="HH49" s="336"/>
      <c r="HI49" s="336"/>
      <c r="HJ49" s="336"/>
      <c r="HK49" s="336"/>
      <c r="HL49" s="336"/>
      <c r="HM49" s="336"/>
    </row>
    <row r="50" spans="1:236" x14ac:dyDescent="0.25">
      <c r="A50" s="395" t="s">
        <v>208</v>
      </c>
      <c r="B50" s="336"/>
      <c r="C50" s="336"/>
      <c r="D50" s="363">
        <f>IF($C$15&lt;1,0,$C$15)</f>
        <v>0</v>
      </c>
      <c r="E50" s="364" t="s">
        <v>41</v>
      </c>
      <c r="F50" s="358" t="s">
        <v>8</v>
      </c>
      <c r="G50" s="366"/>
      <c r="H50" s="366"/>
      <c r="I50" s="406">
        <f>'Rider Rates'!B118</f>
        <v>0</v>
      </c>
      <c r="J50" s="406">
        <f>SUM(G50:I50)</f>
        <v>0</v>
      </c>
      <c r="K50" s="367" t="s">
        <v>42</v>
      </c>
      <c r="L50" s="250"/>
      <c r="M50" s="250"/>
      <c r="N50" s="250">
        <f>D50*J50</f>
        <v>0</v>
      </c>
      <c r="O50" s="250">
        <f>SUM(L50:N50)</f>
        <v>0</v>
      </c>
      <c r="P50" s="361">
        <f>'Rider Rates'!D118</f>
        <v>45657</v>
      </c>
      <c r="Q50" s="386"/>
      <c r="R50" s="383"/>
      <c r="S50" s="377"/>
      <c r="T50" s="378"/>
      <c r="U50" s="336"/>
      <c r="V50" s="379"/>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6"/>
      <c r="BX50" s="336"/>
      <c r="BY50" s="336"/>
      <c r="BZ50" s="336"/>
      <c r="CA50" s="336"/>
      <c r="CB50" s="336"/>
      <c r="CC50" s="336"/>
      <c r="CD50" s="336"/>
      <c r="CE50" s="336"/>
      <c r="CF50" s="336"/>
      <c r="CG50" s="336"/>
      <c r="CH50" s="336"/>
      <c r="CI50" s="336"/>
      <c r="CJ50" s="336"/>
      <c r="CK50" s="336"/>
      <c r="CL50" s="336"/>
      <c r="CM50" s="336"/>
      <c r="CN50" s="336"/>
      <c r="CO50" s="336"/>
      <c r="CP50" s="336"/>
      <c r="CQ50" s="336"/>
      <c r="CR50" s="336"/>
      <c r="CS50" s="336"/>
      <c r="CT50" s="336"/>
      <c r="CU50" s="336"/>
      <c r="CV50" s="336"/>
      <c r="CW50" s="336"/>
      <c r="CX50" s="336"/>
      <c r="CY50" s="336"/>
      <c r="CZ50" s="336"/>
      <c r="DA50" s="336"/>
      <c r="DB50" s="336"/>
      <c r="DC50" s="336"/>
      <c r="DD50" s="336"/>
      <c r="DE50" s="336"/>
      <c r="DF50" s="336"/>
      <c r="DG50" s="336"/>
      <c r="DH50" s="336"/>
      <c r="DI50" s="336"/>
      <c r="DJ50" s="336"/>
      <c r="DK50" s="336"/>
      <c r="DL50" s="336"/>
      <c r="DM50" s="336"/>
      <c r="DN50" s="336"/>
      <c r="DO50" s="336"/>
      <c r="DP50" s="336"/>
      <c r="DQ50" s="336"/>
      <c r="DR50" s="336"/>
      <c r="DS50" s="336"/>
      <c r="DT50" s="336"/>
      <c r="DU50" s="336"/>
      <c r="DV50" s="336"/>
      <c r="DW50" s="336"/>
      <c r="DX50" s="336"/>
      <c r="DY50" s="336"/>
      <c r="DZ50" s="336"/>
      <c r="EA50" s="336"/>
      <c r="EB50" s="336"/>
      <c r="EC50" s="336"/>
      <c r="ED50" s="336"/>
      <c r="EE50" s="336"/>
      <c r="EF50" s="336"/>
      <c r="EG50" s="336"/>
      <c r="EH50" s="336"/>
      <c r="EI50" s="336"/>
      <c r="EJ50" s="336"/>
      <c r="EK50" s="336"/>
      <c r="EL50" s="336"/>
      <c r="EM50" s="336"/>
      <c r="EN50" s="336"/>
      <c r="EO50" s="336"/>
      <c r="EP50" s="336"/>
      <c r="EQ50" s="336"/>
      <c r="ER50" s="336"/>
      <c r="ES50" s="336"/>
      <c r="ET50" s="336"/>
      <c r="EU50" s="336"/>
      <c r="EV50" s="336"/>
      <c r="EW50" s="336"/>
      <c r="EX50" s="336"/>
      <c r="EY50" s="336"/>
      <c r="EZ50" s="336"/>
      <c r="FA50" s="336"/>
      <c r="FB50" s="336"/>
      <c r="FC50" s="336"/>
      <c r="FD50" s="336"/>
      <c r="FE50" s="336"/>
      <c r="FF50" s="336"/>
      <c r="FG50" s="336"/>
      <c r="FH50" s="336"/>
      <c r="FI50" s="336"/>
      <c r="FJ50" s="336"/>
      <c r="FK50" s="336"/>
      <c r="FL50" s="336"/>
      <c r="FM50" s="336"/>
      <c r="FN50" s="336"/>
      <c r="FO50" s="336"/>
      <c r="FP50" s="336"/>
      <c r="FQ50" s="336"/>
      <c r="FR50" s="336"/>
      <c r="FS50" s="336"/>
      <c r="FT50" s="336"/>
      <c r="FU50" s="336"/>
      <c r="FV50" s="336"/>
      <c r="FW50" s="336"/>
      <c r="FX50" s="336"/>
      <c r="FY50" s="336"/>
      <c r="FZ50" s="336"/>
      <c r="GA50" s="336"/>
      <c r="GB50" s="336"/>
      <c r="GC50" s="336"/>
      <c r="GD50" s="336"/>
      <c r="GE50" s="336"/>
      <c r="GF50" s="336"/>
      <c r="GG50" s="336"/>
      <c r="GH50" s="336"/>
      <c r="GI50" s="336"/>
      <c r="GJ50" s="336"/>
      <c r="GK50" s="336"/>
      <c r="GL50" s="336"/>
      <c r="GM50" s="336"/>
      <c r="GN50" s="336"/>
      <c r="GO50" s="336"/>
      <c r="GP50" s="336"/>
      <c r="GQ50" s="336"/>
      <c r="GR50" s="336"/>
      <c r="GS50" s="336"/>
      <c r="GT50" s="336"/>
      <c r="GU50" s="336"/>
      <c r="GV50" s="336"/>
      <c r="GW50" s="336"/>
      <c r="GX50" s="336"/>
      <c r="GY50" s="336"/>
      <c r="GZ50" s="336"/>
      <c r="HA50" s="336"/>
      <c r="HB50" s="336"/>
      <c r="HC50" s="336"/>
      <c r="HD50" s="336"/>
      <c r="HE50" s="336"/>
      <c r="HF50" s="336"/>
      <c r="HG50" s="336"/>
      <c r="HH50" s="336"/>
      <c r="HI50" s="336"/>
      <c r="HJ50" s="336"/>
      <c r="HK50" s="336"/>
      <c r="HL50" s="336"/>
      <c r="HM50" s="336"/>
    </row>
    <row r="51" spans="1:236" x14ac:dyDescent="0.25">
      <c r="A51" s="336" t="s">
        <v>233</v>
      </c>
      <c r="B51" s="336"/>
      <c r="C51" s="336"/>
      <c r="D51" s="363">
        <f>IF(C15&lt;0,0,IF(C15&gt;833000,833000,C15))</f>
        <v>0</v>
      </c>
      <c r="E51" s="364" t="s">
        <v>41</v>
      </c>
      <c r="F51" s="365" t="s">
        <v>8</v>
      </c>
      <c r="G51" s="440"/>
      <c r="H51" s="440"/>
      <c r="I51" s="440">
        <f>'Rider Rates'!$B$126</f>
        <v>2.9050000000000001E-4</v>
      </c>
      <c r="J51" s="440">
        <f>SUM(G51:I51)</f>
        <v>2.9050000000000001E-4</v>
      </c>
      <c r="K51" s="367" t="s">
        <v>42</v>
      </c>
      <c r="L51" s="441"/>
      <c r="M51" s="441"/>
      <c r="N51" s="441">
        <f>IF(D51*J51&gt;'Rider Rates'!$C$126,'Rider Rates'!$C$126,D51*J51)</f>
        <v>0</v>
      </c>
      <c r="O51" s="441">
        <f>SUM(L51:N51)</f>
        <v>0</v>
      </c>
      <c r="P51" s="409">
        <f>'Rider Rates'!$E$126</f>
        <v>45658</v>
      </c>
      <c r="Q51" s="386"/>
      <c r="R51" s="383"/>
      <c r="S51" s="377"/>
      <c r="T51" s="378"/>
      <c r="U51" s="336"/>
      <c r="V51" s="379"/>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36"/>
      <c r="CN51" s="336"/>
      <c r="CO51" s="336"/>
      <c r="CP51" s="336"/>
      <c r="CQ51" s="336"/>
      <c r="CR51" s="336"/>
      <c r="CS51" s="336"/>
      <c r="CT51" s="336"/>
      <c r="CU51" s="336"/>
      <c r="CV51" s="336"/>
      <c r="CW51" s="336"/>
      <c r="CX51" s="336"/>
      <c r="CY51" s="336"/>
      <c r="CZ51" s="336"/>
      <c r="DA51" s="336"/>
      <c r="DB51" s="336"/>
      <c r="DC51" s="336"/>
      <c r="DD51" s="336"/>
      <c r="DE51" s="336"/>
      <c r="DF51" s="336"/>
      <c r="DG51" s="336"/>
      <c r="DH51" s="336"/>
      <c r="DI51" s="336"/>
      <c r="DJ51" s="336"/>
      <c r="DK51" s="336"/>
      <c r="DL51" s="336"/>
      <c r="DM51" s="336"/>
      <c r="DN51" s="336"/>
      <c r="DO51" s="336"/>
      <c r="DP51" s="336"/>
      <c r="DQ51" s="336"/>
      <c r="DR51" s="336"/>
      <c r="DS51" s="336"/>
      <c r="DT51" s="336"/>
      <c r="DU51" s="336"/>
      <c r="DV51" s="336"/>
      <c r="DW51" s="336"/>
      <c r="DX51" s="336"/>
      <c r="DY51" s="336"/>
      <c r="DZ51" s="336"/>
      <c r="EA51" s="336"/>
      <c r="EB51" s="336"/>
      <c r="EC51" s="336"/>
      <c r="ED51" s="336"/>
      <c r="EE51" s="336"/>
      <c r="EF51" s="336"/>
      <c r="EG51" s="336"/>
      <c r="EH51" s="336"/>
      <c r="EI51" s="336"/>
      <c r="EJ51" s="336"/>
      <c r="EK51" s="336"/>
      <c r="EL51" s="336"/>
      <c r="EM51" s="336"/>
      <c r="EN51" s="336"/>
      <c r="EO51" s="336"/>
      <c r="EP51" s="336"/>
      <c r="EQ51" s="336"/>
      <c r="ER51" s="336"/>
      <c r="ES51" s="336"/>
      <c r="ET51" s="336"/>
      <c r="EU51" s="336"/>
      <c r="EV51" s="336"/>
      <c r="EW51" s="336"/>
      <c r="EX51" s="336"/>
      <c r="EY51" s="336"/>
      <c r="EZ51" s="336"/>
      <c r="FA51" s="336"/>
      <c r="FB51" s="336"/>
      <c r="FC51" s="336"/>
      <c r="FD51" s="336"/>
      <c r="FE51" s="336"/>
      <c r="FF51" s="336"/>
      <c r="FG51" s="336"/>
      <c r="FH51" s="336"/>
      <c r="FI51" s="336"/>
      <c r="FJ51" s="336"/>
      <c r="FK51" s="336"/>
      <c r="FL51" s="336"/>
      <c r="FM51" s="336"/>
      <c r="FN51" s="336"/>
      <c r="FO51" s="336"/>
      <c r="FP51" s="336"/>
      <c r="FQ51" s="336"/>
      <c r="FR51" s="336"/>
      <c r="FS51" s="336"/>
      <c r="FT51" s="336"/>
      <c r="FU51" s="336"/>
      <c r="FV51" s="336"/>
      <c r="FW51" s="336"/>
      <c r="FX51" s="336"/>
      <c r="FY51" s="336"/>
      <c r="FZ51" s="336"/>
      <c r="GA51" s="336"/>
      <c r="GB51" s="336"/>
      <c r="GC51" s="336"/>
      <c r="GD51" s="336"/>
      <c r="GE51" s="336"/>
      <c r="GF51" s="336"/>
      <c r="GG51" s="336"/>
      <c r="GH51" s="336"/>
      <c r="GI51" s="336"/>
      <c r="GJ51" s="336"/>
      <c r="GK51" s="336"/>
      <c r="GL51" s="336"/>
      <c r="GM51" s="336"/>
      <c r="GN51" s="336"/>
      <c r="GO51" s="336"/>
      <c r="GP51" s="336"/>
      <c r="GQ51" s="336"/>
      <c r="GR51" s="336"/>
      <c r="GS51" s="336"/>
      <c r="GT51" s="336"/>
      <c r="GU51" s="336"/>
      <c r="GV51" s="336"/>
      <c r="GW51" s="336"/>
      <c r="GX51" s="336"/>
      <c r="GY51" s="336"/>
      <c r="GZ51" s="336"/>
      <c r="HA51" s="336"/>
      <c r="HB51" s="336"/>
      <c r="HC51" s="336"/>
      <c r="HD51" s="336"/>
      <c r="HE51" s="336"/>
      <c r="HF51" s="336"/>
      <c r="HG51" s="336"/>
      <c r="HH51" s="336"/>
      <c r="HI51" s="336"/>
      <c r="HJ51" s="336"/>
      <c r="HK51" s="336"/>
      <c r="HL51" s="336"/>
      <c r="HM51" s="336"/>
    </row>
    <row r="52" spans="1:236" x14ac:dyDescent="0.25">
      <c r="A52" s="336" t="s">
        <v>234</v>
      </c>
      <c r="B52" s="336"/>
      <c r="C52" s="336"/>
      <c r="D52" s="391">
        <f>IF(C15&gt;833000,C15-833000,0)</f>
        <v>0</v>
      </c>
      <c r="E52" s="364" t="s">
        <v>41</v>
      </c>
      <c r="F52" s="365" t="s">
        <v>8</v>
      </c>
      <c r="G52" s="440"/>
      <c r="H52" s="440"/>
      <c r="I52" s="440">
        <f>'Rider Rates'!$B$127</f>
        <v>0</v>
      </c>
      <c r="J52" s="440">
        <f>SUM(G52:I52)</f>
        <v>0</v>
      </c>
      <c r="K52" s="367" t="s">
        <v>42</v>
      </c>
      <c r="L52" s="441"/>
      <c r="M52" s="441"/>
      <c r="N52" s="441">
        <f>D52*J52</f>
        <v>0</v>
      </c>
      <c r="O52" s="441">
        <f>SUM(L52:N52)</f>
        <v>0</v>
      </c>
      <c r="P52" s="409">
        <f>'Rider Rates'!$E$127</f>
        <v>45658</v>
      </c>
      <c r="Q52" s="386"/>
      <c r="R52" s="383"/>
      <c r="S52" s="377"/>
      <c r="T52" s="378"/>
      <c r="U52" s="336"/>
      <c r="V52" s="379"/>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c r="BW52" s="336"/>
      <c r="BX52" s="336"/>
      <c r="BY52" s="336"/>
      <c r="BZ52" s="336"/>
      <c r="CA52" s="336"/>
      <c r="CB52" s="336"/>
      <c r="CC52" s="336"/>
      <c r="CD52" s="336"/>
      <c r="CE52" s="336"/>
      <c r="CF52" s="336"/>
      <c r="CG52" s="336"/>
      <c r="CH52" s="336"/>
      <c r="CI52" s="336"/>
      <c r="CJ52" s="336"/>
      <c r="CK52" s="336"/>
      <c r="CL52" s="336"/>
      <c r="CM52" s="336"/>
      <c r="CN52" s="336"/>
      <c r="CO52" s="336"/>
      <c r="CP52" s="336"/>
      <c r="CQ52" s="336"/>
      <c r="CR52" s="336"/>
      <c r="CS52" s="336"/>
      <c r="CT52" s="336"/>
      <c r="CU52" s="336"/>
      <c r="CV52" s="336"/>
      <c r="CW52" s="336"/>
      <c r="CX52" s="336"/>
      <c r="CY52" s="336"/>
      <c r="CZ52" s="336"/>
      <c r="DA52" s="336"/>
      <c r="DB52" s="336"/>
      <c r="DC52" s="336"/>
      <c r="DD52" s="336"/>
      <c r="DE52" s="336"/>
      <c r="DF52" s="336"/>
      <c r="DG52" s="336"/>
      <c r="DH52" s="336"/>
      <c r="DI52" s="336"/>
      <c r="DJ52" s="336"/>
      <c r="DK52" s="336"/>
      <c r="DL52" s="336"/>
      <c r="DM52" s="336"/>
      <c r="DN52" s="336"/>
      <c r="DO52" s="336"/>
      <c r="DP52" s="336"/>
      <c r="DQ52" s="336"/>
      <c r="DR52" s="336"/>
      <c r="DS52" s="336"/>
      <c r="DT52" s="336"/>
      <c r="DU52" s="336"/>
      <c r="DV52" s="336"/>
      <c r="DW52" s="336"/>
      <c r="DX52" s="336"/>
      <c r="DY52" s="336"/>
      <c r="DZ52" s="336"/>
      <c r="EA52" s="336"/>
      <c r="EB52" s="336"/>
      <c r="EC52" s="336"/>
      <c r="ED52" s="336"/>
      <c r="EE52" s="336"/>
      <c r="EF52" s="336"/>
      <c r="EG52" s="336"/>
      <c r="EH52" s="336"/>
      <c r="EI52" s="336"/>
      <c r="EJ52" s="336"/>
      <c r="EK52" s="336"/>
      <c r="EL52" s="336"/>
      <c r="EM52" s="336"/>
      <c r="EN52" s="336"/>
      <c r="EO52" s="336"/>
      <c r="EP52" s="336"/>
      <c r="EQ52" s="336"/>
      <c r="ER52" s="336"/>
      <c r="ES52" s="336"/>
      <c r="ET52" s="336"/>
      <c r="EU52" s="336"/>
      <c r="EV52" s="336"/>
      <c r="EW52" s="336"/>
      <c r="EX52" s="336"/>
      <c r="EY52" s="336"/>
      <c r="EZ52" s="336"/>
      <c r="FA52" s="336"/>
      <c r="FB52" s="336"/>
      <c r="FC52" s="336"/>
      <c r="FD52" s="336"/>
      <c r="FE52" s="336"/>
      <c r="FF52" s="336"/>
      <c r="FG52" s="336"/>
      <c r="FH52" s="336"/>
      <c r="FI52" s="336"/>
      <c r="FJ52" s="336"/>
      <c r="FK52" s="336"/>
      <c r="FL52" s="336"/>
      <c r="FM52" s="336"/>
      <c r="FN52" s="336"/>
      <c r="FO52" s="336"/>
      <c r="FP52" s="336"/>
      <c r="FQ52" s="336"/>
      <c r="FR52" s="336"/>
      <c r="FS52" s="336"/>
      <c r="FT52" s="336"/>
      <c r="FU52" s="336"/>
      <c r="FV52" s="336"/>
      <c r="FW52" s="336"/>
      <c r="FX52" s="336"/>
      <c r="FY52" s="336"/>
      <c r="FZ52" s="336"/>
      <c r="GA52" s="336"/>
      <c r="GB52" s="336"/>
      <c r="GC52" s="336"/>
      <c r="GD52" s="336"/>
      <c r="GE52" s="336"/>
      <c r="GF52" s="336"/>
      <c r="GG52" s="336"/>
      <c r="GH52" s="336"/>
      <c r="GI52" s="336"/>
      <c r="GJ52" s="336"/>
      <c r="GK52" s="336"/>
      <c r="GL52" s="336"/>
      <c r="GM52" s="336"/>
      <c r="GN52" s="336"/>
      <c r="GO52" s="336"/>
      <c r="GP52" s="336"/>
      <c r="GQ52" s="336"/>
      <c r="GR52" s="336"/>
      <c r="GS52" s="336"/>
      <c r="GT52" s="336"/>
      <c r="GU52" s="336"/>
      <c r="GV52" s="336"/>
      <c r="GW52" s="336"/>
      <c r="GX52" s="336"/>
      <c r="GY52" s="336"/>
      <c r="GZ52" s="336"/>
      <c r="HA52" s="336"/>
      <c r="HB52" s="336"/>
      <c r="HC52" s="336"/>
      <c r="HD52" s="336"/>
      <c r="HE52" s="336"/>
      <c r="HF52" s="336"/>
      <c r="HG52" s="336"/>
      <c r="HH52" s="336"/>
      <c r="HI52" s="336"/>
      <c r="HJ52" s="336"/>
      <c r="HK52" s="336"/>
      <c r="HL52" s="336"/>
      <c r="HM52" s="336"/>
    </row>
    <row r="53" spans="1:236" x14ac:dyDescent="0.25">
      <c r="A53" s="397" t="s">
        <v>242</v>
      </c>
      <c r="B53" s="336"/>
      <c r="C53" s="336"/>
      <c r="D53" s="363">
        <f>C15</f>
        <v>0</v>
      </c>
      <c r="E53" s="364" t="s">
        <v>41</v>
      </c>
      <c r="F53" s="358" t="s">
        <v>8</v>
      </c>
      <c r="G53" s="389"/>
      <c r="H53" s="389"/>
      <c r="I53" s="389">
        <f>'Rider Rates'!$B$131</f>
        <v>0</v>
      </c>
      <c r="J53" s="396">
        <f>SUM(G53:I53)</f>
        <v>0</v>
      </c>
      <c r="K53" s="367" t="s">
        <v>42</v>
      </c>
      <c r="L53" s="250"/>
      <c r="M53" s="250"/>
      <c r="N53" s="250">
        <f>D53*J53</f>
        <v>0</v>
      </c>
      <c r="O53" s="250">
        <f>SUM(L53:N53)</f>
        <v>0</v>
      </c>
      <c r="P53" s="361">
        <f>'Rider Rates'!$D$131</f>
        <v>44531</v>
      </c>
      <c r="Q53" s="386"/>
      <c r="R53" s="383"/>
      <c r="S53" s="377"/>
      <c r="T53" s="378"/>
      <c r="U53" s="336"/>
      <c r="V53" s="379"/>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c r="CK53" s="336"/>
      <c r="CL53" s="336"/>
      <c r="CM53" s="336"/>
      <c r="CN53" s="336"/>
      <c r="CO53" s="336"/>
      <c r="CP53" s="336"/>
      <c r="CQ53" s="336"/>
      <c r="CR53" s="336"/>
      <c r="CS53" s="336"/>
      <c r="CT53" s="336"/>
      <c r="CU53" s="336"/>
      <c r="CV53" s="336"/>
      <c r="CW53" s="336"/>
      <c r="CX53" s="336"/>
      <c r="CY53" s="336"/>
      <c r="CZ53" s="336"/>
      <c r="DA53" s="336"/>
      <c r="DB53" s="336"/>
      <c r="DC53" s="336"/>
      <c r="DD53" s="336"/>
      <c r="DE53" s="336"/>
      <c r="DF53" s="336"/>
      <c r="DG53" s="336"/>
      <c r="DH53" s="336"/>
      <c r="DI53" s="336"/>
      <c r="DJ53" s="336"/>
      <c r="DK53" s="336"/>
      <c r="DL53" s="336"/>
      <c r="DM53" s="336"/>
      <c r="DN53" s="336"/>
      <c r="DO53" s="336"/>
      <c r="DP53" s="336"/>
      <c r="DQ53" s="336"/>
      <c r="DR53" s="336"/>
      <c r="DS53" s="336"/>
      <c r="DT53" s="336"/>
      <c r="DU53" s="336"/>
      <c r="DV53" s="336"/>
      <c r="DW53" s="336"/>
      <c r="DX53" s="336"/>
      <c r="DY53" s="336"/>
      <c r="DZ53" s="336"/>
      <c r="EA53" s="336"/>
      <c r="EB53" s="336"/>
      <c r="EC53" s="336"/>
      <c r="ED53" s="336"/>
      <c r="EE53" s="336"/>
      <c r="EF53" s="336"/>
      <c r="EG53" s="336"/>
      <c r="EH53" s="336"/>
      <c r="EI53" s="336"/>
      <c r="EJ53" s="336"/>
      <c r="EK53" s="336"/>
      <c r="EL53" s="336"/>
      <c r="EM53" s="336"/>
      <c r="EN53" s="336"/>
      <c r="EO53" s="336"/>
      <c r="EP53" s="336"/>
      <c r="EQ53" s="336"/>
      <c r="ER53" s="336"/>
      <c r="ES53" s="336"/>
      <c r="ET53" s="336"/>
      <c r="EU53" s="336"/>
      <c r="EV53" s="336"/>
      <c r="EW53" s="336"/>
      <c r="EX53" s="336"/>
      <c r="EY53" s="336"/>
      <c r="EZ53" s="336"/>
      <c r="FA53" s="336"/>
      <c r="FB53" s="336"/>
      <c r="FC53" s="336"/>
      <c r="FD53" s="336"/>
      <c r="FE53" s="336"/>
      <c r="FF53" s="336"/>
      <c r="FG53" s="336"/>
      <c r="FH53" s="336"/>
      <c r="FI53" s="336"/>
      <c r="FJ53" s="336"/>
      <c r="FK53" s="336"/>
      <c r="FL53" s="336"/>
      <c r="FM53" s="336"/>
      <c r="FN53" s="336"/>
      <c r="FO53" s="336"/>
      <c r="FP53" s="336"/>
      <c r="FQ53" s="336"/>
      <c r="FR53" s="336"/>
      <c r="FS53" s="336"/>
      <c r="FT53" s="336"/>
      <c r="FU53" s="336"/>
      <c r="FV53" s="336"/>
      <c r="FW53" s="336"/>
      <c r="FX53" s="336"/>
      <c r="FY53" s="336"/>
      <c r="FZ53" s="336"/>
      <c r="GA53" s="336"/>
      <c r="GB53" s="336"/>
      <c r="GC53" s="336"/>
      <c r="GD53" s="336"/>
      <c r="GE53" s="336"/>
      <c r="GF53" s="336"/>
      <c r="GG53" s="336"/>
      <c r="GH53" s="336"/>
      <c r="GI53" s="336"/>
      <c r="GJ53" s="336"/>
      <c r="GK53" s="336"/>
      <c r="GL53" s="336"/>
      <c r="GM53" s="336"/>
      <c r="GN53" s="336"/>
      <c r="GO53" s="336"/>
      <c r="GP53" s="336"/>
      <c r="GQ53" s="336"/>
      <c r="GR53" s="336"/>
      <c r="GS53" s="336"/>
      <c r="GT53" s="336"/>
      <c r="GU53" s="336"/>
      <c r="GV53" s="336"/>
      <c r="GW53" s="336"/>
      <c r="GX53" s="336"/>
      <c r="GY53" s="336"/>
      <c r="GZ53" s="336"/>
      <c r="HA53" s="336"/>
      <c r="HB53" s="336"/>
      <c r="HC53" s="336"/>
      <c r="HD53" s="336"/>
      <c r="HE53" s="336"/>
      <c r="HF53" s="336"/>
      <c r="HG53" s="336"/>
      <c r="HH53" s="336"/>
      <c r="HI53" s="336"/>
      <c r="HJ53" s="336"/>
      <c r="HK53" s="336"/>
      <c r="HL53" s="336"/>
      <c r="HM53" s="336"/>
    </row>
    <row r="54" spans="1:236" x14ac:dyDescent="0.25">
      <c r="A54" s="397" t="s">
        <v>241</v>
      </c>
      <c r="B54" s="336"/>
      <c r="C54" s="336"/>
      <c r="D54" s="363"/>
      <c r="E54" s="364" t="s">
        <v>115</v>
      </c>
      <c r="F54" s="365" t="s">
        <v>8</v>
      </c>
      <c r="G54" s="407"/>
      <c r="H54" s="407"/>
      <c r="I54" s="407">
        <f>'Rider Rates'!$B$138</f>
        <v>0</v>
      </c>
      <c r="J54" s="407">
        <f>SUM(G54:I54)</f>
        <v>0</v>
      </c>
      <c r="K54" s="367"/>
      <c r="L54" s="408"/>
      <c r="M54" s="408"/>
      <c r="N54" s="408">
        <f>J54</f>
        <v>0</v>
      </c>
      <c r="O54" s="408">
        <f>SUM(L54:N54)</f>
        <v>0</v>
      </c>
      <c r="P54" s="409">
        <f>'Rider Rates'!$D$138</f>
        <v>44531</v>
      </c>
      <c r="Q54" s="386"/>
      <c r="R54" s="383"/>
      <c r="S54" s="377"/>
      <c r="T54" s="378"/>
      <c r="U54" s="336"/>
      <c r="V54" s="379"/>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c r="FA54" s="336"/>
      <c r="FB54" s="336"/>
      <c r="FC54" s="336"/>
      <c r="FD54" s="336"/>
      <c r="FE54" s="336"/>
      <c r="FF54" s="336"/>
      <c r="FG54" s="336"/>
      <c r="FH54" s="336"/>
      <c r="FI54" s="336"/>
      <c r="FJ54" s="336"/>
      <c r="FK54" s="336"/>
      <c r="FL54" s="336"/>
      <c r="FM54" s="336"/>
      <c r="FN54" s="336"/>
      <c r="FO54" s="336"/>
      <c r="FP54" s="336"/>
      <c r="FQ54" s="336"/>
      <c r="FR54" s="336"/>
      <c r="FS54" s="336"/>
      <c r="FT54" s="336"/>
      <c r="FU54" s="336"/>
      <c r="FV54" s="336"/>
      <c r="FW54" s="336"/>
      <c r="FX54" s="336"/>
      <c r="FY54" s="336"/>
      <c r="FZ54" s="336"/>
      <c r="GA54" s="336"/>
      <c r="GB54" s="336"/>
      <c r="GC54" s="336"/>
      <c r="GD54" s="336"/>
      <c r="GE54" s="336"/>
      <c r="GF54" s="336"/>
      <c r="GG54" s="336"/>
      <c r="GH54" s="336"/>
      <c r="GI54" s="336"/>
      <c r="GJ54" s="336"/>
      <c r="GK54" s="336"/>
      <c r="GL54" s="336"/>
      <c r="GM54" s="336"/>
      <c r="GN54" s="336"/>
      <c r="GO54" s="336"/>
      <c r="GP54" s="336"/>
      <c r="GQ54" s="336"/>
      <c r="GR54" s="336"/>
      <c r="GS54" s="336"/>
      <c r="GT54" s="336"/>
      <c r="GU54" s="336"/>
      <c r="GV54" s="336"/>
      <c r="GW54" s="336"/>
      <c r="GX54" s="336"/>
      <c r="GY54" s="336"/>
      <c r="GZ54" s="336"/>
      <c r="HA54" s="336"/>
      <c r="HB54" s="336"/>
      <c r="HC54" s="336"/>
      <c r="HD54" s="336"/>
      <c r="HE54" s="336"/>
      <c r="HF54" s="336"/>
      <c r="HG54" s="336"/>
      <c r="HH54" s="336"/>
      <c r="HI54" s="336"/>
      <c r="HJ54" s="336"/>
      <c r="HK54" s="336"/>
      <c r="HL54" s="336"/>
      <c r="HM54" s="336"/>
    </row>
    <row r="55" spans="1:236" x14ac:dyDescent="0.25">
      <c r="A55" s="397" t="s">
        <v>243</v>
      </c>
      <c r="B55" s="336"/>
      <c r="C55" s="336"/>
      <c r="D55" s="363"/>
      <c r="E55" s="364"/>
      <c r="F55" s="365"/>
      <c r="G55" s="407"/>
      <c r="H55" s="407"/>
      <c r="I55" s="407"/>
      <c r="J55" s="407"/>
      <c r="K55" s="367"/>
      <c r="L55" s="408"/>
      <c r="M55" s="408"/>
      <c r="N55" s="408"/>
      <c r="O55" s="408"/>
      <c r="P55" s="409"/>
      <c r="Q55" s="386"/>
      <c r="R55" s="383"/>
      <c r="S55" s="377"/>
      <c r="T55" s="378"/>
      <c r="U55" s="336"/>
      <c r="V55" s="379"/>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336"/>
      <c r="BK55" s="336"/>
      <c r="BL55" s="336"/>
      <c r="BM55" s="336"/>
      <c r="BN55" s="336"/>
      <c r="BO55" s="336"/>
      <c r="BP55" s="336"/>
      <c r="BQ55" s="336"/>
      <c r="BR55" s="336"/>
      <c r="BS55" s="336"/>
      <c r="BT55" s="336"/>
      <c r="BU55" s="336"/>
      <c r="BV55" s="336"/>
      <c r="BW55" s="336"/>
      <c r="BX55" s="336"/>
      <c r="BY55" s="336"/>
      <c r="BZ55" s="336"/>
      <c r="CA55" s="336"/>
      <c r="CB55" s="336"/>
      <c r="CC55" s="336"/>
      <c r="CD55" s="336"/>
      <c r="CE55" s="336"/>
      <c r="CF55" s="336"/>
      <c r="CG55" s="336"/>
      <c r="CH55" s="336"/>
      <c r="CI55" s="336"/>
      <c r="CJ55" s="336"/>
      <c r="CK55" s="336"/>
      <c r="CL55" s="336"/>
      <c r="CM55" s="336"/>
      <c r="CN55" s="336"/>
      <c r="CO55" s="336"/>
      <c r="CP55" s="336"/>
      <c r="CQ55" s="336"/>
      <c r="CR55" s="336"/>
      <c r="CS55" s="336"/>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336"/>
      <c r="DV55" s="336"/>
      <c r="DW55" s="336"/>
      <c r="DX55" s="336"/>
      <c r="DY55" s="336"/>
      <c r="DZ55" s="336"/>
      <c r="EA55" s="336"/>
      <c r="EB55" s="336"/>
      <c r="EC55" s="336"/>
      <c r="ED55" s="336"/>
      <c r="EE55" s="336"/>
      <c r="EF55" s="336"/>
      <c r="EG55" s="336"/>
      <c r="EH55" s="336"/>
      <c r="EI55" s="336"/>
      <c r="EJ55" s="336"/>
      <c r="EK55" s="336"/>
      <c r="EL55" s="336"/>
      <c r="EM55" s="336"/>
      <c r="EN55" s="336"/>
      <c r="EO55" s="336"/>
      <c r="EP55" s="336"/>
      <c r="EQ55" s="336"/>
      <c r="ER55" s="336"/>
      <c r="ES55" s="336"/>
      <c r="ET55" s="336"/>
      <c r="EU55" s="336"/>
      <c r="EV55" s="336"/>
      <c r="EW55" s="336"/>
      <c r="EX55" s="336"/>
      <c r="EY55" s="336"/>
      <c r="EZ55" s="336"/>
      <c r="FA55" s="336"/>
      <c r="FB55" s="336"/>
      <c r="FC55" s="336"/>
      <c r="FD55" s="336"/>
      <c r="FE55" s="336"/>
      <c r="FF55" s="336"/>
      <c r="FG55" s="336"/>
      <c r="FH55" s="336"/>
      <c r="FI55" s="336"/>
      <c r="FJ55" s="336"/>
      <c r="FK55" s="336"/>
      <c r="FL55" s="336"/>
      <c r="FM55" s="336"/>
      <c r="FN55" s="336"/>
      <c r="FO55" s="336"/>
      <c r="FP55" s="336"/>
      <c r="FQ55" s="336"/>
      <c r="FR55" s="336"/>
      <c r="FS55" s="336"/>
      <c r="FT55" s="336"/>
      <c r="FU55" s="336"/>
      <c r="FV55" s="336"/>
      <c r="FW55" s="336"/>
      <c r="FX55" s="336"/>
      <c r="FY55" s="336"/>
      <c r="FZ55" s="336"/>
      <c r="GA55" s="336"/>
      <c r="GB55" s="336"/>
      <c r="GC55" s="336"/>
      <c r="GD55" s="336"/>
      <c r="GE55" s="336"/>
      <c r="GF55" s="336"/>
      <c r="GG55" s="336"/>
      <c r="GH55" s="336"/>
      <c r="GI55" s="336"/>
      <c r="GJ55" s="336"/>
      <c r="GK55" s="336"/>
      <c r="GL55" s="336"/>
      <c r="GM55" s="336"/>
      <c r="GN55" s="336"/>
      <c r="GO55" s="336"/>
      <c r="GP55" s="336"/>
      <c r="GQ55" s="336"/>
      <c r="GR55" s="336"/>
      <c r="GS55" s="336"/>
      <c r="GT55" s="336"/>
      <c r="GU55" s="336"/>
      <c r="GV55" s="336"/>
      <c r="GW55" s="336"/>
      <c r="GX55" s="336"/>
      <c r="GY55" s="336"/>
      <c r="GZ55" s="336"/>
      <c r="HA55" s="336"/>
      <c r="HB55" s="336"/>
      <c r="HC55" s="336"/>
      <c r="HD55" s="336"/>
      <c r="HE55" s="336"/>
      <c r="HF55" s="336"/>
      <c r="HG55" s="336"/>
      <c r="HH55" s="336"/>
      <c r="HI55" s="336"/>
      <c r="HJ55" s="336"/>
      <c r="HK55" s="336"/>
      <c r="HL55" s="336"/>
      <c r="HM55" s="336"/>
    </row>
    <row r="56" spans="1:236" x14ac:dyDescent="0.25">
      <c r="A56" s="410" t="s">
        <v>71</v>
      </c>
      <c r="B56" s="347"/>
      <c r="C56" s="347"/>
      <c r="D56" s="411"/>
      <c r="E56" s="412"/>
      <c r="F56" s="413"/>
      <c r="G56" s="413"/>
      <c r="H56" s="413"/>
      <c r="I56" s="413"/>
      <c r="J56" s="413"/>
      <c r="K56" s="414"/>
      <c r="L56" s="415">
        <f>SUM(L27:L55)</f>
        <v>0</v>
      </c>
      <c r="M56" s="415">
        <f t="shared" ref="M56:O56" si="4">SUM(M27:M55)</f>
        <v>0</v>
      </c>
      <c r="N56" s="415">
        <f t="shared" si="4"/>
        <v>313.35999999999996</v>
      </c>
      <c r="O56" s="415">
        <f t="shared" si="4"/>
        <v>313.35999999999996</v>
      </c>
      <c r="P56" s="416"/>
      <c r="Q56" s="386"/>
      <c r="R56" s="383"/>
      <c r="S56" s="377"/>
      <c r="T56" s="378"/>
      <c r="U56" s="336"/>
      <c r="V56" s="379"/>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c r="BW56" s="336"/>
      <c r="BX56" s="336"/>
      <c r="BY56" s="336"/>
      <c r="BZ56" s="336"/>
      <c r="CA56" s="336"/>
      <c r="CB56" s="336"/>
      <c r="CC56" s="336"/>
      <c r="CD56" s="336"/>
      <c r="CE56" s="336"/>
      <c r="CF56" s="336"/>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36"/>
      <c r="DV56" s="336"/>
      <c r="DW56" s="336"/>
      <c r="DX56" s="336"/>
      <c r="DY56" s="336"/>
      <c r="DZ56" s="336"/>
      <c r="EA56" s="336"/>
      <c r="EB56" s="336"/>
      <c r="EC56" s="336"/>
      <c r="ED56" s="336"/>
      <c r="EE56" s="336"/>
      <c r="EF56" s="336"/>
      <c r="EG56" s="336"/>
      <c r="EH56" s="336"/>
      <c r="EI56" s="336"/>
      <c r="EJ56" s="336"/>
      <c r="EK56" s="336"/>
      <c r="EL56" s="336"/>
      <c r="EM56" s="336"/>
      <c r="EN56" s="336"/>
      <c r="EO56" s="336"/>
      <c r="EP56" s="336"/>
      <c r="EQ56" s="336"/>
      <c r="ER56" s="336"/>
      <c r="ES56" s="336"/>
      <c r="ET56" s="336"/>
      <c r="EU56" s="336"/>
      <c r="EV56" s="336"/>
      <c r="EW56" s="336"/>
      <c r="EX56" s="336"/>
      <c r="EY56" s="336"/>
      <c r="EZ56" s="336"/>
      <c r="FA56" s="336"/>
      <c r="FB56" s="336"/>
      <c r="FC56" s="336"/>
      <c r="FD56" s="336"/>
      <c r="FE56" s="336"/>
      <c r="FF56" s="336"/>
      <c r="FG56" s="336"/>
      <c r="FH56" s="336"/>
      <c r="FI56" s="336"/>
      <c r="FJ56" s="336"/>
      <c r="FK56" s="336"/>
      <c r="FL56" s="336"/>
      <c r="FM56" s="336"/>
      <c r="FN56" s="336"/>
      <c r="FO56" s="336"/>
      <c r="FP56" s="336"/>
      <c r="FQ56" s="336"/>
      <c r="FR56" s="336"/>
      <c r="FS56" s="336"/>
      <c r="FT56" s="336"/>
      <c r="FU56" s="336"/>
      <c r="FV56" s="336"/>
      <c r="FW56" s="336"/>
      <c r="FX56" s="336"/>
      <c r="FY56" s="336"/>
      <c r="FZ56" s="336"/>
      <c r="GA56" s="336"/>
      <c r="GB56" s="336"/>
      <c r="GC56" s="336"/>
      <c r="GD56" s="336"/>
      <c r="GE56" s="336"/>
      <c r="GF56" s="336"/>
      <c r="GG56" s="336"/>
      <c r="GH56" s="336"/>
      <c r="GI56" s="336"/>
      <c r="GJ56" s="336"/>
      <c r="GK56" s="336"/>
      <c r="GL56" s="336"/>
      <c r="GM56" s="336"/>
      <c r="GN56" s="336"/>
      <c r="GO56" s="336"/>
      <c r="GP56" s="336"/>
      <c r="GQ56" s="336"/>
      <c r="GR56" s="336"/>
      <c r="GS56" s="336"/>
      <c r="GT56" s="336"/>
      <c r="GU56" s="336"/>
      <c r="GV56" s="336"/>
      <c r="GW56" s="336"/>
      <c r="GX56" s="336"/>
      <c r="GY56" s="336"/>
      <c r="GZ56" s="336"/>
      <c r="HA56" s="336"/>
      <c r="HB56" s="336"/>
      <c r="HC56" s="336"/>
      <c r="HD56" s="336"/>
      <c r="HE56" s="336"/>
      <c r="HF56" s="336"/>
      <c r="HG56" s="336"/>
      <c r="HH56" s="336"/>
      <c r="HI56" s="336"/>
      <c r="HJ56" s="336"/>
      <c r="HK56" s="336"/>
      <c r="HL56" s="336"/>
      <c r="HM56" s="336"/>
    </row>
    <row r="57" spans="1:236" x14ac:dyDescent="0.25">
      <c r="A57" s="336"/>
      <c r="B57" s="336"/>
      <c r="C57" s="336"/>
      <c r="D57" s="363"/>
      <c r="E57" s="398"/>
      <c r="F57" s="386"/>
      <c r="G57" s="386"/>
      <c r="H57" s="386"/>
      <c r="I57" s="386"/>
      <c r="J57" s="383"/>
      <c r="K57" s="367"/>
      <c r="L57" s="386"/>
      <c r="M57" s="386"/>
      <c r="N57" s="386"/>
      <c r="O57" s="386"/>
      <c r="P57" s="418"/>
      <c r="Q57" s="386"/>
      <c r="R57" s="383"/>
      <c r="S57" s="377"/>
      <c r="T57" s="378"/>
      <c r="U57" s="336"/>
      <c r="V57" s="379"/>
      <c r="W57" s="336"/>
      <c r="X57" s="336"/>
      <c r="Y57" s="336"/>
      <c r="Z57" s="336"/>
      <c r="AA57" s="336"/>
      <c r="AB57" s="336"/>
      <c r="AC57" s="336"/>
      <c r="AD57" s="336"/>
      <c r="AE57" s="336"/>
      <c r="AF57" s="336"/>
      <c r="AG57" s="336"/>
      <c r="AH57" s="336"/>
      <c r="AI57" s="336"/>
      <c r="AJ57" s="336"/>
      <c r="AK57" s="336"/>
      <c r="AL57" s="336"/>
      <c r="AM57" s="336"/>
      <c r="AN57" s="336"/>
      <c r="AO57" s="336"/>
      <c r="AP57" s="336"/>
      <c r="AQ57" s="336"/>
      <c r="AR57" s="336"/>
      <c r="AS57" s="336"/>
      <c r="AT57" s="336"/>
      <c r="AU57" s="336"/>
      <c r="AV57" s="336"/>
      <c r="AW57" s="336"/>
      <c r="AX57" s="336"/>
      <c r="AY57" s="336"/>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c r="BW57" s="336"/>
      <c r="BX57" s="336"/>
      <c r="BY57" s="336"/>
      <c r="BZ57" s="336"/>
      <c r="CA57" s="336"/>
      <c r="CB57" s="336"/>
      <c r="CC57" s="336"/>
      <c r="CD57" s="336"/>
      <c r="CE57" s="336"/>
      <c r="CF57" s="336"/>
      <c r="CG57" s="336"/>
      <c r="CH57" s="336"/>
      <c r="CI57" s="336"/>
      <c r="CJ57" s="336"/>
      <c r="CK57" s="336"/>
      <c r="CL57" s="336"/>
      <c r="CM57" s="336"/>
      <c r="CN57" s="336"/>
      <c r="CO57" s="336"/>
      <c r="CP57" s="336"/>
      <c r="CQ57" s="336"/>
      <c r="CR57" s="33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336"/>
      <c r="DV57" s="336"/>
      <c r="DW57" s="336"/>
      <c r="DX57" s="336"/>
      <c r="DY57" s="336"/>
      <c r="DZ57" s="336"/>
      <c r="EA57" s="336"/>
      <c r="EB57" s="336"/>
      <c r="EC57" s="336"/>
      <c r="ED57" s="336"/>
      <c r="EE57" s="336"/>
      <c r="EF57" s="336"/>
      <c r="EG57" s="336"/>
      <c r="EH57" s="336"/>
      <c r="EI57" s="336"/>
      <c r="EJ57" s="336"/>
      <c r="EK57" s="336"/>
      <c r="EL57" s="336"/>
      <c r="EM57" s="336"/>
      <c r="EN57" s="336"/>
      <c r="EO57" s="336"/>
      <c r="EP57" s="336"/>
      <c r="EQ57" s="336"/>
      <c r="ER57" s="336"/>
      <c r="ES57" s="336"/>
      <c r="ET57" s="336"/>
      <c r="EU57" s="336"/>
      <c r="EV57" s="336"/>
      <c r="EW57" s="336"/>
      <c r="EX57" s="336"/>
      <c r="EY57" s="336"/>
      <c r="EZ57" s="336"/>
      <c r="FA57" s="336"/>
      <c r="FB57" s="336"/>
      <c r="FC57" s="336"/>
      <c r="FD57" s="336"/>
      <c r="FE57" s="336"/>
      <c r="FF57" s="336"/>
      <c r="FG57" s="336"/>
      <c r="FH57" s="336"/>
      <c r="FI57" s="336"/>
      <c r="FJ57" s="336"/>
      <c r="FK57" s="336"/>
      <c r="FL57" s="336"/>
      <c r="FM57" s="336"/>
      <c r="FN57" s="336"/>
      <c r="FO57" s="336"/>
      <c r="FP57" s="336"/>
      <c r="FQ57" s="336"/>
      <c r="FR57" s="336"/>
      <c r="FS57" s="336"/>
      <c r="FT57" s="336"/>
      <c r="FU57" s="336"/>
      <c r="FV57" s="336"/>
      <c r="FW57" s="336"/>
      <c r="FX57" s="336"/>
      <c r="FY57" s="336"/>
      <c r="FZ57" s="336"/>
      <c r="GA57" s="336"/>
      <c r="GB57" s="336"/>
      <c r="GC57" s="336"/>
      <c r="GD57" s="336"/>
      <c r="GE57" s="336"/>
      <c r="GF57" s="336"/>
      <c r="GG57" s="336"/>
      <c r="GH57" s="336"/>
      <c r="GI57" s="336"/>
      <c r="GJ57" s="336"/>
      <c r="GK57" s="336"/>
      <c r="GL57" s="336"/>
      <c r="GM57" s="336"/>
      <c r="GN57" s="336"/>
      <c r="GO57" s="336"/>
      <c r="GP57" s="336"/>
      <c r="GQ57" s="336"/>
      <c r="GR57" s="336"/>
      <c r="GS57" s="336"/>
      <c r="GT57" s="336"/>
      <c r="GU57" s="336"/>
      <c r="GV57" s="336"/>
      <c r="GW57" s="336"/>
      <c r="GX57" s="336"/>
      <c r="GY57" s="336"/>
      <c r="GZ57" s="336"/>
      <c r="HA57" s="336"/>
      <c r="HB57" s="336"/>
      <c r="HC57" s="336"/>
      <c r="HD57" s="336"/>
      <c r="HE57" s="336"/>
      <c r="HF57" s="336"/>
      <c r="HG57" s="336"/>
      <c r="HH57" s="336"/>
      <c r="HI57" s="336"/>
      <c r="HJ57" s="336"/>
      <c r="HK57" s="336"/>
      <c r="HL57" s="336"/>
      <c r="HM57" s="336"/>
    </row>
    <row r="58" spans="1:236" x14ac:dyDescent="0.25">
      <c r="A58" s="447" t="s">
        <v>94</v>
      </c>
      <c r="B58" s="380"/>
      <c r="C58" s="380"/>
      <c r="D58" s="380"/>
      <c r="E58" s="380"/>
      <c r="F58" s="380"/>
      <c r="G58" s="380"/>
      <c r="H58" s="380"/>
      <c r="I58" s="380"/>
      <c r="J58" s="380"/>
      <c r="K58" s="380"/>
      <c r="L58" s="419">
        <f>L23+L56</f>
        <v>0</v>
      </c>
      <c r="M58" s="419">
        <f>M23+M56</f>
        <v>0</v>
      </c>
      <c r="N58" s="419">
        <f>N23+N56</f>
        <v>1138.3599999999999</v>
      </c>
      <c r="O58" s="420">
        <f>O23+O56</f>
        <v>1138.3599999999999</v>
      </c>
      <c r="P58" s="420"/>
      <c r="Q58" s="386"/>
      <c r="R58" s="443"/>
      <c r="S58" s="377"/>
      <c r="T58" s="378"/>
      <c r="U58" s="336"/>
      <c r="V58" s="377"/>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6"/>
      <c r="BG58" s="336"/>
      <c r="BH58" s="336"/>
      <c r="BI58" s="336"/>
      <c r="BJ58" s="336"/>
      <c r="BK58" s="336"/>
      <c r="BL58" s="336"/>
      <c r="BM58" s="336"/>
      <c r="BN58" s="336"/>
      <c r="BO58" s="336"/>
      <c r="BP58" s="336"/>
      <c r="BQ58" s="336"/>
      <c r="BR58" s="336"/>
      <c r="BS58" s="336"/>
      <c r="BT58" s="336"/>
      <c r="BU58" s="336"/>
      <c r="BV58" s="336"/>
      <c r="BW58" s="336"/>
      <c r="BX58" s="336"/>
      <c r="BY58" s="336"/>
      <c r="BZ58" s="336"/>
      <c r="CA58" s="336"/>
      <c r="CB58" s="336"/>
      <c r="CC58" s="336"/>
      <c r="CD58" s="336"/>
      <c r="CE58" s="336"/>
      <c r="CF58" s="336"/>
      <c r="CG58" s="336"/>
      <c r="CH58" s="336"/>
      <c r="CI58" s="336"/>
      <c r="CJ58" s="336"/>
      <c r="CK58" s="336"/>
      <c r="CL58" s="336"/>
      <c r="CM58" s="336"/>
      <c r="CN58" s="336"/>
      <c r="CO58" s="336"/>
      <c r="CP58" s="336"/>
      <c r="CQ58" s="336"/>
      <c r="CR58" s="33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336"/>
      <c r="DV58" s="336"/>
      <c r="DW58" s="336"/>
      <c r="DX58" s="336"/>
      <c r="DY58" s="336"/>
      <c r="DZ58" s="336"/>
      <c r="EA58" s="336"/>
      <c r="EB58" s="336"/>
      <c r="EC58" s="336"/>
      <c r="ED58" s="336"/>
      <c r="EE58" s="336"/>
      <c r="EF58" s="336"/>
      <c r="EG58" s="336"/>
      <c r="EH58" s="336"/>
      <c r="EI58" s="336"/>
      <c r="EJ58" s="336"/>
      <c r="EK58" s="336"/>
      <c r="EL58" s="336"/>
      <c r="EM58" s="336"/>
      <c r="EN58" s="336"/>
      <c r="EO58" s="336"/>
      <c r="EP58" s="336"/>
      <c r="EQ58" s="336"/>
      <c r="ER58" s="336"/>
      <c r="ES58" s="336"/>
      <c r="ET58" s="336"/>
      <c r="EU58" s="336"/>
      <c r="EV58" s="336"/>
      <c r="EW58" s="336"/>
      <c r="EX58" s="336"/>
      <c r="EY58" s="336"/>
      <c r="EZ58" s="336"/>
      <c r="FA58" s="336"/>
      <c r="FB58" s="336"/>
      <c r="FC58" s="336"/>
      <c r="FD58" s="336"/>
      <c r="FE58" s="336"/>
      <c r="FF58" s="336"/>
      <c r="FG58" s="336"/>
      <c r="FH58" s="336"/>
      <c r="FI58" s="336"/>
      <c r="FJ58" s="336"/>
      <c r="FK58" s="336"/>
      <c r="FL58" s="336"/>
      <c r="FM58" s="336"/>
      <c r="FN58" s="336"/>
      <c r="FO58" s="336"/>
      <c r="FP58" s="336"/>
      <c r="FQ58" s="336"/>
      <c r="FR58" s="336"/>
      <c r="FS58" s="336"/>
      <c r="FT58" s="336"/>
      <c r="FU58" s="336"/>
      <c r="FV58" s="336"/>
      <c r="FW58" s="336"/>
      <c r="FX58" s="336"/>
      <c r="FY58" s="336"/>
      <c r="FZ58" s="336"/>
      <c r="GA58" s="336"/>
      <c r="GB58" s="336"/>
      <c r="GC58" s="336"/>
      <c r="GD58" s="336"/>
      <c r="GE58" s="336"/>
      <c r="GF58" s="336"/>
      <c r="GG58" s="336"/>
      <c r="GH58" s="336"/>
      <c r="GI58" s="336"/>
      <c r="GJ58" s="336"/>
      <c r="GK58" s="336"/>
      <c r="GL58" s="336"/>
      <c r="GM58" s="336"/>
      <c r="GN58" s="336"/>
      <c r="GO58" s="336"/>
      <c r="GP58" s="336"/>
      <c r="GQ58" s="336"/>
      <c r="GR58" s="336"/>
      <c r="GS58" s="336"/>
      <c r="GT58" s="336"/>
      <c r="GU58" s="336"/>
      <c r="GV58" s="336"/>
      <c r="GW58" s="336"/>
      <c r="GX58" s="336"/>
      <c r="GY58" s="336"/>
      <c r="GZ58" s="336"/>
      <c r="HA58" s="336"/>
      <c r="HB58" s="336"/>
      <c r="HC58" s="336"/>
      <c r="HD58" s="336"/>
      <c r="HE58" s="336"/>
      <c r="HF58" s="336"/>
      <c r="HG58" s="336"/>
      <c r="HH58" s="336"/>
      <c r="HI58" s="336"/>
      <c r="HJ58" s="336"/>
      <c r="HK58" s="336"/>
      <c r="HL58" s="336"/>
      <c r="HM58" s="336"/>
    </row>
    <row r="59" spans="1:236" x14ac:dyDescent="0.25">
      <c r="A59" s="336"/>
      <c r="B59" s="336"/>
      <c r="C59" s="336"/>
      <c r="D59" s="336"/>
      <c r="E59" s="336"/>
      <c r="F59" s="336"/>
      <c r="G59" s="336"/>
      <c r="H59" s="336"/>
      <c r="I59" s="336"/>
      <c r="J59" s="336"/>
      <c r="K59" s="336"/>
      <c r="L59" s="336"/>
      <c r="M59" s="336"/>
      <c r="Q59" s="384"/>
      <c r="R59" s="384"/>
      <c r="S59" s="384"/>
      <c r="T59" s="417"/>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c r="BE59" s="336"/>
      <c r="BF59" s="336"/>
      <c r="BG59" s="336"/>
      <c r="BH59" s="336"/>
      <c r="BI59" s="336"/>
      <c r="BJ59" s="336"/>
      <c r="BK59" s="336"/>
      <c r="BL59" s="336"/>
      <c r="BM59" s="336"/>
      <c r="BN59" s="336"/>
      <c r="BO59" s="336"/>
      <c r="BP59" s="336"/>
      <c r="BQ59" s="336"/>
      <c r="BR59" s="336"/>
      <c r="BS59" s="336"/>
      <c r="BT59" s="336"/>
      <c r="BU59" s="336"/>
      <c r="BV59" s="336"/>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row>
    <row r="60" spans="1:236" x14ac:dyDescent="0.25">
      <c r="A60" s="336"/>
      <c r="B60" s="336"/>
      <c r="C60" s="336"/>
      <c r="D60" s="336"/>
      <c r="E60" s="336"/>
      <c r="F60" s="336"/>
      <c r="G60" s="336"/>
      <c r="H60" s="336"/>
      <c r="I60" s="336"/>
      <c r="J60" s="336"/>
      <c r="K60" s="336"/>
      <c r="L60" s="336"/>
      <c r="M60" s="336"/>
      <c r="Q60" s="384"/>
      <c r="R60" s="384"/>
      <c r="S60" s="384"/>
      <c r="T60" s="417"/>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6"/>
      <c r="BP60" s="336"/>
      <c r="BQ60" s="336"/>
      <c r="BR60" s="336"/>
      <c r="BS60" s="336"/>
      <c r="BT60" s="336"/>
      <c r="BU60" s="336"/>
      <c r="BV60" s="336"/>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row>
    <row r="61" spans="1:236" x14ac:dyDescent="0.25">
      <c r="A61" s="384" t="s">
        <v>93</v>
      </c>
      <c r="B61" s="336"/>
      <c r="C61" s="336"/>
      <c r="D61" s="336"/>
      <c r="E61" s="336"/>
      <c r="F61" s="336"/>
      <c r="G61" s="336"/>
      <c r="H61" s="336"/>
      <c r="I61" s="336"/>
      <c r="J61" s="336"/>
      <c r="K61" s="336"/>
      <c r="L61" s="336"/>
      <c r="M61" s="336"/>
      <c r="N61" s="336"/>
      <c r="O61" s="378">
        <f>O21+O56</f>
        <v>1138.3599999999999</v>
      </c>
      <c r="Q61" s="384"/>
      <c r="R61" s="384"/>
      <c r="S61" s="384"/>
      <c r="T61" s="417"/>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c r="BE61" s="336"/>
      <c r="BF61" s="336"/>
      <c r="BG61" s="336"/>
      <c r="BH61" s="336"/>
      <c r="BI61" s="336"/>
      <c r="BJ61" s="336"/>
      <c r="BK61" s="336"/>
      <c r="BL61" s="336"/>
      <c r="BM61" s="336"/>
      <c r="BN61" s="336"/>
      <c r="BO61" s="336"/>
      <c r="BP61" s="336"/>
      <c r="BQ61" s="336"/>
      <c r="BR61" s="336"/>
      <c r="BS61" s="336"/>
      <c r="BT61" s="336"/>
      <c r="BU61" s="336"/>
      <c r="BV61" s="336"/>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row>
    <row r="62" spans="1:236" x14ac:dyDescent="0.25">
      <c r="A62" s="384" t="s">
        <v>15</v>
      </c>
      <c r="B62" s="384"/>
      <c r="C62" s="384"/>
      <c r="D62" s="384"/>
      <c r="E62" s="384"/>
      <c r="F62" s="384"/>
      <c r="G62" s="384"/>
      <c r="H62" s="384"/>
      <c r="I62" s="336"/>
      <c r="J62" s="336"/>
      <c r="K62" s="336"/>
      <c r="L62" s="336"/>
      <c r="M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row>
    <row r="63" spans="1:236" x14ac:dyDescent="0.25">
      <c r="A63" s="347" t="s">
        <v>117</v>
      </c>
      <c r="O63" s="423">
        <f>IF($D$17&lt;0,O58,IF(O58&gt;O61,O58,O61))</f>
        <v>1138.3599999999999</v>
      </c>
      <c r="P63" s="424"/>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336"/>
      <c r="BN63" s="336"/>
      <c r="BO63" s="336"/>
      <c r="BP63" s="336"/>
      <c r="BQ63" s="336"/>
      <c r="BR63" s="336"/>
      <c r="BS63" s="336"/>
      <c r="BT63" s="336"/>
      <c r="BU63" s="336"/>
      <c r="BV63" s="336"/>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row>
    <row r="64" spans="1:236" ht="15" customHeight="1" x14ac:dyDescent="0.25">
      <c r="A64" s="347"/>
      <c r="O64" s="423"/>
      <c r="P64" s="424"/>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c r="BE64" s="336"/>
      <c r="BF64" s="336"/>
      <c r="BG64" s="336"/>
      <c r="BH64" s="336"/>
      <c r="BI64" s="336"/>
      <c r="BJ64" s="336"/>
      <c r="BK64" s="336"/>
      <c r="BL64" s="336"/>
      <c r="BM64" s="336"/>
      <c r="BN64" s="336"/>
      <c r="BO64" s="336"/>
      <c r="BP64" s="336"/>
      <c r="BQ64" s="336"/>
      <c r="BR64" s="336"/>
      <c r="BS64" s="336"/>
      <c r="BT64" s="336"/>
      <c r="BU64" s="336"/>
      <c r="BV64" s="336"/>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row>
    <row r="65" spans="1:222" x14ac:dyDescent="0.25">
      <c r="A65" s="347"/>
      <c r="B65" s="384"/>
      <c r="C65" s="384"/>
      <c r="D65" s="384"/>
      <c r="E65" s="384"/>
      <c r="F65" s="384"/>
      <c r="G65" s="384"/>
      <c r="H65" s="384"/>
      <c r="I65" s="384" t="s">
        <v>121</v>
      </c>
      <c r="J65" s="384"/>
      <c r="K65" s="384"/>
      <c r="L65" s="425"/>
      <c r="M65" s="425"/>
      <c r="N65" s="425"/>
      <c r="O65" s="425">
        <f>ROUND(IF($C$15&lt;1,0,O58/($C$15*100)*10000),2)</f>
        <v>0</v>
      </c>
      <c r="P65" s="370" t="s">
        <v>87</v>
      </c>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HE65" s="336"/>
      <c r="HF65" s="336"/>
      <c r="HG65" s="336"/>
      <c r="HH65" s="336"/>
      <c r="HI65" s="336"/>
      <c r="HJ65" s="336"/>
      <c r="HK65" s="336"/>
      <c r="HL65" s="336"/>
      <c r="HM65" s="336"/>
      <c r="HN65" s="336"/>
    </row>
    <row r="66" spans="1:222" x14ac:dyDescent="0.25">
      <c r="B66" s="336"/>
      <c r="C66" s="336"/>
      <c r="D66" s="336"/>
      <c r="E66" s="336"/>
      <c r="F66" s="336"/>
      <c r="G66" s="336"/>
      <c r="H66" s="444"/>
      <c r="I66" s="426" t="s">
        <v>190</v>
      </c>
      <c r="J66" s="336"/>
      <c r="K66" s="336"/>
      <c r="L66" s="336"/>
      <c r="M66" s="336"/>
      <c r="N66" s="336"/>
      <c r="O66" s="427">
        <f>ROUND(IF($C$15&lt;1,0,(L58)/($C$15*100)*10000),2)</f>
        <v>0</v>
      </c>
      <c r="P66" s="339" t="s">
        <v>87</v>
      </c>
      <c r="Q66" s="336"/>
      <c r="R66" s="336"/>
      <c r="S66" s="336"/>
      <c r="T66" s="336"/>
      <c r="U66" s="336"/>
      <c r="V66" s="336"/>
      <c r="W66" s="336"/>
      <c r="X66" s="336"/>
      <c r="Y66" s="336"/>
      <c r="Z66" s="336"/>
      <c r="AA66" s="336"/>
      <c r="AB66" s="336"/>
      <c r="AC66" s="336"/>
      <c r="AD66" s="336"/>
      <c r="AE66" s="336"/>
      <c r="AF66" s="336"/>
      <c r="AG66" s="336"/>
      <c r="AH66" s="336"/>
      <c r="AI66" s="336"/>
      <c r="AJ66" s="336"/>
      <c r="AK66" s="336"/>
    </row>
  </sheetData>
  <sheetProtection algorithmName="SHA-512" hashValue="hGDV+bo5PGwvFlatX+JRdg4ZnB7vAF6JxvUNOo/y2yXlGaBPHqhAq610810s1h+d4bosC5hYbvCaYAegpWs7yw==" saltValue="+oFoqWSGOaF5GMi/OSwq5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7937" r:id="rId3" name="Button 1">
              <controlPr defaultSize="0" print="0" autoFill="0" autoPict="0" macro="[0]!Info">
                <anchor moveWithCells="1">
                  <from>
                    <xdr:col>0</xdr:col>
                    <xdr:colOff>68580</xdr:colOff>
                    <xdr:row>0</xdr:row>
                    <xdr:rowOff>38100</xdr:rowOff>
                  </from>
                  <to>
                    <xdr:col>0</xdr:col>
                    <xdr:colOff>571500</xdr:colOff>
                    <xdr:row>3</xdr:row>
                    <xdr:rowOff>45720</xdr:rowOff>
                  </to>
                </anchor>
              </controlPr>
            </control>
          </mc:Choice>
        </mc:AlternateContent>
        <mc:AlternateContent xmlns:mc="http://schemas.openxmlformats.org/markup-compatibility/2006">
          <mc:Choice Requires="x14">
            <control shapeId="167938" r:id="rId4" name="Button 2">
              <controlPr defaultSize="0" print="0" autoFill="0" autoPict="0" macro="[0]!Info">
                <anchor moveWithCells="1">
                  <from>
                    <xdr:col>15</xdr:col>
                    <xdr:colOff>297180</xdr:colOff>
                    <xdr:row>73</xdr:row>
                    <xdr:rowOff>76200</xdr:rowOff>
                  </from>
                  <to>
                    <xdr:col>15</xdr:col>
                    <xdr:colOff>807720</xdr:colOff>
                    <xdr:row>74</xdr:row>
                    <xdr:rowOff>152400</xdr:rowOff>
                  </to>
                </anchor>
              </controlPr>
            </control>
          </mc:Choice>
        </mc:AlternateContent>
        <mc:AlternateContent xmlns:mc="http://schemas.openxmlformats.org/markup-compatibility/2006">
          <mc:Choice Requires="x14">
            <control shapeId="167939" r:id="rId5" name="Button 3">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67940" r:id="rId6" name="Button 4">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67941" r:id="rId7" name="Button 5">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mc:AlternateContent xmlns:mc="http://schemas.openxmlformats.org/markup-compatibility/2006">
          <mc:Choice Requires="x14">
            <control shapeId="167942" r:id="rId8" name="Button 6">
              <controlPr defaultSize="0" print="0" autoFill="0" autoPict="0" macro="[0]!Info">
                <anchor moveWithCells="1">
                  <from>
                    <xdr:col>0</xdr:col>
                    <xdr:colOff>68580</xdr:colOff>
                    <xdr:row>0</xdr:row>
                    <xdr:rowOff>76200</xdr:rowOff>
                  </from>
                  <to>
                    <xdr:col>0</xdr:col>
                    <xdr:colOff>579120</xdr:colOff>
                    <xdr:row>3</xdr:row>
                    <xdr:rowOff>114300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dimension ref="A1:J147"/>
  <sheetViews>
    <sheetView topLeftCell="A115" workbookViewId="0">
      <selection activeCell="D5" sqref="D5"/>
    </sheetView>
  </sheetViews>
  <sheetFormatPr defaultRowHeight="13.2" x14ac:dyDescent="0.25"/>
  <cols>
    <col min="1" max="1" width="70.109375" bestFit="1" customWidth="1"/>
    <col min="2" max="2" width="13.44140625" style="276" bestFit="1" customWidth="1"/>
    <col min="3" max="3" width="12.44140625" style="276" customWidth="1"/>
    <col min="4" max="4" width="13.5546875" style="276" bestFit="1" customWidth="1"/>
    <col min="5" max="5" width="11.5546875" style="18" bestFit="1" customWidth="1"/>
    <col min="6" max="6" width="13.5546875" style="18" bestFit="1" customWidth="1"/>
    <col min="7" max="7" width="15.5546875" style="18" customWidth="1"/>
    <col min="8" max="8" width="11.5546875" style="18" bestFit="1" customWidth="1"/>
  </cols>
  <sheetData>
    <row r="1" spans="1:10" x14ac:dyDescent="0.25">
      <c r="A1" s="79" t="s">
        <v>133</v>
      </c>
      <c r="B1" s="305" t="s">
        <v>1</v>
      </c>
      <c r="C1" s="305"/>
      <c r="D1" s="305" t="s">
        <v>7</v>
      </c>
      <c r="E1" s="306" t="s">
        <v>1</v>
      </c>
      <c r="F1" s="306" t="s">
        <v>7</v>
      </c>
    </row>
    <row r="3" spans="1:10" x14ac:dyDescent="0.25">
      <c r="A3" s="25" t="s">
        <v>136</v>
      </c>
    </row>
    <row r="4" spans="1:10" x14ac:dyDescent="0.25">
      <c r="A4" s="145" t="s">
        <v>134</v>
      </c>
      <c r="B4" s="84">
        <v>4.6278999999999999E-3</v>
      </c>
      <c r="C4" s="307"/>
      <c r="D4" s="271">
        <v>45657</v>
      </c>
    </row>
    <row r="5" spans="1:10" x14ac:dyDescent="0.25">
      <c r="A5" s="145" t="s">
        <v>135</v>
      </c>
      <c r="B5" s="324">
        <v>1.7560000000000001E-4</v>
      </c>
      <c r="C5" s="307"/>
      <c r="D5" s="271">
        <v>45657</v>
      </c>
    </row>
    <row r="7" spans="1:10" x14ac:dyDescent="0.25">
      <c r="A7" s="25" t="s">
        <v>137</v>
      </c>
      <c r="D7" s="271">
        <v>44531</v>
      </c>
    </row>
    <row r="8" spans="1:10" x14ac:dyDescent="0.25">
      <c r="A8" s="145" t="s">
        <v>138</v>
      </c>
      <c r="B8" s="308">
        <v>4.6499999999999996E-3</v>
      </c>
      <c r="C8" s="308"/>
      <c r="D8" s="271"/>
    </row>
    <row r="9" spans="1:10" x14ac:dyDescent="0.25">
      <c r="A9" s="227" t="s">
        <v>140</v>
      </c>
      <c r="B9" s="308">
        <v>4.1900000000000001E-3</v>
      </c>
      <c r="C9" s="308"/>
      <c r="D9" s="271"/>
    </row>
    <row r="10" spans="1:10" x14ac:dyDescent="0.25">
      <c r="A10" s="145" t="s">
        <v>139</v>
      </c>
      <c r="B10" s="308">
        <v>3.63E-3</v>
      </c>
      <c r="C10" s="308"/>
      <c r="D10" s="271"/>
    </row>
    <row r="12" spans="1:10" x14ac:dyDescent="0.25">
      <c r="A12" s="133" t="s">
        <v>141</v>
      </c>
      <c r="B12" s="309">
        <v>0</v>
      </c>
      <c r="C12" s="309"/>
      <c r="D12" s="271">
        <v>44531</v>
      </c>
    </row>
    <row r="14" spans="1:10" x14ac:dyDescent="0.25">
      <c r="A14" s="275" t="s">
        <v>158</v>
      </c>
      <c r="B14" s="509"/>
      <c r="C14" s="510"/>
      <c r="D14" s="510"/>
      <c r="G14" s="275"/>
      <c r="H14" s="511"/>
      <c r="I14" s="511"/>
      <c r="J14" s="511"/>
    </row>
    <row r="15" spans="1:10" x14ac:dyDescent="0.25">
      <c r="A15" s="273" t="s">
        <v>279</v>
      </c>
      <c r="B15" s="270">
        <v>0</v>
      </c>
      <c r="C15" s="270"/>
      <c r="D15" s="271">
        <v>45505</v>
      </c>
      <c r="G15" s="273"/>
      <c r="H15" s="270"/>
      <c r="I15" s="270"/>
      <c r="J15" s="271"/>
    </row>
    <row r="16" spans="1:10" x14ac:dyDescent="0.25">
      <c r="A16" s="272" t="s">
        <v>280</v>
      </c>
      <c r="B16" s="270">
        <v>0</v>
      </c>
      <c r="C16" s="270"/>
      <c r="D16" s="271">
        <v>45322</v>
      </c>
    </row>
    <row r="17" spans="1:6" x14ac:dyDescent="0.25">
      <c r="A17" s="18"/>
    </row>
    <row r="18" spans="1:6" x14ac:dyDescent="0.25">
      <c r="A18" s="25" t="s">
        <v>238</v>
      </c>
      <c r="B18" s="319">
        <v>0</v>
      </c>
      <c r="C18" s="271"/>
      <c r="D18" s="271">
        <v>44531</v>
      </c>
      <c r="E18" s="320">
        <v>0</v>
      </c>
      <c r="F18" s="271">
        <v>44531</v>
      </c>
    </row>
    <row r="20" spans="1:6" x14ac:dyDescent="0.25">
      <c r="A20" s="133" t="s">
        <v>178</v>
      </c>
      <c r="B20" s="310" t="s">
        <v>166</v>
      </c>
      <c r="C20" s="310" t="s">
        <v>167</v>
      </c>
    </row>
    <row r="21" spans="1:6" x14ac:dyDescent="0.25">
      <c r="A21" s="227" t="s">
        <v>153</v>
      </c>
      <c r="B21" s="330">
        <v>7.0209999999999995E-2</v>
      </c>
      <c r="C21" s="330">
        <v>7.0209999999999995E-2</v>
      </c>
      <c r="D21" s="315">
        <v>45444</v>
      </c>
    </row>
    <row r="22" spans="1:6" x14ac:dyDescent="0.25">
      <c r="A22" s="288" t="s">
        <v>298</v>
      </c>
      <c r="B22" s="330">
        <v>7.0209999999999995E-2</v>
      </c>
      <c r="C22" s="330">
        <v>7.0209999999999995E-2</v>
      </c>
      <c r="D22" s="315">
        <v>45444</v>
      </c>
    </row>
    <row r="23" spans="1:6" x14ac:dyDescent="0.25">
      <c r="A23" s="227" t="s">
        <v>180</v>
      </c>
      <c r="B23" s="330">
        <v>7.0209999999999995E-2</v>
      </c>
      <c r="C23" s="330">
        <v>7.0209999999999995E-2</v>
      </c>
      <c r="D23" s="315">
        <v>45444</v>
      </c>
    </row>
    <row r="24" spans="1:6" x14ac:dyDescent="0.25">
      <c r="A24" s="227" t="s">
        <v>181</v>
      </c>
      <c r="B24" s="331">
        <v>6.7849999999999994E-2</v>
      </c>
      <c r="C24" s="331">
        <v>6.7849999999999994E-2</v>
      </c>
      <c r="D24" s="315">
        <v>45444</v>
      </c>
    </row>
    <row r="25" spans="1:6" x14ac:dyDescent="0.25">
      <c r="A25" s="227" t="s">
        <v>182</v>
      </c>
      <c r="B25" s="331">
        <v>6.6629999999999995E-2</v>
      </c>
      <c r="C25" s="331">
        <v>6.6629999999999995E-2</v>
      </c>
      <c r="D25" s="315">
        <v>45444</v>
      </c>
    </row>
    <row r="26" spans="1:6" x14ac:dyDescent="0.25">
      <c r="A26" s="145"/>
      <c r="B26" s="270"/>
      <c r="C26" s="270"/>
      <c r="D26" s="271"/>
    </row>
    <row r="27" spans="1:6" x14ac:dyDescent="0.25">
      <c r="A27" s="133" t="s">
        <v>160</v>
      </c>
      <c r="B27" s="310" t="s">
        <v>166</v>
      </c>
      <c r="C27" s="310" t="s">
        <v>167</v>
      </c>
      <c r="D27" s="271"/>
    </row>
    <row r="28" spans="1:6" x14ac:dyDescent="0.25">
      <c r="A28" s="227" t="s">
        <v>188</v>
      </c>
      <c r="B28" s="331">
        <v>3.2000000000000002E-3</v>
      </c>
      <c r="C28" s="307"/>
      <c r="D28" s="315">
        <v>45444</v>
      </c>
    </row>
    <row r="29" spans="1:6" x14ac:dyDescent="0.25">
      <c r="A29" s="145" t="s">
        <v>171</v>
      </c>
      <c r="B29" s="270">
        <v>5.5376999999999996E-3</v>
      </c>
      <c r="C29" s="270"/>
      <c r="D29" s="315">
        <v>45444</v>
      </c>
    </row>
    <row r="30" spans="1:6" x14ac:dyDescent="0.25">
      <c r="A30" s="145" t="s">
        <v>170</v>
      </c>
      <c r="B30" s="270">
        <v>1.8998000000000001E-3</v>
      </c>
      <c r="C30" s="307"/>
      <c r="D30" s="315">
        <v>45444</v>
      </c>
    </row>
    <row r="31" spans="1:6" x14ac:dyDescent="0.25">
      <c r="A31" s="145" t="s">
        <v>223</v>
      </c>
      <c r="B31" s="270">
        <v>2.67383E-2</v>
      </c>
      <c r="C31" s="307"/>
      <c r="D31" s="315">
        <v>45444</v>
      </c>
    </row>
    <row r="32" spans="1:6" x14ac:dyDescent="0.25">
      <c r="A32" s="145" t="s">
        <v>224</v>
      </c>
      <c r="B32" s="270">
        <v>0</v>
      </c>
      <c r="C32" s="307"/>
      <c r="D32" s="315">
        <v>45444</v>
      </c>
    </row>
    <row r="33" spans="1:6" x14ac:dyDescent="0.25">
      <c r="A33" s="145" t="s">
        <v>143</v>
      </c>
      <c r="B33" s="270">
        <v>2.7299999999999998E-3</v>
      </c>
      <c r="C33" s="270"/>
      <c r="D33" s="315">
        <v>45444</v>
      </c>
    </row>
    <row r="34" spans="1:6" x14ac:dyDescent="0.25">
      <c r="A34" s="227" t="s">
        <v>180</v>
      </c>
      <c r="B34" s="270">
        <v>2.65E-3</v>
      </c>
      <c r="C34" s="307"/>
      <c r="D34" s="315">
        <v>45444</v>
      </c>
    </row>
    <row r="35" spans="1:6" x14ac:dyDescent="0.25">
      <c r="A35" s="227" t="s">
        <v>228</v>
      </c>
      <c r="B35" s="270">
        <v>2.28907E-2</v>
      </c>
      <c r="C35" s="307"/>
      <c r="D35" s="315">
        <v>45444</v>
      </c>
    </row>
    <row r="36" spans="1:6" x14ac:dyDescent="0.25">
      <c r="A36" s="227" t="s">
        <v>227</v>
      </c>
      <c r="B36" s="270">
        <v>0</v>
      </c>
      <c r="C36" s="307"/>
      <c r="D36" s="315">
        <v>45444</v>
      </c>
    </row>
    <row r="37" spans="1:6" x14ac:dyDescent="0.25">
      <c r="A37" s="227" t="s">
        <v>181</v>
      </c>
      <c r="B37" s="307">
        <v>2.14E-3</v>
      </c>
      <c r="D37" s="315">
        <v>45444</v>
      </c>
    </row>
    <row r="38" spans="1:6" x14ac:dyDescent="0.25">
      <c r="A38" s="227" t="s">
        <v>182</v>
      </c>
      <c r="B38" s="307">
        <v>1.66E-3</v>
      </c>
      <c r="D38" s="315">
        <v>45444</v>
      </c>
    </row>
    <row r="39" spans="1:6" x14ac:dyDescent="0.25">
      <c r="A39" s="288" t="s">
        <v>295</v>
      </c>
      <c r="B39" s="270">
        <v>8.1709E-3</v>
      </c>
      <c r="D39" s="315">
        <v>45444</v>
      </c>
    </row>
    <row r="40" spans="1:6" x14ac:dyDescent="0.25">
      <c r="A40" s="288" t="s">
        <v>296</v>
      </c>
      <c r="B40" s="307">
        <v>2.7900000000000001E-5</v>
      </c>
      <c r="D40" s="315">
        <v>45444</v>
      </c>
    </row>
    <row r="41" spans="1:6" x14ac:dyDescent="0.25">
      <c r="A41" s="288" t="s">
        <v>336</v>
      </c>
      <c r="B41" s="307">
        <v>3.0709000000000001E-3</v>
      </c>
      <c r="C41" s="276">
        <v>1.325E-3</v>
      </c>
      <c r="D41" s="315">
        <v>45444</v>
      </c>
    </row>
    <row r="42" spans="1:6" x14ac:dyDescent="0.25">
      <c r="A42" s="288" t="s">
        <v>337</v>
      </c>
      <c r="B42" s="307">
        <v>2.5335000000000002E-3</v>
      </c>
      <c r="C42" s="276">
        <v>1.07E-3</v>
      </c>
      <c r="D42" s="315">
        <v>45444</v>
      </c>
    </row>
    <row r="43" spans="1:6" x14ac:dyDescent="0.25">
      <c r="A43" s="288" t="s">
        <v>338</v>
      </c>
      <c r="B43" s="307">
        <v>2.0022E-3</v>
      </c>
      <c r="C43" s="276">
        <v>8.3000000000000001E-4</v>
      </c>
      <c r="D43" s="315">
        <v>45444</v>
      </c>
    </row>
    <row r="44" spans="1:6" x14ac:dyDescent="0.25">
      <c r="A44" s="288"/>
      <c r="B44" s="307"/>
      <c r="D44" s="271"/>
    </row>
    <row r="45" spans="1:6" x14ac:dyDescent="0.25">
      <c r="A45" s="133" t="s">
        <v>183</v>
      </c>
      <c r="B45" s="459">
        <v>4.5009999999999999E-4</v>
      </c>
      <c r="C45" s="18"/>
      <c r="D45" s="326">
        <v>45657</v>
      </c>
      <c r="E45" s="276"/>
      <c r="F45" s="276"/>
    </row>
    <row r="46" spans="1:6" x14ac:dyDescent="0.25">
      <c r="A46" s="145"/>
      <c r="D46" s="271"/>
      <c r="E46" s="276"/>
      <c r="F46" s="276"/>
    </row>
    <row r="47" spans="1:6" x14ac:dyDescent="0.25">
      <c r="A47" s="133" t="s">
        <v>210</v>
      </c>
      <c r="B47" s="321" t="s">
        <v>213</v>
      </c>
      <c r="C47" s="321" t="s">
        <v>214</v>
      </c>
      <c r="D47" s="321" t="s">
        <v>34</v>
      </c>
      <c r="E47" s="321" t="s">
        <v>215</v>
      </c>
      <c r="F47" s="276"/>
    </row>
    <row r="48" spans="1:6" x14ac:dyDescent="0.25">
      <c r="A48" s="227" t="s">
        <v>211</v>
      </c>
      <c r="B48" s="460">
        <v>1.18</v>
      </c>
      <c r="C48" s="461">
        <v>-0.01</v>
      </c>
      <c r="D48" s="462">
        <f>SUM(B48:C48)</f>
        <v>1.17</v>
      </c>
      <c r="E48" s="323">
        <v>45658</v>
      </c>
      <c r="F48" s="276"/>
    </row>
    <row r="49" spans="1:8" x14ac:dyDescent="0.25">
      <c r="A49" s="227" t="s">
        <v>212</v>
      </c>
      <c r="B49" s="452">
        <v>1.8006999999999999E-3</v>
      </c>
      <c r="C49" s="453">
        <v>0</v>
      </c>
      <c r="D49" s="454">
        <f>SUM(B49:C49)</f>
        <v>1.8006999999999999E-3</v>
      </c>
      <c r="E49" s="323">
        <v>45658</v>
      </c>
      <c r="F49" s="276"/>
    </row>
    <row r="50" spans="1:8" x14ac:dyDescent="0.25">
      <c r="A50" s="227"/>
      <c r="B50" s="292"/>
      <c r="D50" s="271"/>
      <c r="E50" s="276"/>
      <c r="F50" s="276"/>
    </row>
    <row r="51" spans="1:8" x14ac:dyDescent="0.25">
      <c r="A51" s="227"/>
      <c r="B51" s="292"/>
      <c r="D51" s="271"/>
    </row>
    <row r="52" spans="1:8" x14ac:dyDescent="0.25">
      <c r="A52" s="227"/>
      <c r="B52" s="292"/>
      <c r="D52" s="271"/>
    </row>
    <row r="53" spans="1:8" x14ac:dyDescent="0.25">
      <c r="A53" s="145"/>
      <c r="D53" s="271"/>
    </row>
    <row r="54" spans="1:8" x14ac:dyDescent="0.25">
      <c r="A54" s="133" t="s">
        <v>184</v>
      </c>
    </row>
    <row r="55" spans="1:8" x14ac:dyDescent="0.25">
      <c r="A55" s="227" t="s">
        <v>153</v>
      </c>
      <c r="B55" s="18">
        <v>4.3837099999999997E-2</v>
      </c>
      <c r="C55" s="18"/>
      <c r="D55" s="271">
        <v>45383</v>
      </c>
      <c r="F55" s="311" t="s">
        <v>276</v>
      </c>
      <c r="G55" s="324">
        <v>2.3467399999999999E-2</v>
      </c>
      <c r="H55" s="271">
        <v>45383</v>
      </c>
    </row>
    <row r="56" spans="1:8" x14ac:dyDescent="0.25">
      <c r="A56" s="227" t="s">
        <v>179</v>
      </c>
      <c r="B56" s="18">
        <v>2.3467399999999999E-2</v>
      </c>
      <c r="C56" s="18"/>
      <c r="D56" s="271">
        <v>45383</v>
      </c>
      <c r="F56" s="311" t="s">
        <v>277</v>
      </c>
      <c r="G56" s="324">
        <v>3.2698999999999999E-2</v>
      </c>
      <c r="H56" s="271">
        <v>45383</v>
      </c>
    </row>
    <row r="57" spans="1:8" x14ac:dyDescent="0.25">
      <c r="A57" s="227" t="s">
        <v>180</v>
      </c>
      <c r="B57" s="18">
        <v>6.0079999999999997E-4</v>
      </c>
      <c r="C57" s="18"/>
      <c r="D57" s="271">
        <v>45383</v>
      </c>
    </row>
    <row r="58" spans="1:8" x14ac:dyDescent="0.25">
      <c r="A58" s="227" t="s">
        <v>181</v>
      </c>
      <c r="B58" s="18">
        <v>5.8060000000000002E-4</v>
      </c>
      <c r="C58" s="18"/>
      <c r="D58" s="271">
        <v>45383</v>
      </c>
    </row>
    <row r="59" spans="1:8" x14ac:dyDescent="0.25">
      <c r="A59" s="227" t="s">
        <v>182</v>
      </c>
      <c r="B59" s="18">
        <v>5.7019999999999998E-4</v>
      </c>
      <c r="C59" s="18"/>
      <c r="D59" s="271">
        <v>45383</v>
      </c>
    </row>
    <row r="60" spans="1:8" x14ac:dyDescent="0.25">
      <c r="B60" s="18"/>
    </row>
    <row r="61" spans="1:8" x14ac:dyDescent="0.25">
      <c r="A61" s="133" t="s">
        <v>185</v>
      </c>
      <c r="B61" s="18"/>
    </row>
    <row r="62" spans="1:8" x14ac:dyDescent="0.25">
      <c r="A62" s="227" t="s">
        <v>180</v>
      </c>
      <c r="B62" s="329">
        <v>6.73</v>
      </c>
      <c r="C62" s="18"/>
      <c r="D62" s="271">
        <v>45383</v>
      </c>
    </row>
    <row r="63" spans="1:8" x14ac:dyDescent="0.25">
      <c r="A63" s="227" t="s">
        <v>181</v>
      </c>
      <c r="B63" s="329">
        <v>6.76</v>
      </c>
      <c r="C63" s="18"/>
      <c r="D63" s="271">
        <v>45383</v>
      </c>
    </row>
    <row r="64" spans="1:8" x14ac:dyDescent="0.25">
      <c r="A64" s="227" t="s">
        <v>182</v>
      </c>
      <c r="B64" s="329">
        <v>7.45</v>
      </c>
      <c r="C64" s="18"/>
      <c r="D64" s="271">
        <v>45383</v>
      </c>
    </row>
    <row r="65" spans="1:4" x14ac:dyDescent="0.25">
      <c r="A65" s="145"/>
      <c r="D65" s="271"/>
    </row>
    <row r="66" spans="1:4" x14ac:dyDescent="0.25">
      <c r="A66" s="133" t="s">
        <v>339</v>
      </c>
      <c r="B66" s="455">
        <v>8.6240000000000004E-4</v>
      </c>
      <c r="D66" s="271">
        <v>45532</v>
      </c>
    </row>
    <row r="67" spans="1:4" x14ac:dyDescent="0.25">
      <c r="A67" s="145"/>
      <c r="D67" s="271"/>
    </row>
    <row r="68" spans="1:4" x14ac:dyDescent="0.25">
      <c r="A68" s="133" t="s">
        <v>340</v>
      </c>
      <c r="C68" s="312" t="s">
        <v>207</v>
      </c>
      <c r="D68" s="271"/>
    </row>
    <row r="69" spans="1:4" x14ac:dyDescent="0.25">
      <c r="A69" s="145" t="s">
        <v>142</v>
      </c>
      <c r="B69" s="307">
        <v>0</v>
      </c>
      <c r="C69" s="307">
        <v>0</v>
      </c>
      <c r="D69" s="315">
        <v>45444</v>
      </c>
    </row>
    <row r="70" spans="1:4" x14ac:dyDescent="0.25">
      <c r="A70" s="145" t="s">
        <v>143</v>
      </c>
      <c r="B70" s="307">
        <v>0</v>
      </c>
      <c r="C70" s="307">
        <v>0</v>
      </c>
      <c r="D70" s="315">
        <v>45444</v>
      </c>
    </row>
    <row r="71" spans="1:4" x14ac:dyDescent="0.25">
      <c r="A71" s="145" t="s">
        <v>148</v>
      </c>
      <c r="B71" s="307">
        <v>0</v>
      </c>
      <c r="C71" s="307">
        <v>0</v>
      </c>
      <c r="D71" s="315">
        <v>45444</v>
      </c>
    </row>
    <row r="72" spans="1:4" x14ac:dyDescent="0.25">
      <c r="A72" s="145" t="s">
        <v>144</v>
      </c>
      <c r="B72" s="307">
        <v>0</v>
      </c>
      <c r="C72" s="307">
        <v>0</v>
      </c>
      <c r="D72" s="315">
        <v>45444</v>
      </c>
    </row>
    <row r="73" spans="1:4" x14ac:dyDescent="0.25">
      <c r="A73" s="145" t="s">
        <v>149</v>
      </c>
      <c r="B73" s="307">
        <v>0</v>
      </c>
      <c r="C73" s="307">
        <v>0</v>
      </c>
      <c r="D73" s="315">
        <v>45444</v>
      </c>
    </row>
    <row r="74" spans="1:4" x14ac:dyDescent="0.25">
      <c r="A74" s="145" t="s">
        <v>150</v>
      </c>
      <c r="B74" s="307">
        <v>0</v>
      </c>
      <c r="C74" s="307">
        <v>0</v>
      </c>
      <c r="D74" s="315">
        <v>45444</v>
      </c>
    </row>
    <row r="75" spans="1:4" x14ac:dyDescent="0.25">
      <c r="A75" s="145"/>
      <c r="B75" s="270"/>
      <c r="C75" s="270"/>
      <c r="D75" s="271"/>
    </row>
    <row r="76" spans="1:4" x14ac:dyDescent="0.25">
      <c r="A76" s="133" t="s">
        <v>195</v>
      </c>
      <c r="D76" s="271"/>
    </row>
    <row r="77" spans="1:4" x14ac:dyDescent="0.25">
      <c r="A77" s="145" t="s">
        <v>143</v>
      </c>
      <c r="B77" s="313">
        <v>0</v>
      </c>
      <c r="C77" s="307"/>
      <c r="D77" s="315">
        <v>45444</v>
      </c>
    </row>
    <row r="78" spans="1:4" x14ac:dyDescent="0.25">
      <c r="A78" s="145" t="s">
        <v>144</v>
      </c>
      <c r="B78" s="313">
        <v>0</v>
      </c>
      <c r="C78" s="307"/>
      <c r="D78" s="315">
        <v>45444</v>
      </c>
    </row>
    <row r="79" spans="1:4" x14ac:dyDescent="0.25">
      <c r="A79" s="145"/>
      <c r="B79" s="270"/>
      <c r="C79" s="270"/>
      <c r="D79" s="271"/>
    </row>
    <row r="80" spans="1:4" x14ac:dyDescent="0.25">
      <c r="A80" s="133" t="s">
        <v>196</v>
      </c>
      <c r="D80" s="271"/>
    </row>
    <row r="81" spans="1:6" x14ac:dyDescent="0.25">
      <c r="A81" s="145" t="s">
        <v>148</v>
      </c>
      <c r="B81" s="313">
        <v>0</v>
      </c>
      <c r="C81" s="307"/>
      <c r="D81" s="315">
        <v>45444</v>
      </c>
    </row>
    <row r="82" spans="1:6" x14ac:dyDescent="0.25">
      <c r="A82" s="145" t="s">
        <v>149</v>
      </c>
      <c r="B82" s="313">
        <v>0</v>
      </c>
      <c r="C82" s="307"/>
      <c r="D82" s="315">
        <v>45444</v>
      </c>
    </row>
    <row r="83" spans="1:6" x14ac:dyDescent="0.25">
      <c r="A83" s="145" t="s">
        <v>150</v>
      </c>
      <c r="B83" s="313">
        <v>0</v>
      </c>
      <c r="C83" s="270"/>
      <c r="D83" s="315">
        <v>45444</v>
      </c>
    </row>
    <row r="84" spans="1:6" x14ac:dyDescent="0.25">
      <c r="A84" s="145"/>
      <c r="B84" s="270"/>
      <c r="C84" s="270"/>
      <c r="D84" s="271"/>
    </row>
    <row r="85" spans="1:6" x14ac:dyDescent="0.25">
      <c r="A85" s="133" t="s">
        <v>151</v>
      </c>
      <c r="B85" s="456">
        <v>4.94232E-2</v>
      </c>
      <c r="C85" s="325"/>
      <c r="D85" s="326">
        <v>45562</v>
      </c>
    </row>
    <row r="86" spans="1:6" x14ac:dyDescent="0.25">
      <c r="A86" s="145"/>
      <c r="D86" s="271"/>
    </row>
    <row r="87" spans="1:6" x14ac:dyDescent="0.25">
      <c r="A87" s="25" t="s">
        <v>152</v>
      </c>
      <c r="B87" s="314">
        <v>6.6985699999999995E-2</v>
      </c>
      <c r="C87" s="314"/>
      <c r="D87" s="271">
        <v>45167</v>
      </c>
    </row>
    <row r="89" spans="1:6" x14ac:dyDescent="0.25">
      <c r="A89" s="25" t="s">
        <v>317</v>
      </c>
      <c r="D89" s="271"/>
    </row>
    <row r="90" spans="1:6" x14ac:dyDescent="0.25">
      <c r="A90" s="301" t="s">
        <v>153</v>
      </c>
      <c r="B90" s="209">
        <v>2.08</v>
      </c>
      <c r="C90" s="316"/>
      <c r="D90" s="26">
        <v>45657</v>
      </c>
      <c r="E90" s="276"/>
    </row>
    <row r="91" spans="1:6" x14ac:dyDescent="0.25">
      <c r="A91" s="301" t="s">
        <v>154</v>
      </c>
      <c r="B91" s="209">
        <v>17.53</v>
      </c>
      <c r="C91" s="316"/>
      <c r="D91" s="26">
        <v>45657</v>
      </c>
      <c r="E91" s="276"/>
    </row>
    <row r="92" spans="1:6" x14ac:dyDescent="0.25">
      <c r="A92" s="226"/>
      <c r="E92" s="276"/>
    </row>
    <row r="93" spans="1:6" x14ac:dyDescent="0.25">
      <c r="A93" s="302" t="s">
        <v>240</v>
      </c>
      <c r="B93" s="314"/>
      <c r="C93" s="314"/>
      <c r="D93" s="271"/>
      <c r="E93" s="276"/>
    </row>
    <row r="94" spans="1:6" x14ac:dyDescent="0.25">
      <c r="A94" s="303" t="s">
        <v>142</v>
      </c>
      <c r="B94" s="307">
        <v>0</v>
      </c>
      <c r="C94" s="307"/>
      <c r="D94" s="271">
        <v>44531</v>
      </c>
      <c r="E94" s="307"/>
      <c r="F94" s="315"/>
    </row>
    <row r="95" spans="1:6" x14ac:dyDescent="0.25">
      <c r="A95" s="303" t="s">
        <v>143</v>
      </c>
      <c r="B95" s="307">
        <v>0</v>
      </c>
      <c r="C95" s="307"/>
      <c r="D95" s="271">
        <v>44531</v>
      </c>
      <c r="E95" s="307"/>
      <c r="F95" s="315"/>
    </row>
    <row r="96" spans="1:6" x14ac:dyDescent="0.25">
      <c r="A96" s="303" t="s">
        <v>197</v>
      </c>
      <c r="B96" s="307">
        <v>0</v>
      </c>
      <c r="C96" s="307"/>
      <c r="D96" s="271">
        <v>44531</v>
      </c>
      <c r="E96" s="307"/>
      <c r="F96" s="315"/>
    </row>
    <row r="97" spans="1:6" x14ac:dyDescent="0.25">
      <c r="A97" s="303" t="s">
        <v>198</v>
      </c>
      <c r="B97" s="307">
        <v>0</v>
      </c>
      <c r="C97" s="307"/>
      <c r="D97" s="271">
        <v>44531</v>
      </c>
      <c r="E97" s="307"/>
      <c r="F97" s="315"/>
    </row>
    <row r="98" spans="1:6" x14ac:dyDescent="0.25">
      <c r="A98" s="303" t="s">
        <v>199</v>
      </c>
      <c r="B98" s="307">
        <v>0</v>
      </c>
      <c r="C98" s="307"/>
      <c r="D98" s="271">
        <v>44531</v>
      </c>
      <c r="E98" s="307"/>
      <c r="F98" s="315"/>
    </row>
    <row r="99" spans="1:6" x14ac:dyDescent="0.25">
      <c r="A99" s="303" t="s">
        <v>200</v>
      </c>
      <c r="B99" s="307">
        <v>0</v>
      </c>
      <c r="C99" s="307"/>
      <c r="D99" s="271">
        <v>44531</v>
      </c>
      <c r="E99" s="307"/>
      <c r="F99" s="315"/>
    </row>
    <row r="100" spans="1:6" x14ac:dyDescent="0.25">
      <c r="A100" s="303" t="s">
        <v>201</v>
      </c>
      <c r="B100" s="307">
        <v>0</v>
      </c>
      <c r="C100" s="307"/>
      <c r="D100" s="271">
        <v>44531</v>
      </c>
      <c r="E100" s="307"/>
      <c r="F100" s="315"/>
    </row>
    <row r="101" spans="1:6" x14ac:dyDescent="0.25">
      <c r="A101" s="303" t="s">
        <v>202</v>
      </c>
      <c r="B101" s="307">
        <v>0</v>
      </c>
      <c r="C101" s="307"/>
      <c r="D101" s="271">
        <v>44531</v>
      </c>
      <c r="E101" s="307"/>
      <c r="F101" s="315"/>
    </row>
    <row r="102" spans="1:6" x14ac:dyDescent="0.25">
      <c r="A102" s="303" t="s">
        <v>203</v>
      </c>
      <c r="B102" s="307">
        <v>0</v>
      </c>
      <c r="C102" s="307"/>
      <c r="D102" s="271">
        <v>44531</v>
      </c>
      <c r="E102" s="307"/>
      <c r="F102" s="315"/>
    </row>
    <row r="103" spans="1:6" x14ac:dyDescent="0.25">
      <c r="A103" s="303" t="s">
        <v>204</v>
      </c>
      <c r="B103" s="307">
        <v>0</v>
      </c>
      <c r="C103" s="307"/>
      <c r="D103" s="271">
        <v>44531</v>
      </c>
      <c r="E103" s="307"/>
      <c r="F103" s="315"/>
    </row>
    <row r="104" spans="1:6" x14ac:dyDescent="0.25">
      <c r="A104" s="226"/>
      <c r="E104" s="276"/>
    </row>
    <row r="105" spans="1:6" x14ac:dyDescent="0.25">
      <c r="A105" s="302" t="s">
        <v>155</v>
      </c>
      <c r="B105" s="458">
        <v>0.2363101</v>
      </c>
      <c r="C105" s="314"/>
      <c r="D105" s="271">
        <v>45622</v>
      </c>
      <c r="E105" s="276"/>
    </row>
    <row r="106" spans="1:6" x14ac:dyDescent="0.25">
      <c r="A106" s="226"/>
      <c r="E106" s="276"/>
    </row>
    <row r="107" spans="1:6" x14ac:dyDescent="0.25">
      <c r="A107" s="302" t="s">
        <v>209</v>
      </c>
      <c r="D107" s="271"/>
      <c r="E107" s="276"/>
    </row>
    <row r="108" spans="1:6" x14ac:dyDescent="0.25">
      <c r="A108" s="301" t="s">
        <v>153</v>
      </c>
      <c r="B108" s="316">
        <v>0</v>
      </c>
      <c r="C108" s="316"/>
      <c r="D108" s="271">
        <v>44894</v>
      </c>
      <c r="E108" s="276"/>
    </row>
    <row r="109" spans="1:6" x14ac:dyDescent="0.25">
      <c r="A109" s="301" t="s">
        <v>154</v>
      </c>
      <c r="B109" s="316">
        <v>0</v>
      </c>
      <c r="C109" s="316"/>
      <c r="D109" s="271">
        <v>44894</v>
      </c>
      <c r="E109" s="276"/>
    </row>
    <row r="110" spans="1:6" x14ac:dyDescent="0.25">
      <c r="A110" s="226"/>
      <c r="E110" s="276"/>
    </row>
    <row r="111" spans="1:6" x14ac:dyDescent="0.25">
      <c r="A111" s="133" t="s">
        <v>205</v>
      </c>
      <c r="D111" s="271"/>
    </row>
    <row r="112" spans="1:6" x14ac:dyDescent="0.25">
      <c r="A112" s="145" t="s">
        <v>145</v>
      </c>
      <c r="B112" s="293">
        <v>3.8972999999999998E-3</v>
      </c>
      <c r="C112" s="270"/>
      <c r="D112" s="271">
        <v>44531</v>
      </c>
    </row>
    <row r="113" spans="1:5" x14ac:dyDescent="0.25">
      <c r="A113" s="145" t="s">
        <v>146</v>
      </c>
      <c r="B113" s="293">
        <v>3.7618E-3</v>
      </c>
      <c r="C113" s="270"/>
      <c r="D113" s="271">
        <v>44531</v>
      </c>
    </row>
    <row r="114" spans="1:5" x14ac:dyDescent="0.25">
      <c r="A114" s="145" t="s">
        <v>147</v>
      </c>
      <c r="B114" s="293">
        <v>3.6865999999999999E-3</v>
      </c>
      <c r="C114" s="270"/>
      <c r="D114" s="271">
        <v>44531</v>
      </c>
    </row>
    <row r="116" spans="1:5" x14ac:dyDescent="0.25">
      <c r="A116" s="133" t="s">
        <v>208</v>
      </c>
    </row>
    <row r="117" spans="1:5" x14ac:dyDescent="0.25">
      <c r="A117" s="145" t="s">
        <v>153</v>
      </c>
      <c r="B117" s="266">
        <v>0</v>
      </c>
      <c r="D117" s="271">
        <v>45657</v>
      </c>
    </row>
    <row r="118" spans="1:5" x14ac:dyDescent="0.25">
      <c r="A118" s="145" t="s">
        <v>154</v>
      </c>
      <c r="B118" s="266">
        <v>0</v>
      </c>
      <c r="D118" s="271">
        <v>45657</v>
      </c>
    </row>
    <row r="120" spans="1:5" x14ac:dyDescent="0.25">
      <c r="A120" s="25" t="s">
        <v>217</v>
      </c>
      <c r="D120" s="271"/>
    </row>
    <row r="121" spans="1:5" x14ac:dyDescent="0.25">
      <c r="A121" s="227" t="s">
        <v>153</v>
      </c>
      <c r="B121" s="457">
        <v>0.97</v>
      </c>
      <c r="C121" s="317"/>
      <c r="D121" s="271">
        <v>45593</v>
      </c>
    </row>
    <row r="122" spans="1:5" x14ac:dyDescent="0.25">
      <c r="A122" s="227" t="s">
        <v>154</v>
      </c>
      <c r="B122" s="457">
        <v>4.84</v>
      </c>
      <c r="C122" s="317"/>
      <c r="D122" s="271">
        <v>45593</v>
      </c>
    </row>
    <row r="124" spans="1:5" x14ac:dyDescent="0.25">
      <c r="A124" s="133" t="s">
        <v>230</v>
      </c>
      <c r="B124" s="318"/>
      <c r="E124" s="271"/>
    </row>
    <row r="125" spans="1:5" x14ac:dyDescent="0.25">
      <c r="A125" s="227" t="s">
        <v>153</v>
      </c>
      <c r="B125" s="209">
        <v>0.1</v>
      </c>
      <c r="C125" s="271"/>
      <c r="E125" s="315">
        <v>45658</v>
      </c>
    </row>
    <row r="126" spans="1:5" x14ac:dyDescent="0.25">
      <c r="A126" s="145" t="s">
        <v>134</v>
      </c>
      <c r="B126" s="463">
        <v>2.9050000000000001E-4</v>
      </c>
      <c r="C126" s="317">
        <v>242</v>
      </c>
      <c r="D126" s="276" t="s">
        <v>231</v>
      </c>
      <c r="E126" s="315">
        <v>45658</v>
      </c>
    </row>
    <row r="127" spans="1:5" x14ac:dyDescent="0.25">
      <c r="A127" s="145" t="s">
        <v>135</v>
      </c>
      <c r="B127" s="293">
        <v>0</v>
      </c>
      <c r="E127" s="315">
        <v>45658</v>
      </c>
    </row>
    <row r="129" spans="1:8" x14ac:dyDescent="0.25">
      <c r="A129" s="133" t="s">
        <v>242</v>
      </c>
    </row>
    <row r="130" spans="1:8" x14ac:dyDescent="0.25">
      <c r="A130" s="227" t="s">
        <v>153</v>
      </c>
      <c r="B130" s="317">
        <v>0</v>
      </c>
      <c r="D130" s="271">
        <v>44531</v>
      </c>
    </row>
    <row r="131" spans="1:8" x14ac:dyDescent="0.25">
      <c r="A131" s="227" t="s">
        <v>179</v>
      </c>
      <c r="B131" s="317">
        <v>0</v>
      </c>
      <c r="D131" s="271">
        <v>44531</v>
      </c>
    </row>
    <row r="132" spans="1:8" x14ac:dyDescent="0.25">
      <c r="A132" s="227" t="s">
        <v>180</v>
      </c>
      <c r="B132" s="317">
        <v>0</v>
      </c>
      <c r="D132" s="271">
        <v>44531</v>
      </c>
    </row>
    <row r="133" spans="1:8" x14ac:dyDescent="0.25">
      <c r="A133" s="227" t="s">
        <v>181</v>
      </c>
      <c r="B133" s="317">
        <v>0</v>
      </c>
      <c r="D133" s="271">
        <v>44531</v>
      </c>
    </row>
    <row r="134" spans="1:8" x14ac:dyDescent="0.25">
      <c r="A134" s="227" t="s">
        <v>182</v>
      </c>
      <c r="B134" s="317">
        <v>0</v>
      </c>
      <c r="D134" s="271">
        <v>44531</v>
      </c>
    </row>
    <row r="136" spans="1:8" x14ac:dyDescent="0.25">
      <c r="A136" s="25" t="s">
        <v>241</v>
      </c>
      <c r="D136" s="271"/>
    </row>
    <row r="137" spans="1:8" x14ac:dyDescent="0.25">
      <c r="A137" s="227" t="s">
        <v>153</v>
      </c>
      <c r="B137" s="317">
        <v>0</v>
      </c>
      <c r="C137" s="317"/>
      <c r="D137" s="271">
        <v>44531</v>
      </c>
    </row>
    <row r="138" spans="1:8" x14ac:dyDescent="0.25">
      <c r="A138" s="227" t="s">
        <v>154</v>
      </c>
      <c r="B138" s="317">
        <v>0</v>
      </c>
      <c r="C138" s="317"/>
      <c r="D138" s="271">
        <v>44531</v>
      </c>
    </row>
    <row r="140" spans="1:8" x14ac:dyDescent="0.25">
      <c r="A140" s="25" t="s">
        <v>243</v>
      </c>
      <c r="D140" s="276" t="s">
        <v>244</v>
      </c>
    </row>
    <row r="142" spans="1:8" x14ac:dyDescent="0.25">
      <c r="A142" s="25" t="s">
        <v>320</v>
      </c>
      <c r="B142" s="448">
        <v>10</v>
      </c>
      <c r="C142" s="449">
        <v>3.7427700000000001E-2</v>
      </c>
      <c r="D142" s="449">
        <v>1.5787499999999999E-2</v>
      </c>
      <c r="E142" s="448"/>
      <c r="F142" s="448">
        <v>0</v>
      </c>
      <c r="G142" s="448">
        <v>0</v>
      </c>
      <c r="H142" s="315">
        <v>45444</v>
      </c>
    </row>
    <row r="144" spans="1:8" x14ac:dyDescent="0.25">
      <c r="A144" s="25" t="s">
        <v>321</v>
      </c>
      <c r="B144" s="450">
        <v>9.4</v>
      </c>
      <c r="C144" s="451">
        <v>2.0634799999999998E-2</v>
      </c>
      <c r="D144" s="448">
        <v>0</v>
      </c>
      <c r="E144" s="448">
        <v>0</v>
      </c>
      <c r="F144" s="448">
        <v>0</v>
      </c>
      <c r="G144" s="450">
        <v>0</v>
      </c>
      <c r="H144" s="315">
        <v>45444</v>
      </c>
    </row>
    <row r="145" spans="1:8" x14ac:dyDescent="0.25">
      <c r="A145" s="25" t="s">
        <v>322</v>
      </c>
      <c r="B145" s="450">
        <v>138.5</v>
      </c>
      <c r="C145" s="451">
        <v>1.3832199999999999E-2</v>
      </c>
      <c r="D145" s="448">
        <v>0</v>
      </c>
      <c r="E145" s="448">
        <v>0</v>
      </c>
      <c r="F145" s="448">
        <v>0</v>
      </c>
      <c r="G145" s="450">
        <v>0</v>
      </c>
      <c r="H145" s="315">
        <v>45444</v>
      </c>
    </row>
    <row r="146" spans="1:8" x14ac:dyDescent="0.25">
      <c r="A146" s="25" t="s">
        <v>323</v>
      </c>
      <c r="B146" s="450">
        <v>825</v>
      </c>
      <c r="C146" s="451">
        <v>5.9799999999999997E-5</v>
      </c>
      <c r="D146" s="448">
        <v>0</v>
      </c>
      <c r="E146" s="448">
        <v>0</v>
      </c>
      <c r="F146" s="448">
        <v>0</v>
      </c>
      <c r="G146" s="450">
        <v>0</v>
      </c>
      <c r="H146" s="315">
        <v>45444</v>
      </c>
    </row>
    <row r="147" spans="1:8" x14ac:dyDescent="0.25">
      <c r="A147" s="25" t="s">
        <v>324</v>
      </c>
      <c r="B147" s="450">
        <v>3600</v>
      </c>
      <c r="C147" s="451">
        <v>5.9799999999999997E-5</v>
      </c>
      <c r="D147" s="448">
        <v>0</v>
      </c>
      <c r="E147" s="448">
        <v>0</v>
      </c>
      <c r="F147" s="448">
        <v>0</v>
      </c>
      <c r="G147" s="450">
        <v>0</v>
      </c>
      <c r="H147" s="315">
        <v>45444</v>
      </c>
    </row>
  </sheetData>
  <sheetProtection algorithmName="SHA-512" hashValue="QaqxTlLT3L9roqfNdr6DEyiIT24JX9fJ4Nm8TmQg7MteALooIwvt3Z8L4tr3BgoQPO/+hjEFvAHrYsXZCjuxrg==" saltValue="EZw9KRasTf0lbqDw9okfsQ==" spinCount="100000" sheet="1" objects="1" scenarios="1"/>
  <mergeCells count="2">
    <mergeCell ref="B14:D14"/>
    <mergeCell ref="H14:J14"/>
  </mergeCells>
  <phoneticPr fontId="28" type="noConversion"/>
  <printOptions gridLines="1"/>
  <pageMargins left="0" right="0" top="0.5" bottom="0.5" header="0.25" footer="0.25"/>
  <pageSetup scale="85"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G33"/>
  <sheetViews>
    <sheetView showGridLines="0" workbookViewId="0">
      <selection activeCell="I27" sqref="I27"/>
    </sheetView>
  </sheetViews>
  <sheetFormatPr defaultRowHeight="13.2" x14ac:dyDescent="0.25"/>
  <cols>
    <col min="1" max="1" width="42.44140625" customWidth="1"/>
    <col min="2" max="2" width="19.109375" customWidth="1"/>
    <col min="3" max="3" width="13.5546875" customWidth="1"/>
    <col min="4" max="5" width="12.5546875" customWidth="1"/>
    <col min="6" max="6" width="1.88671875" customWidth="1"/>
    <col min="7" max="7" width="11.44140625" customWidth="1"/>
  </cols>
  <sheetData>
    <row r="1" spans="1:7" x14ac:dyDescent="0.25">
      <c r="D1" s="4"/>
    </row>
    <row r="2" spans="1:7" ht="13.8" thickBot="1" x14ac:dyDescent="0.3">
      <c r="A2" s="518" t="s">
        <v>36</v>
      </c>
      <c r="B2" s="518"/>
      <c r="C2" s="518"/>
      <c r="D2" s="518"/>
      <c r="E2" s="518"/>
    </row>
    <row r="3" spans="1:7" ht="13.8" thickBot="1" x14ac:dyDescent="0.3">
      <c r="A3" s="15" t="s">
        <v>23</v>
      </c>
      <c r="B3" s="16" t="s">
        <v>7</v>
      </c>
      <c r="C3" s="16" t="s">
        <v>1</v>
      </c>
      <c r="D3" s="16" t="s">
        <v>6</v>
      </c>
      <c r="E3" s="17" t="s">
        <v>59</v>
      </c>
    </row>
    <row r="4" spans="1:7" x14ac:dyDescent="0.25">
      <c r="A4" s="9" t="s">
        <v>5</v>
      </c>
      <c r="B4" s="5">
        <v>2001</v>
      </c>
      <c r="C4" s="7">
        <v>-4.8782899999999997E-2</v>
      </c>
      <c r="D4" s="8" t="s">
        <v>58</v>
      </c>
      <c r="E4" s="73" t="b">
        <v>1</v>
      </c>
      <c r="G4" s="48" t="s">
        <v>38</v>
      </c>
    </row>
    <row r="5" spans="1:7" x14ac:dyDescent="0.25">
      <c r="A5" s="66" t="s">
        <v>61</v>
      </c>
      <c r="B5" s="513">
        <v>2001</v>
      </c>
      <c r="C5" s="68">
        <v>7.7130000000000005E-4</v>
      </c>
      <c r="D5" s="67" t="s">
        <v>60</v>
      </c>
      <c r="E5" s="519" t="b">
        <v>1</v>
      </c>
      <c r="G5" s="56"/>
    </row>
    <row r="6" spans="1:7" x14ac:dyDescent="0.25">
      <c r="A6" s="66" t="s">
        <v>62</v>
      </c>
      <c r="B6" s="515"/>
      <c r="C6" s="68">
        <v>1.83E-4</v>
      </c>
      <c r="D6" s="67" t="s">
        <v>60</v>
      </c>
      <c r="E6" s="521"/>
      <c r="G6" s="56"/>
    </row>
    <row r="7" spans="1:7" x14ac:dyDescent="0.25">
      <c r="A7" s="10" t="s">
        <v>4</v>
      </c>
      <c r="B7" s="5">
        <v>2001</v>
      </c>
      <c r="C7" s="47">
        <v>1.0758E-4</v>
      </c>
      <c r="D7" s="5" t="s">
        <v>60</v>
      </c>
      <c r="E7" s="61" t="b">
        <v>1</v>
      </c>
      <c r="G7" s="56"/>
    </row>
    <row r="8" spans="1:7" ht="12.75" customHeight="1" x14ac:dyDescent="0.25">
      <c r="A8" s="69" t="s">
        <v>47</v>
      </c>
      <c r="B8" s="513">
        <v>2001</v>
      </c>
      <c r="C8" s="70">
        <v>4.6499999999999996E-3</v>
      </c>
      <c r="D8" s="513" t="s">
        <v>60</v>
      </c>
      <c r="E8" s="519" t="b">
        <v>1</v>
      </c>
      <c r="G8" s="512" t="s">
        <v>38</v>
      </c>
    </row>
    <row r="9" spans="1:7" x14ac:dyDescent="0.25">
      <c r="A9" s="69" t="s">
        <v>48</v>
      </c>
      <c r="B9" s="514"/>
      <c r="C9" s="70">
        <v>4.1900000000000001E-3</v>
      </c>
      <c r="D9" s="514"/>
      <c r="E9" s="520" t="b">
        <v>0</v>
      </c>
      <c r="G9" s="512"/>
    </row>
    <row r="10" spans="1:7" x14ac:dyDescent="0.25">
      <c r="A10" s="69" t="s">
        <v>49</v>
      </c>
      <c r="B10" s="515"/>
      <c r="C10" s="70">
        <v>3.63E-3</v>
      </c>
      <c r="D10" s="515"/>
      <c r="E10" s="521"/>
      <c r="G10" s="512"/>
    </row>
    <row r="11" spans="1:7" x14ac:dyDescent="0.25">
      <c r="A11" s="10" t="s">
        <v>13</v>
      </c>
      <c r="B11" s="5">
        <v>2002</v>
      </c>
      <c r="C11" s="6">
        <v>4.3600000000000003E-5</v>
      </c>
      <c r="D11" s="5" t="s">
        <v>60</v>
      </c>
      <c r="E11" s="61" t="b">
        <v>1</v>
      </c>
    </row>
    <row r="12" spans="1:7" x14ac:dyDescent="0.25">
      <c r="A12" s="69" t="s">
        <v>14</v>
      </c>
      <c r="B12" s="71">
        <v>2002</v>
      </c>
      <c r="C12" s="70">
        <v>1.2520000000000001E-4</v>
      </c>
      <c r="D12" s="71" t="s">
        <v>60</v>
      </c>
      <c r="E12" s="72" t="b">
        <v>1</v>
      </c>
    </row>
    <row r="13" spans="1:7" x14ac:dyDescent="0.25">
      <c r="A13" s="10" t="s">
        <v>16</v>
      </c>
      <c r="B13" s="5">
        <v>2002</v>
      </c>
      <c r="C13" s="6">
        <v>3.369E-4</v>
      </c>
      <c r="D13" s="5" t="s">
        <v>60</v>
      </c>
      <c r="E13" s="61" t="b">
        <v>1</v>
      </c>
    </row>
    <row r="14" spans="1:7" x14ac:dyDescent="0.25">
      <c r="A14" s="69" t="s">
        <v>17</v>
      </c>
      <c r="B14" s="71">
        <v>2002</v>
      </c>
      <c r="C14" s="70">
        <v>9.6730000000000004E-4</v>
      </c>
      <c r="D14" s="71" t="s">
        <v>60</v>
      </c>
      <c r="E14" s="72" t="b">
        <v>1</v>
      </c>
    </row>
    <row r="15" spans="1:7" x14ac:dyDescent="0.25">
      <c r="A15" s="10" t="s">
        <v>63</v>
      </c>
      <c r="B15" s="5">
        <v>2001</v>
      </c>
      <c r="C15" s="6">
        <v>6.3080000000000005E-4</v>
      </c>
      <c r="D15" s="5" t="s">
        <v>60</v>
      </c>
      <c r="E15" s="61" t="b">
        <v>1</v>
      </c>
    </row>
    <row r="16" spans="1:7" x14ac:dyDescent="0.25">
      <c r="A16" s="69" t="s">
        <v>9</v>
      </c>
      <c r="B16" s="71">
        <v>2001</v>
      </c>
      <c r="C16" s="70">
        <v>5.5290000000000005E-4</v>
      </c>
      <c r="D16" s="71" t="s">
        <v>60</v>
      </c>
      <c r="E16" s="72" t="b">
        <v>1</v>
      </c>
    </row>
    <row r="17" spans="1:5" x14ac:dyDescent="0.25">
      <c r="A17" s="10" t="s">
        <v>10</v>
      </c>
      <c r="B17" s="5">
        <v>2001</v>
      </c>
      <c r="C17" s="6">
        <v>5.6780000000000003E-4</v>
      </c>
      <c r="D17" s="5" t="s">
        <v>60</v>
      </c>
      <c r="E17" s="61" t="b">
        <v>1</v>
      </c>
    </row>
    <row r="18" spans="1:5" x14ac:dyDescent="0.25">
      <c r="A18" s="69" t="s">
        <v>11</v>
      </c>
      <c r="B18" s="71">
        <v>2001</v>
      </c>
      <c r="C18" s="70">
        <v>4.5619999999999998E-4</v>
      </c>
      <c r="D18" s="71" t="s">
        <v>60</v>
      </c>
      <c r="E18" s="72" t="b">
        <v>1</v>
      </c>
    </row>
    <row r="19" spans="1:5" x14ac:dyDescent="0.25">
      <c r="A19" s="10" t="s">
        <v>12</v>
      </c>
      <c r="B19" s="5">
        <v>2001</v>
      </c>
      <c r="C19" s="6">
        <v>3.9589999999999997E-4</v>
      </c>
      <c r="D19" s="5" t="s">
        <v>60</v>
      </c>
      <c r="E19" s="61" t="b">
        <v>1</v>
      </c>
    </row>
    <row r="20" spans="1:5" x14ac:dyDescent="0.25">
      <c r="A20" s="69" t="s">
        <v>18</v>
      </c>
      <c r="B20" s="71">
        <v>2001</v>
      </c>
      <c r="C20" s="70">
        <v>-1.5192999999999999E-3</v>
      </c>
      <c r="D20" s="71" t="s">
        <v>60</v>
      </c>
      <c r="E20" s="72" t="b">
        <v>1</v>
      </c>
    </row>
    <row r="21" spans="1:5" x14ac:dyDescent="0.25">
      <c r="A21" s="10" t="s">
        <v>19</v>
      </c>
      <c r="B21" s="5">
        <v>2001</v>
      </c>
      <c r="C21" s="6">
        <v>-1.3071000000000001E-3</v>
      </c>
      <c r="D21" s="5" t="s">
        <v>60</v>
      </c>
      <c r="E21" s="61" t="b">
        <v>1</v>
      </c>
    </row>
    <row r="22" spans="1:5" x14ac:dyDescent="0.25">
      <c r="A22" s="69" t="s">
        <v>20</v>
      </c>
      <c r="B22" s="71">
        <v>2001</v>
      </c>
      <c r="C22" s="70">
        <v>-1.3320000000000001E-3</v>
      </c>
      <c r="D22" s="71" t="s">
        <v>60</v>
      </c>
      <c r="E22" s="72" t="b">
        <v>1</v>
      </c>
    </row>
    <row r="23" spans="1:5" x14ac:dyDescent="0.25">
      <c r="A23" s="10" t="s">
        <v>21</v>
      </c>
      <c r="B23" s="5">
        <v>2001</v>
      </c>
      <c r="C23" s="6">
        <v>-1.0334999999999999E-3</v>
      </c>
      <c r="D23" s="5" t="s">
        <v>60</v>
      </c>
      <c r="E23" s="61" t="b">
        <v>1</v>
      </c>
    </row>
    <row r="24" spans="1:5" x14ac:dyDescent="0.25">
      <c r="A24" s="69" t="s">
        <v>22</v>
      </c>
      <c r="B24" s="71">
        <v>2001</v>
      </c>
      <c r="C24" s="70">
        <v>-8.7730000000000002E-4</v>
      </c>
      <c r="D24" s="71" t="s">
        <v>60</v>
      </c>
      <c r="E24" s="72" t="b">
        <v>1</v>
      </c>
    </row>
    <row r="25" spans="1:5" x14ac:dyDescent="0.25">
      <c r="A25" s="10" t="s">
        <v>40</v>
      </c>
      <c r="B25" s="5">
        <v>2001</v>
      </c>
      <c r="C25" s="6">
        <v>-2.5000000000000001E-3</v>
      </c>
      <c r="D25" s="5" t="s">
        <v>60</v>
      </c>
      <c r="E25" s="61" t="b">
        <v>1</v>
      </c>
    </row>
    <row r="26" spans="1:5" x14ac:dyDescent="0.25">
      <c r="A26" s="48" t="s">
        <v>39</v>
      </c>
      <c r="C26" s="19"/>
      <c r="D26" s="20"/>
      <c r="E26" s="21"/>
    </row>
    <row r="27" spans="1:5" ht="101.25" customHeight="1" x14ac:dyDescent="0.25">
      <c r="A27" s="517"/>
      <c r="B27" s="517"/>
      <c r="C27" s="517"/>
      <c r="D27" s="517"/>
      <c r="E27" s="517"/>
    </row>
    <row r="28" spans="1:5" ht="78" customHeight="1" x14ac:dyDescent="0.25">
      <c r="A28" s="517"/>
      <c r="B28" s="517"/>
      <c r="C28" s="517"/>
      <c r="D28" s="517"/>
      <c r="E28" s="517"/>
    </row>
    <row r="29" spans="1:5" ht="46.5" customHeight="1" x14ac:dyDescent="0.25">
      <c r="A29" s="517"/>
      <c r="B29" s="517"/>
      <c r="C29" s="517"/>
      <c r="D29" s="517"/>
      <c r="E29" s="517"/>
    </row>
    <row r="30" spans="1:5" ht="32.25" customHeight="1" x14ac:dyDescent="0.25">
      <c r="A30" s="516"/>
      <c r="B30" s="516"/>
      <c r="C30" s="516"/>
      <c r="D30" s="516"/>
      <c r="E30" s="516"/>
    </row>
    <row r="31" spans="1:5" ht="79.5" customHeight="1" x14ac:dyDescent="0.25">
      <c r="A31" s="517"/>
      <c r="B31" s="517"/>
      <c r="C31" s="517"/>
      <c r="D31" s="517"/>
      <c r="E31" s="517"/>
    </row>
    <row r="32" spans="1:5" ht="39" customHeight="1" x14ac:dyDescent="0.25">
      <c r="A32" s="516"/>
      <c r="B32" s="517"/>
      <c r="C32" s="517"/>
      <c r="D32" s="517"/>
      <c r="E32" s="517"/>
    </row>
    <row r="33" spans="1:5" ht="38.25" customHeight="1" x14ac:dyDescent="0.25">
      <c r="A33" s="516"/>
      <c r="B33" s="517"/>
      <c r="C33" s="517"/>
      <c r="D33" s="517"/>
      <c r="E33" s="517"/>
    </row>
  </sheetData>
  <sheetProtection sheet="1" objects="1" scenarios="1"/>
  <mergeCells count="14">
    <mergeCell ref="G8:G10"/>
    <mergeCell ref="D8:D10"/>
    <mergeCell ref="B8:B10"/>
    <mergeCell ref="A33:E33"/>
    <mergeCell ref="A2:E2"/>
    <mergeCell ref="A27:E27"/>
    <mergeCell ref="A28:E28"/>
    <mergeCell ref="A32:E32"/>
    <mergeCell ref="A30:E30"/>
    <mergeCell ref="A31:E31"/>
    <mergeCell ref="A29:E29"/>
    <mergeCell ref="E8:E10"/>
    <mergeCell ref="B5:B6"/>
    <mergeCell ref="E5:E6"/>
  </mergeCells>
  <phoneticPr fontId="0" type="noConversion"/>
  <printOptions horizontalCentered="1"/>
  <pageMargins left="0.75" right="0.5" top="1" bottom="1" header="0.5" footer="0.5"/>
  <pageSetup scale="83"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304800</xdr:colOff>
                    <xdr:row>2</xdr:row>
                    <xdr:rowOff>144780</xdr:rowOff>
                  </from>
                  <to>
                    <xdr:col>6</xdr:col>
                    <xdr:colOff>121920</xdr:colOff>
                    <xdr:row>4</xdr:row>
                    <xdr:rowOff>30480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304800</xdr:colOff>
                    <xdr:row>4</xdr:row>
                    <xdr:rowOff>38100</xdr:rowOff>
                  </from>
                  <to>
                    <xdr:col>6</xdr:col>
                    <xdr:colOff>121920</xdr:colOff>
                    <xdr:row>5</xdr:row>
                    <xdr:rowOff>106680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304800</xdr:colOff>
                    <xdr:row>5</xdr:row>
                    <xdr:rowOff>121920</xdr:rowOff>
                  </from>
                  <to>
                    <xdr:col>6</xdr:col>
                    <xdr:colOff>121920</xdr:colOff>
                    <xdr:row>7</xdr:row>
                    <xdr:rowOff>30480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304800</xdr:colOff>
                    <xdr:row>7</xdr:row>
                    <xdr:rowOff>114300</xdr:rowOff>
                  </from>
                  <to>
                    <xdr:col>5</xdr:col>
                    <xdr:colOff>0</xdr:colOff>
                    <xdr:row>9</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304800</xdr:colOff>
                    <xdr:row>9</xdr:row>
                    <xdr:rowOff>144780</xdr:rowOff>
                  </from>
                  <to>
                    <xdr:col>6</xdr:col>
                    <xdr:colOff>121920</xdr:colOff>
                    <xdr:row>11</xdr:row>
                    <xdr:rowOff>30480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304800</xdr:colOff>
                    <xdr:row>10</xdr:row>
                    <xdr:rowOff>144780</xdr:rowOff>
                  </from>
                  <to>
                    <xdr:col>5</xdr:col>
                    <xdr:colOff>0</xdr:colOff>
                    <xdr:row>12</xdr:row>
                    <xdr:rowOff>30480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4</xdr:col>
                    <xdr:colOff>304800</xdr:colOff>
                    <xdr:row>11</xdr:row>
                    <xdr:rowOff>144780</xdr:rowOff>
                  </from>
                  <to>
                    <xdr:col>5</xdr:col>
                    <xdr:colOff>0</xdr:colOff>
                    <xdr:row>13</xdr:row>
                    <xdr:rowOff>30480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304800</xdr:colOff>
                    <xdr:row>12</xdr:row>
                    <xdr:rowOff>144780</xdr:rowOff>
                  </from>
                  <to>
                    <xdr:col>5</xdr:col>
                    <xdr:colOff>0</xdr:colOff>
                    <xdr:row>14</xdr:row>
                    <xdr:rowOff>30480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304800</xdr:colOff>
                    <xdr:row>13</xdr:row>
                    <xdr:rowOff>144780</xdr:rowOff>
                  </from>
                  <to>
                    <xdr:col>5</xdr:col>
                    <xdr:colOff>0</xdr:colOff>
                    <xdr:row>15</xdr:row>
                    <xdr:rowOff>30480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304800</xdr:colOff>
                    <xdr:row>14</xdr:row>
                    <xdr:rowOff>144780</xdr:rowOff>
                  </from>
                  <to>
                    <xdr:col>5</xdr:col>
                    <xdr:colOff>0</xdr:colOff>
                    <xdr:row>16</xdr:row>
                    <xdr:rowOff>38100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304800</xdr:colOff>
                    <xdr:row>15</xdr:row>
                    <xdr:rowOff>144780</xdr:rowOff>
                  </from>
                  <to>
                    <xdr:col>5</xdr:col>
                    <xdr:colOff>0</xdr:colOff>
                    <xdr:row>17</xdr:row>
                    <xdr:rowOff>30480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304800</xdr:colOff>
                    <xdr:row>16</xdr:row>
                    <xdr:rowOff>121920</xdr:rowOff>
                  </from>
                  <to>
                    <xdr:col>5</xdr:col>
                    <xdr:colOff>0</xdr:colOff>
                    <xdr:row>18</xdr:row>
                    <xdr:rowOff>30480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304800</xdr:colOff>
                    <xdr:row>17</xdr:row>
                    <xdr:rowOff>144780</xdr:rowOff>
                  </from>
                  <to>
                    <xdr:col>5</xdr:col>
                    <xdr:colOff>0</xdr:colOff>
                    <xdr:row>19</xdr:row>
                    <xdr:rowOff>30480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304800</xdr:colOff>
                    <xdr:row>18</xdr:row>
                    <xdr:rowOff>144780</xdr:rowOff>
                  </from>
                  <to>
                    <xdr:col>5</xdr:col>
                    <xdr:colOff>0</xdr:colOff>
                    <xdr:row>20</xdr:row>
                    <xdr:rowOff>30480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304800</xdr:colOff>
                    <xdr:row>19</xdr:row>
                    <xdr:rowOff>144780</xdr:rowOff>
                  </from>
                  <to>
                    <xdr:col>5</xdr:col>
                    <xdr:colOff>0</xdr:colOff>
                    <xdr:row>21</xdr:row>
                    <xdr:rowOff>30480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304800</xdr:colOff>
                    <xdr:row>20</xdr:row>
                    <xdr:rowOff>144780</xdr:rowOff>
                  </from>
                  <to>
                    <xdr:col>5</xdr:col>
                    <xdr:colOff>0</xdr:colOff>
                    <xdr:row>22</xdr:row>
                    <xdr:rowOff>30480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304800</xdr:colOff>
                    <xdr:row>21</xdr:row>
                    <xdr:rowOff>144780</xdr:rowOff>
                  </from>
                  <to>
                    <xdr:col>5</xdr:col>
                    <xdr:colOff>0</xdr:colOff>
                    <xdr:row>23</xdr:row>
                    <xdr:rowOff>30480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304800</xdr:colOff>
                    <xdr:row>22</xdr:row>
                    <xdr:rowOff>144780</xdr:rowOff>
                  </from>
                  <to>
                    <xdr:col>5</xdr:col>
                    <xdr:colOff>0</xdr:colOff>
                    <xdr:row>24</xdr:row>
                    <xdr:rowOff>30480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4</xdr:col>
                    <xdr:colOff>304800</xdr:colOff>
                    <xdr:row>23</xdr:row>
                    <xdr:rowOff>144780</xdr:rowOff>
                  </from>
                  <to>
                    <xdr:col>5</xdr:col>
                    <xdr:colOff>0</xdr:colOff>
                    <xdr:row>25</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66E1F49E4A5F4F901E7B53DFF89840" ma:contentTypeVersion="0" ma:contentTypeDescription="Create a new document." ma:contentTypeScope="" ma:versionID="c83cccf63b51a0b80fbd7d1f8d67c54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wvc2lzbD48VXNlck5hbWU+Q09SUFxzMjE0Mjg0PC9Vc2VyTmFtZT48RGF0ZVRpbWU+Mi83LzIwMjIgMTA6NTk6MjQgUE08L0RhdGVUaW1lPjxMYWJlbFN0cmluZz5BRVAgUHVibGljPC9MYWJlbFN0cmluZz48L2l0ZW0+PC9sYWJlbEhpc3Rvcnk+</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E4008907-0E25-47A3-957E-4399DC5131C0}">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purl.org/dc/terms/"/>
  </ds:schemaRefs>
</ds:datastoreItem>
</file>

<file path=customXml/itemProps2.xml><?xml version="1.0" encoding="utf-8"?>
<ds:datastoreItem xmlns:ds="http://schemas.openxmlformats.org/officeDocument/2006/customXml" ds:itemID="{3A6A1896-A605-4818-867F-6CC6ECA9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9EAB512-5647-4077-AB44-CA5026335789}">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BAA3C3FA-2552-4DFE-89EC-1E0E2B13CA90}">
  <ds:schemaRefs>
    <ds:schemaRef ds:uri="http://schemas.microsoft.com/sharepoint/v3/contenttype/forms"/>
  </ds:schemaRefs>
</ds:datastoreItem>
</file>

<file path=customXml/itemProps5.xml><?xml version="1.0" encoding="utf-8"?>
<ds:datastoreItem xmlns:ds="http://schemas.openxmlformats.org/officeDocument/2006/customXml" ds:itemID="{A67CB8A7-FC57-44EC-869D-1FF45CFE62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25</vt:i4>
      </vt:variant>
    </vt:vector>
  </HeadingPairs>
  <TitlesOfParts>
    <vt:vector size="58" baseType="lpstr">
      <vt:lpstr>Customer Info</vt:lpstr>
      <vt:lpstr>Rider Def</vt:lpstr>
      <vt:lpstr>RR Bundled</vt:lpstr>
      <vt:lpstr>RSDM Bundled</vt:lpstr>
      <vt:lpstr>RS TOU Bundled</vt:lpstr>
      <vt:lpstr>RS TOD Bundled</vt:lpstr>
      <vt:lpstr>RR Pilot PEV</vt:lpstr>
      <vt:lpstr>RS PEV</vt:lpstr>
      <vt:lpstr>GS-1 Bundled</vt:lpstr>
      <vt:lpstr>GS-TOU Bundled</vt:lpstr>
      <vt:lpstr>GS TOD Bundled</vt:lpstr>
      <vt:lpstr>GS-Pilot PEV</vt:lpstr>
      <vt:lpstr>GS FAIR - SEC</vt:lpstr>
      <vt:lpstr>GS FAIR - PRI</vt:lpstr>
      <vt:lpstr>Bus PEV Sec</vt:lpstr>
      <vt:lpstr>Bus PEV - Primary</vt:lpstr>
      <vt:lpstr>Bus PEV Trans</vt:lpstr>
      <vt:lpstr>GS SEC</vt:lpstr>
      <vt:lpstr>GS PRI</vt:lpstr>
      <vt:lpstr>GS TRANS</vt:lpstr>
      <vt:lpstr>RR Open Access</vt:lpstr>
      <vt:lpstr>RSDM Open</vt:lpstr>
      <vt:lpstr>RS PEV OPEN</vt:lpstr>
      <vt:lpstr>GS-1 Open</vt:lpstr>
      <vt:lpstr>GS-PEV OAD</vt:lpstr>
      <vt:lpstr>GS SEC OAD</vt:lpstr>
      <vt:lpstr>GS PRI OAD</vt:lpstr>
      <vt:lpstr>GS TRANS - OAD</vt:lpstr>
      <vt:lpstr>Bus PEV Sec OAD</vt:lpstr>
      <vt:lpstr>Bus PEV - Primary OAD</vt:lpstr>
      <vt:lpstr>Bus PEV Trans OAD</vt:lpstr>
      <vt:lpstr>Rider Rates</vt:lpstr>
      <vt:lpstr>Riders</vt:lpstr>
      <vt:lpstr>'Customer Info'!Print_Area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OAD'!Print_Area</vt:lpstr>
      <vt:lpstr>'GS-Pilot PEV'!Print_Area</vt:lpstr>
      <vt:lpstr>'GS-TOU Bundled'!Print_Area</vt:lpstr>
      <vt:lpstr>'Rider Def'!Print_Area</vt:lpstr>
      <vt:lpstr>'Rider Rates'!Print_Area</vt:lpstr>
      <vt:lpstr>'RR Bundled'!Print_Area</vt:lpstr>
      <vt:lpstr>'RR Open Access'!Print_Area</vt:lpstr>
      <vt:lpstr>'RR Pilot PEV'!Print_Area</vt:lpstr>
      <vt:lpstr>'RS TOD Bundled'!Print_Area</vt:lpstr>
      <vt:lpstr>'RS TOU Bundled'!Print_Area</vt:lpstr>
      <vt:lpstr>'RSDM Bundled'!Print_Area</vt:lpstr>
      <vt:lpstr>'RSDM Open'!Print_Area</vt:lpstr>
      <vt:lpstr>'Rider Rates'!Print_Titles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aep</dc:creator>
  <cp:keywords/>
  <cp:lastModifiedBy>Kimete Seferi</cp:lastModifiedBy>
  <cp:lastPrinted>2017-06-23T13:54:30Z</cp:lastPrinted>
  <dcterms:created xsi:type="dcterms:W3CDTF">2000-11-03T19:24:31Z</dcterms:created>
  <dcterms:modified xsi:type="dcterms:W3CDTF">2024-12-31T14:10:18Z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ad6b27f4-fd8d-4df5-9d08-85ebcc148472</vt:lpwstr>
  </property>
  <property fmtid="{D5CDD505-2E9C-101B-9397-08002B2CF9AE}" pid="3" name="bjSaver">
    <vt:lpwstr>U1v8mr3eKs0tgCx2MG+dSVdPBDLtHi3C</vt:lpwstr>
  </property>
  <property fmtid="{D5CDD505-2E9C-101B-9397-08002B2CF9AE}" pid="4" name="Visual Markings Removed">
    <vt:lpwstr>No</vt:lpwstr>
  </property>
  <property fmtid="{D5CDD505-2E9C-101B-9397-08002B2CF9AE}" pid="5" name="bjDocumentSecurityLabel">
    <vt:lpwstr>AEP Public</vt:lpwstr>
  </property>
  <property fmtid="{D5CDD505-2E9C-101B-9397-08002B2CF9AE}" pid="6" name="bjLabelHistoryID">
    <vt:lpwstr>{39EAB512-5647-4077-AB44-CA5026335789}</vt:lpwstr>
  </property>
  <property fmtid="{D5CDD505-2E9C-101B-9397-08002B2CF9AE}" pid="7" name="bjClsUserRVM">
    <vt:lpwstr>[]</vt:lpwstr>
  </property>
  <property fmtid="{D5CDD505-2E9C-101B-9397-08002B2CF9AE}" pid="8" name="MSIP_Label_5c34e43d-0b77-4b2c-b224-1b46981ccfdb_SiteId">
    <vt:lpwstr>15f3c881-6b03-4ff6-8559-77bf5177818f</vt:lpwstr>
  </property>
  <property fmtid="{D5CDD505-2E9C-101B-9397-08002B2CF9AE}" pid="9" name="MSIP_Label_5c34e43d-0b77-4b2c-b224-1b46981ccfdb_Name">
    <vt:lpwstr>AEP Public</vt:lpwstr>
  </property>
  <property fmtid="{D5CDD505-2E9C-101B-9397-08002B2CF9AE}" pid="10" name="MSIP_Label_5c34e43d-0b77-4b2c-b224-1b46981ccfdb_Enabled">
    <vt:lpwstr>true</vt:lpwstr>
  </property>
  <property fmtid="{D5CDD505-2E9C-101B-9397-08002B2CF9AE}" pid="11" name="ContentTypeId">
    <vt:lpwstr>0x010100F766E1F49E4A5F4F901E7B53DFF89840</vt:lpwstr>
  </property>
  <property fmtid="{D5CDD505-2E9C-101B-9397-08002B2CF9AE}" pid="12"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3" name="bjDocumentLabelXML-0">
    <vt:lpwstr>ames.com/2008/01/sie/internal/label"&gt;&lt;element uid="c5f8eb12-5b27-439d-aaa6-3402af626fa3" value="" /&gt;&lt;/sisl&gt;</vt:lpwstr>
  </property>
</Properties>
</file>