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22.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2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4.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25.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6.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27.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drawings/drawing29.xml" ContentType="application/vnd.openxmlformats-officedocument.drawing+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drawings/drawing30.xml" ContentType="application/vnd.openxmlformats-officedocument.drawing+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drawings/drawing31.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4\July\"/>
    </mc:Choice>
  </mc:AlternateContent>
  <xr:revisionPtr revIDLastSave="0" documentId="13_ncr:1_{E3EBFF1B-2006-4EC5-A87A-1431D1BF3470}" xr6:coauthVersionLast="47" xr6:coauthVersionMax="47" xr10:uidLastSave="{00000000-0000-0000-0000-000000000000}"/>
  <bookViews>
    <workbookView xWindow="2868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RR Open Access" sheetId="131" r:id="rId21"/>
    <sheet name="RSDM Open" sheetId="132" r:id="rId22"/>
    <sheet name="RS PEV OPEN" sheetId="154" r:id="rId23"/>
    <sheet name="GS-1 Open" sheetId="133" r:id="rId24"/>
    <sheet name="GS-PEV OAD" sheetId="145" r:id="rId25"/>
    <sheet name="GS SEC OAD" sheetId="141" r:id="rId26"/>
    <sheet name="GS PRI OAD" sheetId="142" r:id="rId27"/>
    <sheet name="GS TRANS - OAD" sheetId="136" r:id="rId28"/>
    <sheet name="Bus PEV Sec OAD" sheetId="151" r:id="rId29"/>
    <sheet name="Bus PEV - Primary OAD" sheetId="152" r:id="rId30"/>
    <sheet name="Bus PEV Trans OAD" sheetId="153" r:id="rId31"/>
    <sheet name="Rider Rates" sheetId="120" r:id="rId32"/>
    <sheet name="Sheet1" sheetId="150" r:id="rId33"/>
    <sheet name="Riders" sheetId="61" state="hidden" r:id="rId34"/>
  </sheets>
  <definedNames>
    <definedName name="_xlnm.Print_Area" localSheetId="0">'Customer Info'!$A$1:$F$37</definedName>
    <definedName name="_xlnm.Print_Area" localSheetId="13">'GS FAIR - PRI'!$A$1:$P$72</definedName>
    <definedName name="_xlnm.Print_Area" localSheetId="12">'GS FAIR - SEC'!$A$1:$P$72</definedName>
    <definedName name="_xlnm.Print_Area" localSheetId="18">'GS PRI'!$A$1:$P$79</definedName>
    <definedName name="_xlnm.Print_Area" localSheetId="26">'GS PRI OAD'!$A$1:$P$73</definedName>
    <definedName name="_xlnm.Print_Area" localSheetId="17">'GS SEC'!$A$1:$P$79</definedName>
    <definedName name="_xlnm.Print_Area" localSheetId="25">'GS SEC OAD'!$A$1:$P$73</definedName>
    <definedName name="_xlnm.Print_Area" localSheetId="10">'GS TOD Bundled'!$A$1:$P$64</definedName>
    <definedName name="_xlnm.Print_Area" localSheetId="19">'GS TRANS'!$A$1:$P$78</definedName>
    <definedName name="_xlnm.Print_Area" localSheetId="27">'GS TRANS - OAD'!$A$1:$P$72</definedName>
    <definedName name="_xlnm.Print_Area" localSheetId="8">'GS-1 Bundled'!$A$1:$P$65</definedName>
    <definedName name="_xlnm.Print_Area" localSheetId="23">'GS-1 Open'!$A$1:$P$61</definedName>
    <definedName name="_xlnm.Print_Area" localSheetId="24">'GS-PEV OAD'!$A$1:$P$66</definedName>
    <definedName name="_xlnm.Print_Area" localSheetId="11">'GS-Pilot PEV'!$A$1:$P$66</definedName>
    <definedName name="_xlnm.Print_Area" localSheetId="9">'GS-TOU Bundled'!$A$1:$P$66</definedName>
    <definedName name="_xlnm.Print_Area" localSheetId="1">'Rider Def'!$A$1:$A$34</definedName>
    <definedName name="_xlnm.Print_Area" localSheetId="31">'Rider Rates'!$A$66:$D$81</definedName>
    <definedName name="_xlnm.Print_Area" localSheetId="2">'RR Bundled'!$A$1:$P$68</definedName>
    <definedName name="_xlnm.Print_Area" localSheetId="20">'RR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1">'RSDM Open'!$A$1:$P$56</definedName>
    <definedName name="_xlnm.Print_Titles" localSheetId="31">'Rider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3" i="154" l="1"/>
  <c r="I53" i="154"/>
  <c r="J53" i="154" s="1"/>
  <c r="N53" i="154" s="1"/>
  <c r="O53" i="154" s="1"/>
  <c r="P52" i="154"/>
  <c r="I52" i="154"/>
  <c r="J52" i="154" s="1"/>
  <c r="P51" i="154"/>
  <c r="I51" i="154"/>
  <c r="J51" i="154" s="1"/>
  <c r="N51" i="154" s="1"/>
  <c r="O51" i="154" s="1"/>
  <c r="P50" i="154"/>
  <c r="I50" i="154"/>
  <c r="J50" i="154" s="1"/>
  <c r="P49" i="154"/>
  <c r="J49" i="154"/>
  <c r="D49" i="154"/>
  <c r="P48" i="154"/>
  <c r="I48" i="154"/>
  <c r="J48" i="154" s="1"/>
  <c r="P47" i="154"/>
  <c r="I47" i="154"/>
  <c r="J47" i="154" s="1"/>
  <c r="P46" i="154"/>
  <c r="I46" i="154"/>
  <c r="J46" i="154" s="1"/>
  <c r="P45" i="154"/>
  <c r="J45" i="154"/>
  <c r="P44" i="154"/>
  <c r="I44" i="154"/>
  <c r="J44" i="154" s="1"/>
  <c r="P43" i="154"/>
  <c r="I43" i="154"/>
  <c r="J43" i="154" s="1"/>
  <c r="P42" i="154"/>
  <c r="I42" i="154"/>
  <c r="J42" i="154" s="1"/>
  <c r="P41" i="154"/>
  <c r="I41" i="154"/>
  <c r="J41" i="154" s="1"/>
  <c r="P40" i="154"/>
  <c r="H40" i="154"/>
  <c r="J40" i="154" s="1"/>
  <c r="P39" i="154"/>
  <c r="P38" i="154"/>
  <c r="J38" i="154"/>
  <c r="D38" i="154"/>
  <c r="L38" i="154" s="1"/>
  <c r="O38" i="154" s="1"/>
  <c r="P37" i="154"/>
  <c r="J37" i="154"/>
  <c r="D37" i="154"/>
  <c r="L37" i="154" s="1"/>
  <c r="O37" i="154" s="1"/>
  <c r="P36" i="154"/>
  <c r="J36" i="154"/>
  <c r="D36" i="154"/>
  <c r="L36" i="154" s="1"/>
  <c r="P35" i="154"/>
  <c r="I35" i="154"/>
  <c r="J35" i="154" s="1"/>
  <c r="P34" i="154"/>
  <c r="I34" i="154"/>
  <c r="J34" i="154" s="1"/>
  <c r="P33" i="154"/>
  <c r="I33" i="154"/>
  <c r="J33" i="154" s="1"/>
  <c r="P32" i="154"/>
  <c r="I32" i="154"/>
  <c r="J32" i="154" s="1"/>
  <c r="P31" i="154"/>
  <c r="I31" i="154"/>
  <c r="J31" i="154" s="1"/>
  <c r="P30" i="154"/>
  <c r="I30" i="154"/>
  <c r="J30" i="154" s="1"/>
  <c r="P29" i="154"/>
  <c r="I29" i="154"/>
  <c r="J29" i="154" s="1"/>
  <c r="P28" i="154"/>
  <c r="I28" i="154"/>
  <c r="J28" i="154" s="1"/>
  <c r="P23" i="154"/>
  <c r="I23" i="154"/>
  <c r="J23" i="154" s="1"/>
  <c r="P22" i="154"/>
  <c r="I22" i="154"/>
  <c r="J22" i="154" s="1"/>
  <c r="I21" i="154"/>
  <c r="N21" i="154" s="1"/>
  <c r="AD17" i="154"/>
  <c r="AC17" i="154"/>
  <c r="AB17" i="154"/>
  <c r="AA17" i="154"/>
  <c r="Z17" i="154"/>
  <c r="Y17" i="154"/>
  <c r="X17" i="154"/>
  <c r="W17" i="154"/>
  <c r="V17" i="154"/>
  <c r="U17" i="154"/>
  <c r="T17" i="154"/>
  <c r="S17" i="154"/>
  <c r="C16" i="154"/>
  <c r="C15" i="154"/>
  <c r="D22" i="154" s="1"/>
  <c r="N22" i="154" s="1"/>
  <c r="O22" i="154" s="1"/>
  <c r="D11" i="154"/>
  <c r="B11" i="154"/>
  <c r="C11" i="154" s="1"/>
  <c r="C10" i="154"/>
  <c r="C9" i="154"/>
  <c r="A6" i="154"/>
  <c r="A4" i="154"/>
  <c r="P54" i="153"/>
  <c r="I54" i="153"/>
  <c r="J54" i="153" s="1"/>
  <c r="N54" i="153" s="1"/>
  <c r="O54" i="153" s="1"/>
  <c r="P53" i="153"/>
  <c r="I53" i="153"/>
  <c r="J53" i="153" s="1"/>
  <c r="P52" i="153"/>
  <c r="I52" i="153"/>
  <c r="J52" i="153" s="1"/>
  <c r="P51" i="153"/>
  <c r="I51" i="153"/>
  <c r="J51" i="153" s="1"/>
  <c r="P50" i="153"/>
  <c r="I50" i="153"/>
  <c r="J50" i="153" s="1"/>
  <c r="P49" i="153"/>
  <c r="J49" i="153"/>
  <c r="P48" i="153"/>
  <c r="I48" i="153"/>
  <c r="N48" i="153" s="1"/>
  <c r="O48" i="153" s="1"/>
  <c r="P47" i="153"/>
  <c r="I47" i="153"/>
  <c r="N47" i="153" s="1"/>
  <c r="O47" i="153" s="1"/>
  <c r="P46" i="153"/>
  <c r="I46" i="153"/>
  <c r="J46" i="153" s="1"/>
  <c r="P45" i="153"/>
  <c r="J45" i="153"/>
  <c r="P44" i="153"/>
  <c r="I44" i="153"/>
  <c r="N44" i="153" s="1"/>
  <c r="O44" i="153" s="1"/>
  <c r="P43" i="153"/>
  <c r="I43" i="153"/>
  <c r="J43" i="153" s="1"/>
  <c r="P42" i="153"/>
  <c r="I42" i="153"/>
  <c r="J42" i="153" s="1"/>
  <c r="P41" i="153"/>
  <c r="I41" i="153"/>
  <c r="J41" i="153" s="1"/>
  <c r="N41" i="153" s="1"/>
  <c r="O41" i="153" s="1"/>
  <c r="P40" i="153"/>
  <c r="I40" i="153"/>
  <c r="J40" i="153" s="1"/>
  <c r="P39" i="153"/>
  <c r="H39" i="153"/>
  <c r="J39" i="153" s="1"/>
  <c r="P38" i="153"/>
  <c r="P37" i="153"/>
  <c r="J37" i="153"/>
  <c r="P36" i="153"/>
  <c r="J36" i="153"/>
  <c r="P35" i="153"/>
  <c r="J35" i="153"/>
  <c r="P34" i="153"/>
  <c r="J34" i="153"/>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C16" i="153"/>
  <c r="C15" i="153"/>
  <c r="D52" i="153" s="1"/>
  <c r="AD13" i="153"/>
  <c r="AC13" i="153"/>
  <c r="AB13" i="153"/>
  <c r="AA13" i="153"/>
  <c r="Z13" i="153"/>
  <c r="Y13" i="153"/>
  <c r="X13" i="153"/>
  <c r="W13" i="153"/>
  <c r="V13" i="153"/>
  <c r="U13" i="153"/>
  <c r="T13" i="153"/>
  <c r="S13" i="153"/>
  <c r="D11" i="153"/>
  <c r="B11" i="153"/>
  <c r="C11" i="153" s="1"/>
  <c r="C10" i="153"/>
  <c r="C9" i="153"/>
  <c r="A6" i="153"/>
  <c r="A4" i="153"/>
  <c r="P54" i="152"/>
  <c r="I54" i="152"/>
  <c r="J54" i="152" s="1"/>
  <c r="N54" i="152" s="1"/>
  <c r="O54" i="152" s="1"/>
  <c r="P53" i="152"/>
  <c r="I53" i="152"/>
  <c r="J53" i="152" s="1"/>
  <c r="P52" i="152"/>
  <c r="I52" i="152"/>
  <c r="J52" i="152" s="1"/>
  <c r="P51" i="152"/>
  <c r="I51" i="152"/>
  <c r="J51" i="152" s="1"/>
  <c r="P50" i="152"/>
  <c r="I50" i="152"/>
  <c r="J50" i="152" s="1"/>
  <c r="P49" i="152"/>
  <c r="J49" i="152"/>
  <c r="P48" i="152"/>
  <c r="I48" i="152"/>
  <c r="N48" i="152" s="1"/>
  <c r="O48" i="152" s="1"/>
  <c r="P47" i="152"/>
  <c r="I47" i="152"/>
  <c r="N47" i="152" s="1"/>
  <c r="O47" i="152" s="1"/>
  <c r="P46" i="152"/>
  <c r="I46" i="152"/>
  <c r="J46" i="152" s="1"/>
  <c r="P45" i="152"/>
  <c r="J45" i="152"/>
  <c r="P44" i="152"/>
  <c r="I44" i="152"/>
  <c r="J44" i="152" s="1"/>
  <c r="P43" i="152"/>
  <c r="I43" i="152"/>
  <c r="J43" i="152" s="1"/>
  <c r="P42" i="152"/>
  <c r="I42" i="152"/>
  <c r="J42" i="152" s="1"/>
  <c r="P41" i="152"/>
  <c r="I41" i="152"/>
  <c r="J41" i="152" s="1"/>
  <c r="N41" i="152" s="1"/>
  <c r="O41" i="152" s="1"/>
  <c r="P40" i="152"/>
  <c r="I40" i="152"/>
  <c r="J40" i="152" s="1"/>
  <c r="P39" i="152"/>
  <c r="H39" i="152"/>
  <c r="J39" i="152" s="1"/>
  <c r="P38" i="152"/>
  <c r="P37" i="152"/>
  <c r="J37" i="152"/>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P22" i="152"/>
  <c r="I22" i="152"/>
  <c r="J22" i="152" s="1"/>
  <c r="I21" i="152"/>
  <c r="N21" i="152" s="1"/>
  <c r="C17" i="152"/>
  <c r="D36" i="152" s="1"/>
  <c r="C16" i="152"/>
  <c r="D49" i="152" s="1"/>
  <c r="C15" i="152"/>
  <c r="D31" i="152" s="1"/>
  <c r="AD13" i="152"/>
  <c r="AC13" i="152"/>
  <c r="AB13" i="152"/>
  <c r="AA13" i="152"/>
  <c r="Z13" i="152"/>
  <c r="Y13" i="152"/>
  <c r="X13" i="152"/>
  <c r="W13" i="152"/>
  <c r="V13" i="152"/>
  <c r="U13" i="152"/>
  <c r="T13" i="152"/>
  <c r="S13" i="152"/>
  <c r="D11" i="152"/>
  <c r="B11" i="152"/>
  <c r="C11" i="152" s="1"/>
  <c r="C10" i="152"/>
  <c r="C9" i="152"/>
  <c r="A6" i="152"/>
  <c r="A4" i="152"/>
  <c r="P54" i="151"/>
  <c r="I54" i="151"/>
  <c r="J54" i="151" s="1"/>
  <c r="N54" i="151" s="1"/>
  <c r="O54" i="151" s="1"/>
  <c r="P53" i="151"/>
  <c r="I53" i="151"/>
  <c r="J53" i="151" s="1"/>
  <c r="P52" i="151"/>
  <c r="I52" i="151"/>
  <c r="J52" i="151" s="1"/>
  <c r="P51" i="151"/>
  <c r="I51" i="151"/>
  <c r="J51" i="151" s="1"/>
  <c r="P50" i="151"/>
  <c r="I50" i="151"/>
  <c r="J50" i="151" s="1"/>
  <c r="P49" i="151"/>
  <c r="J49" i="151"/>
  <c r="P48" i="151"/>
  <c r="I48" i="151"/>
  <c r="J48" i="151" s="1"/>
  <c r="P47" i="151"/>
  <c r="I47" i="151"/>
  <c r="N47" i="151" s="1"/>
  <c r="O47" i="151" s="1"/>
  <c r="P46" i="151"/>
  <c r="I46" i="151"/>
  <c r="J46" i="151" s="1"/>
  <c r="P45" i="151"/>
  <c r="J45" i="151"/>
  <c r="P44" i="151"/>
  <c r="I44" i="151"/>
  <c r="N44" i="151" s="1"/>
  <c r="O44" i="151" s="1"/>
  <c r="P43" i="151"/>
  <c r="I43" i="151"/>
  <c r="J43" i="151" s="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P22" i="151"/>
  <c r="I22" i="151"/>
  <c r="J22" i="151" s="1"/>
  <c r="I21" i="151"/>
  <c r="J21" i="151" s="1"/>
  <c r="C17" i="151"/>
  <c r="D36" i="151" s="1"/>
  <c r="C16" i="151"/>
  <c r="D35" i="151" s="1"/>
  <c r="L35" i="151" s="1"/>
  <c r="O35" i="151" s="1"/>
  <c r="C15" i="151"/>
  <c r="D51" i="151" s="1"/>
  <c r="AD13" i="151"/>
  <c r="AC13" i="151"/>
  <c r="AB13" i="151"/>
  <c r="AA13" i="151"/>
  <c r="Z13" i="151"/>
  <c r="Y13" i="151"/>
  <c r="X13" i="151"/>
  <c r="W13" i="151"/>
  <c r="V13" i="151"/>
  <c r="U13" i="151"/>
  <c r="T13" i="151"/>
  <c r="S13" i="151"/>
  <c r="D11" i="151"/>
  <c r="B11" i="151"/>
  <c r="C11" i="151" s="1"/>
  <c r="C10" i="151"/>
  <c r="C9" i="151"/>
  <c r="A6" i="151"/>
  <c r="A4" i="151"/>
  <c r="G49" i="149"/>
  <c r="G36" i="149"/>
  <c r="G35" i="149"/>
  <c r="G34" i="149"/>
  <c r="G49" i="148"/>
  <c r="G36" i="148"/>
  <c r="G35" i="148"/>
  <c r="G34" i="148"/>
  <c r="G36" i="147"/>
  <c r="G35" i="147"/>
  <c r="N44" i="154" l="1"/>
  <c r="O44" i="154" s="1"/>
  <c r="J21" i="154"/>
  <c r="C17" i="154"/>
  <c r="D41" i="154" s="1"/>
  <c r="N41" i="154" s="1"/>
  <c r="O41" i="154" s="1"/>
  <c r="N47" i="154"/>
  <c r="O47" i="154" s="1"/>
  <c r="L49" i="154"/>
  <c r="O49" i="154" s="1"/>
  <c r="O36" i="154"/>
  <c r="D45" i="154"/>
  <c r="O45" i="154" s="1"/>
  <c r="D23" i="154"/>
  <c r="N23" i="154" s="1"/>
  <c r="O23" i="154" s="1"/>
  <c r="O21" i="154"/>
  <c r="N48" i="154"/>
  <c r="O48" i="154" s="1"/>
  <c r="L36" i="153"/>
  <c r="O36" i="153" s="1"/>
  <c r="L36" i="152"/>
  <c r="O36" i="152" s="1"/>
  <c r="N21" i="151"/>
  <c r="O21" i="151" s="1"/>
  <c r="L49" i="152"/>
  <c r="O49" i="152" s="1"/>
  <c r="N51" i="151"/>
  <c r="O51" i="151" s="1"/>
  <c r="N44" i="152"/>
  <c r="O44" i="152" s="1"/>
  <c r="D37" i="153"/>
  <c r="L37" i="153" s="1"/>
  <c r="O37" i="153" s="1"/>
  <c r="L34" i="151"/>
  <c r="O34" i="151" s="1"/>
  <c r="J44" i="151"/>
  <c r="J47" i="151"/>
  <c r="D40" i="151"/>
  <c r="N40" i="151" s="1"/>
  <c r="O40" i="151" s="1"/>
  <c r="N31" i="152"/>
  <c r="O31" i="152" s="1"/>
  <c r="J48" i="152"/>
  <c r="L36" i="151"/>
  <c r="O36" i="151" s="1"/>
  <c r="D27" i="152"/>
  <c r="N27" i="152" s="1"/>
  <c r="O27" i="152" s="1"/>
  <c r="D34" i="152"/>
  <c r="L34" i="152" s="1"/>
  <c r="D38" i="152"/>
  <c r="D27" i="153"/>
  <c r="N27" i="153" s="1"/>
  <c r="O27" i="153" s="1"/>
  <c r="D39" i="152"/>
  <c r="M39" i="152" s="1"/>
  <c r="O39" i="152" s="1"/>
  <c r="D31" i="153"/>
  <c r="N31" i="153" s="1"/>
  <c r="O31" i="153" s="1"/>
  <c r="D28" i="151"/>
  <c r="N28" i="151" s="1"/>
  <c r="O28" i="151" s="1"/>
  <c r="N48" i="151"/>
  <c r="O48" i="151" s="1"/>
  <c r="D30" i="152"/>
  <c r="N30" i="152" s="1"/>
  <c r="O30" i="152" s="1"/>
  <c r="D37" i="152"/>
  <c r="L37" i="152" s="1"/>
  <c r="O37" i="152" s="1"/>
  <c r="J47" i="153"/>
  <c r="D22" i="152"/>
  <c r="N22" i="152" s="1"/>
  <c r="O22" i="152" s="1"/>
  <c r="D35" i="152"/>
  <c r="L35" i="152" s="1"/>
  <c r="O35" i="152" s="1"/>
  <c r="J21" i="153"/>
  <c r="D35" i="153"/>
  <c r="L35" i="153" s="1"/>
  <c r="O35" i="153" s="1"/>
  <c r="D32" i="151"/>
  <c r="N32" i="151" s="1"/>
  <c r="O32" i="151" s="1"/>
  <c r="D49" i="151"/>
  <c r="L49" i="151" s="1"/>
  <c r="O49" i="151" s="1"/>
  <c r="D50" i="152"/>
  <c r="N50" i="152" s="1"/>
  <c r="O50" i="152" s="1"/>
  <c r="D52" i="152"/>
  <c r="N52" i="152" s="1"/>
  <c r="O52" i="152" s="1"/>
  <c r="D22" i="153"/>
  <c r="N22" i="153" s="1"/>
  <c r="O22" i="153" s="1"/>
  <c r="D39" i="153"/>
  <c r="M39" i="153" s="1"/>
  <c r="O39" i="153" s="1"/>
  <c r="D29" i="152"/>
  <c r="N29" i="152" s="1"/>
  <c r="O29" i="152" s="1"/>
  <c r="D53" i="151"/>
  <c r="N53" i="151" s="1"/>
  <c r="O53" i="151" s="1"/>
  <c r="O21" i="152"/>
  <c r="O21" i="153"/>
  <c r="N52" i="153"/>
  <c r="O52" i="153" s="1"/>
  <c r="D29" i="151"/>
  <c r="N29" i="151" s="1"/>
  <c r="O29" i="151" s="1"/>
  <c r="D37" i="151"/>
  <c r="L37" i="151" s="1"/>
  <c r="O37" i="151" s="1"/>
  <c r="D50" i="151"/>
  <c r="N50" i="151" s="1"/>
  <c r="O50" i="151" s="1"/>
  <c r="J21" i="152"/>
  <c r="J47" i="152"/>
  <c r="D28" i="153"/>
  <c r="N28" i="153" s="1"/>
  <c r="O28" i="153" s="1"/>
  <c r="D32" i="153"/>
  <c r="N32" i="153" s="1"/>
  <c r="O32" i="153" s="1"/>
  <c r="D40" i="153"/>
  <c r="N40" i="153" s="1"/>
  <c r="O40" i="153" s="1"/>
  <c r="J44" i="153"/>
  <c r="D49" i="153"/>
  <c r="L49" i="153" s="1"/>
  <c r="O49" i="153" s="1"/>
  <c r="D53" i="153"/>
  <c r="N53" i="153" s="1"/>
  <c r="O53" i="153" s="1"/>
  <c r="D28" i="152"/>
  <c r="N28" i="152" s="1"/>
  <c r="O28" i="152" s="1"/>
  <c r="D32" i="152"/>
  <c r="N32" i="152" s="1"/>
  <c r="O32" i="152" s="1"/>
  <c r="D40" i="152"/>
  <c r="N40" i="152" s="1"/>
  <c r="O40" i="152" s="1"/>
  <c r="D53" i="152"/>
  <c r="N53" i="152" s="1"/>
  <c r="O53" i="152" s="1"/>
  <c r="D22" i="151"/>
  <c r="N22" i="151" s="1"/>
  <c r="O22" i="151" s="1"/>
  <c r="D27" i="151"/>
  <c r="N27" i="151" s="1"/>
  <c r="D31" i="151"/>
  <c r="N31" i="151" s="1"/>
  <c r="O31" i="151" s="1"/>
  <c r="D39" i="151"/>
  <c r="M39" i="151" s="1"/>
  <c r="D52" i="151"/>
  <c r="N52" i="151" s="1"/>
  <c r="O52" i="151" s="1"/>
  <c r="D30" i="153"/>
  <c r="N30" i="153" s="1"/>
  <c r="O30" i="153" s="1"/>
  <c r="D34" i="153"/>
  <c r="L34" i="153" s="1"/>
  <c r="D38" i="153"/>
  <c r="D45" i="153"/>
  <c r="O45" i="153" s="1"/>
  <c r="J48" i="153"/>
  <c r="D51" i="153"/>
  <c r="N51" i="153" s="1"/>
  <c r="O51" i="153" s="1"/>
  <c r="D45" i="152"/>
  <c r="O45" i="152" s="1"/>
  <c r="D51" i="152"/>
  <c r="N51" i="152" s="1"/>
  <c r="O51" i="152" s="1"/>
  <c r="D30" i="151"/>
  <c r="N30" i="151" s="1"/>
  <c r="O30" i="151" s="1"/>
  <c r="D38" i="151"/>
  <c r="D45" i="151"/>
  <c r="O45" i="151" s="1"/>
  <c r="D29" i="153"/>
  <c r="N29" i="153" s="1"/>
  <c r="O29" i="153" s="1"/>
  <c r="D50" i="153"/>
  <c r="N50" i="153" s="1"/>
  <c r="O50" i="153" s="1"/>
  <c r="D34" i="147"/>
  <c r="G37" i="146"/>
  <c r="D37" i="146"/>
  <c r="D34" i="154" l="1"/>
  <c r="N34" i="154" s="1"/>
  <c r="O34" i="154" s="1"/>
  <c r="D52" i="154"/>
  <c r="N52" i="154" s="1"/>
  <c r="O52" i="154" s="1"/>
  <c r="D40" i="154"/>
  <c r="M40" i="154" s="1"/>
  <c r="O40" i="154" s="1"/>
  <c r="D31" i="154"/>
  <c r="N31" i="154" s="1"/>
  <c r="O31" i="154" s="1"/>
  <c r="D28" i="154"/>
  <c r="N28" i="154" s="1"/>
  <c r="O28" i="154" s="1"/>
  <c r="D32" i="154"/>
  <c r="N32" i="154" s="1"/>
  <c r="O32" i="154" s="1"/>
  <c r="D30" i="154"/>
  <c r="N30" i="154" s="1"/>
  <c r="O30" i="154" s="1"/>
  <c r="D29" i="154"/>
  <c r="N29" i="154" s="1"/>
  <c r="O29" i="154" s="1"/>
  <c r="D50" i="154"/>
  <c r="N50" i="154" s="1"/>
  <c r="O50" i="154" s="1"/>
  <c r="L55" i="154"/>
  <c r="L57" i="154" s="1"/>
  <c r="O65" i="154" s="1"/>
  <c r="O23" i="151"/>
  <c r="M55" i="154"/>
  <c r="M57" i="154" s="1"/>
  <c r="O24" i="154"/>
  <c r="M56" i="152"/>
  <c r="M58" i="152" s="1"/>
  <c r="N24" i="154"/>
  <c r="N23" i="151"/>
  <c r="D46" i="151" s="1"/>
  <c r="N46" i="151" s="1"/>
  <c r="O46" i="151" s="1"/>
  <c r="L56" i="152"/>
  <c r="L58" i="152" s="1"/>
  <c r="O66" i="152" s="1"/>
  <c r="M56" i="153"/>
  <c r="M58" i="153" s="1"/>
  <c r="L56" i="151"/>
  <c r="L58" i="151" s="1"/>
  <c r="O66" i="151" s="1"/>
  <c r="O34" i="152"/>
  <c r="N23" i="153"/>
  <c r="L56" i="153"/>
  <c r="L58" i="153" s="1"/>
  <c r="O66" i="153" s="1"/>
  <c r="O34" i="153"/>
  <c r="O23" i="153"/>
  <c r="M56" i="151"/>
  <c r="M58" i="151" s="1"/>
  <c r="O39" i="151"/>
  <c r="O27" i="151"/>
  <c r="N23" i="152"/>
  <c r="O23" i="152"/>
  <c r="I32" i="147"/>
  <c r="J32" i="147" s="1"/>
  <c r="P32" i="147"/>
  <c r="P23" i="146"/>
  <c r="I23" i="146"/>
  <c r="C16" i="146"/>
  <c r="D23" i="146" s="1"/>
  <c r="C15" i="146"/>
  <c r="D22" i="146" s="1"/>
  <c r="D33" i="154" l="1"/>
  <c r="N33" i="154" s="1"/>
  <c r="D42" i="154"/>
  <c r="N42" i="154" s="1"/>
  <c r="O42" i="154" s="1"/>
  <c r="D35" i="154"/>
  <c r="N35" i="154" s="1"/>
  <c r="O35" i="154" s="1"/>
  <c r="D43" i="154"/>
  <c r="N43" i="154" s="1"/>
  <c r="O43" i="154" s="1"/>
  <c r="D46" i="154"/>
  <c r="N46" i="154" s="1"/>
  <c r="O46" i="154" s="1"/>
  <c r="D33" i="151"/>
  <c r="N33" i="151" s="1"/>
  <c r="O33" i="151" s="1"/>
  <c r="D43" i="151"/>
  <c r="N43" i="151" s="1"/>
  <c r="O43" i="151" s="1"/>
  <c r="D42" i="151"/>
  <c r="N42" i="151" s="1"/>
  <c r="O42" i="151" s="1"/>
  <c r="N23" i="146"/>
  <c r="O23" i="146" s="1"/>
  <c r="D33" i="153"/>
  <c r="N33" i="153" s="1"/>
  <c r="D42" i="153"/>
  <c r="N42" i="153" s="1"/>
  <c r="O42" i="153" s="1"/>
  <c r="D43" i="153"/>
  <c r="N43" i="153" s="1"/>
  <c r="O43" i="153" s="1"/>
  <c r="D46" i="153"/>
  <c r="N46" i="153" s="1"/>
  <c r="O46" i="153" s="1"/>
  <c r="D42" i="152"/>
  <c r="N42" i="152" s="1"/>
  <c r="O42" i="152" s="1"/>
  <c r="D43" i="152"/>
  <c r="N43" i="152" s="1"/>
  <c r="O43" i="152" s="1"/>
  <c r="D46" i="152"/>
  <c r="N46" i="152" s="1"/>
  <c r="O46" i="152" s="1"/>
  <c r="D33" i="152"/>
  <c r="N33" i="152" s="1"/>
  <c r="C17" i="146"/>
  <c r="J23" i="146"/>
  <c r="O33" i="154" l="1"/>
  <c r="O33" i="153"/>
  <c r="O33" i="152"/>
  <c r="I22" i="147"/>
  <c r="J22" i="147" s="1"/>
  <c r="P22" i="148"/>
  <c r="P22" i="146"/>
  <c r="P22" i="147"/>
  <c r="P22" i="149"/>
  <c r="I22" i="149"/>
  <c r="J22" i="149" s="1"/>
  <c r="I21" i="149"/>
  <c r="N21" i="149" s="1"/>
  <c r="P54" i="149"/>
  <c r="I54" i="149"/>
  <c r="J54" i="149" s="1"/>
  <c r="N54" i="149" s="1"/>
  <c r="O54" i="149" s="1"/>
  <c r="P53" i="149"/>
  <c r="I53" i="149"/>
  <c r="J53" i="149" s="1"/>
  <c r="P52" i="149"/>
  <c r="I52" i="149"/>
  <c r="J52" i="149" s="1"/>
  <c r="P51" i="149"/>
  <c r="I51" i="149"/>
  <c r="J51" i="149" s="1"/>
  <c r="P50" i="149"/>
  <c r="I50" i="149"/>
  <c r="J50" i="149" s="1"/>
  <c r="P49" i="149"/>
  <c r="J49" i="149"/>
  <c r="P48" i="149"/>
  <c r="I48" i="149"/>
  <c r="J48" i="149" s="1"/>
  <c r="P47" i="149"/>
  <c r="I47" i="149"/>
  <c r="N47" i="149" s="1"/>
  <c r="O47" i="149" s="1"/>
  <c r="P46" i="149"/>
  <c r="I46" i="149"/>
  <c r="J46" i="149" s="1"/>
  <c r="P45" i="149"/>
  <c r="J45" i="149"/>
  <c r="P44" i="149"/>
  <c r="I44" i="149"/>
  <c r="N44" i="149" s="1"/>
  <c r="O44" i="149" s="1"/>
  <c r="P43" i="149"/>
  <c r="I43" i="149"/>
  <c r="J43" i="149" s="1"/>
  <c r="P42" i="149"/>
  <c r="I42" i="149"/>
  <c r="J42" i="149" s="1"/>
  <c r="P41" i="149"/>
  <c r="I41" i="149"/>
  <c r="J41" i="149" s="1"/>
  <c r="N41" i="149" s="1"/>
  <c r="O41" i="149" s="1"/>
  <c r="P40" i="149"/>
  <c r="I40" i="149"/>
  <c r="J40" i="149" s="1"/>
  <c r="P39" i="149"/>
  <c r="H39" i="149"/>
  <c r="J39" i="149" s="1"/>
  <c r="P38" i="149"/>
  <c r="P37" i="149"/>
  <c r="G37" i="149"/>
  <c r="J37" i="149" s="1"/>
  <c r="P36" i="149"/>
  <c r="J36" i="149"/>
  <c r="P35" i="149"/>
  <c r="J35" i="149"/>
  <c r="P34" i="149"/>
  <c r="J34" i="149"/>
  <c r="P33" i="149"/>
  <c r="I33" i="149"/>
  <c r="J33" i="149" s="1"/>
  <c r="P32" i="149"/>
  <c r="I32" i="149"/>
  <c r="J32" i="149" s="1"/>
  <c r="P31" i="149"/>
  <c r="I31" i="149"/>
  <c r="J31" i="149" s="1"/>
  <c r="P30" i="149"/>
  <c r="I30" i="149"/>
  <c r="J30" i="149" s="1"/>
  <c r="P29" i="149"/>
  <c r="I29" i="149"/>
  <c r="J29" i="149" s="1"/>
  <c r="P28" i="149"/>
  <c r="I28" i="149"/>
  <c r="J28" i="149" s="1"/>
  <c r="P27" i="149"/>
  <c r="I27" i="149"/>
  <c r="J27" i="149" s="1"/>
  <c r="C17" i="149"/>
  <c r="D36" i="149" s="1"/>
  <c r="C16" i="149"/>
  <c r="D35" i="149" s="1"/>
  <c r="C15" i="149"/>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s="1"/>
  <c r="P54" i="148"/>
  <c r="I54" i="148"/>
  <c r="J54" i="148" s="1"/>
  <c r="N54" i="148" s="1"/>
  <c r="O54" i="148" s="1"/>
  <c r="P53" i="148"/>
  <c r="I53" i="148"/>
  <c r="J53" i="148" s="1"/>
  <c r="P52" i="148"/>
  <c r="I52" i="148"/>
  <c r="J52" i="148" s="1"/>
  <c r="P51" i="148"/>
  <c r="I51" i="148"/>
  <c r="J51" i="148" s="1"/>
  <c r="P50" i="148"/>
  <c r="I50" i="148"/>
  <c r="J50" i="148" s="1"/>
  <c r="P49" i="148"/>
  <c r="J49" i="148"/>
  <c r="P48" i="148"/>
  <c r="I48" i="148"/>
  <c r="N48" i="148" s="1"/>
  <c r="O48" i="148" s="1"/>
  <c r="P47" i="148"/>
  <c r="I47" i="148"/>
  <c r="N47" i="148" s="1"/>
  <c r="O47" i="148" s="1"/>
  <c r="P46" i="148"/>
  <c r="I46" i="148"/>
  <c r="J46" i="148" s="1"/>
  <c r="P45" i="148"/>
  <c r="J45" i="148"/>
  <c r="P44" i="148"/>
  <c r="I44" i="148"/>
  <c r="P43" i="148"/>
  <c r="I43" i="148"/>
  <c r="J43" i="148" s="1"/>
  <c r="P42" i="148"/>
  <c r="I42" i="148"/>
  <c r="J42" i="148" s="1"/>
  <c r="P41" i="148"/>
  <c r="I41" i="148"/>
  <c r="J41" i="148" s="1"/>
  <c r="N41" i="148" s="1"/>
  <c r="O41" i="148" s="1"/>
  <c r="P40" i="148"/>
  <c r="I40" i="148"/>
  <c r="J40" i="148" s="1"/>
  <c r="P39" i="148"/>
  <c r="H39" i="148"/>
  <c r="J39" i="148" s="1"/>
  <c r="P38" i="148"/>
  <c r="P37" i="148"/>
  <c r="G37" i="148"/>
  <c r="J37" i="148" s="1"/>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C17" i="148"/>
  <c r="D36" i="148" s="1"/>
  <c r="C16" i="148"/>
  <c r="D35" i="148" s="1"/>
  <c r="C15" i="148"/>
  <c r="AD13" i="148"/>
  <c r="AC13" i="148"/>
  <c r="AB13" i="148"/>
  <c r="AA13" i="148"/>
  <c r="Z13" i="148"/>
  <c r="Y13" i="148"/>
  <c r="X13" i="148"/>
  <c r="W13" i="148"/>
  <c r="V13" i="148"/>
  <c r="U13" i="148"/>
  <c r="T13" i="148"/>
  <c r="S13" i="148"/>
  <c r="D11" i="148"/>
  <c r="B11" i="148"/>
  <c r="C11" i="148" s="1"/>
  <c r="C10" i="148"/>
  <c r="C9" i="148"/>
  <c r="A6" i="148"/>
  <c r="A4" i="148"/>
  <c r="I21" i="147"/>
  <c r="N21" i="147" s="1"/>
  <c r="O21" i="147" s="1"/>
  <c r="P54" i="147"/>
  <c r="I54" i="147"/>
  <c r="J54" i="147" s="1"/>
  <c r="N54" i="147" s="1"/>
  <c r="O54" i="147" s="1"/>
  <c r="P53" i="147"/>
  <c r="I53" i="147"/>
  <c r="J53" i="147" s="1"/>
  <c r="P52" i="147"/>
  <c r="I52" i="147"/>
  <c r="J52" i="147" s="1"/>
  <c r="P51" i="147"/>
  <c r="I51" i="147"/>
  <c r="J51" i="147" s="1"/>
  <c r="P50" i="147"/>
  <c r="I50" i="147"/>
  <c r="J50" i="147" s="1"/>
  <c r="P49" i="147"/>
  <c r="G49" i="147"/>
  <c r="J49" i="147" s="1"/>
  <c r="P48" i="147"/>
  <c r="I48" i="147"/>
  <c r="N48" i="147" s="1"/>
  <c r="O48" i="147" s="1"/>
  <c r="P47" i="147"/>
  <c r="I47" i="147"/>
  <c r="N47" i="147" s="1"/>
  <c r="O47" i="147" s="1"/>
  <c r="P46" i="147"/>
  <c r="I46" i="147"/>
  <c r="J46" i="147" s="1"/>
  <c r="P45" i="147"/>
  <c r="J45" i="147"/>
  <c r="P44" i="147"/>
  <c r="I44" i="147"/>
  <c r="N44" i="147" s="1"/>
  <c r="O44" i="147" s="1"/>
  <c r="P43" i="147"/>
  <c r="I43" i="147"/>
  <c r="J43" i="147" s="1"/>
  <c r="P42" i="147"/>
  <c r="I42" i="147"/>
  <c r="J42" i="147" s="1"/>
  <c r="P41" i="147"/>
  <c r="I41" i="147"/>
  <c r="J41" i="147" s="1"/>
  <c r="N41" i="147" s="1"/>
  <c r="O41" i="147" s="1"/>
  <c r="P40" i="147"/>
  <c r="I40" i="147"/>
  <c r="J40" i="147" s="1"/>
  <c r="P39" i="147"/>
  <c r="H39" i="147"/>
  <c r="J39" i="147" s="1"/>
  <c r="P38" i="147"/>
  <c r="P37" i="147"/>
  <c r="G37" i="147"/>
  <c r="J37" i="147" s="1"/>
  <c r="P36" i="147"/>
  <c r="J36" i="147"/>
  <c r="P35" i="147"/>
  <c r="J35" i="147"/>
  <c r="P34" i="147"/>
  <c r="G34" i="147"/>
  <c r="J34" i="147" s="1"/>
  <c r="P33" i="147"/>
  <c r="I33" i="147"/>
  <c r="J33" i="147" s="1"/>
  <c r="P31" i="147"/>
  <c r="I31" i="147"/>
  <c r="J31" i="147" s="1"/>
  <c r="P30" i="147"/>
  <c r="I30" i="147"/>
  <c r="J30" i="147" s="1"/>
  <c r="P29" i="147"/>
  <c r="I29" i="147"/>
  <c r="J29" i="147" s="1"/>
  <c r="P28" i="147"/>
  <c r="I28" i="147"/>
  <c r="J28" i="147" s="1"/>
  <c r="P27" i="147"/>
  <c r="I27" i="147"/>
  <c r="J27" i="147" s="1"/>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I22" i="146"/>
  <c r="J22" i="146" s="1"/>
  <c r="I21" i="146"/>
  <c r="J21" i="146" s="1"/>
  <c r="P53" i="146"/>
  <c r="I53" i="146"/>
  <c r="J53" i="146" s="1"/>
  <c r="N53" i="146" s="1"/>
  <c r="O53" i="146" s="1"/>
  <c r="P52" i="146"/>
  <c r="I52" i="146"/>
  <c r="J52" i="146" s="1"/>
  <c r="P51" i="146"/>
  <c r="I51" i="146"/>
  <c r="J51" i="146" s="1"/>
  <c r="N51" i="146" s="1"/>
  <c r="O51" i="146" s="1"/>
  <c r="P50" i="146"/>
  <c r="I50" i="146"/>
  <c r="J50" i="146" s="1"/>
  <c r="P49" i="146"/>
  <c r="G49" i="146"/>
  <c r="J49" i="146" s="1"/>
  <c r="D49" i="146"/>
  <c r="P48" i="146"/>
  <c r="I48" i="146"/>
  <c r="N48" i="146" s="1"/>
  <c r="O48" i="146" s="1"/>
  <c r="P47" i="146"/>
  <c r="I47" i="146"/>
  <c r="N47" i="146" s="1"/>
  <c r="O47" i="146" s="1"/>
  <c r="P46" i="146"/>
  <c r="I46" i="146"/>
  <c r="J46" i="146" s="1"/>
  <c r="P45" i="146"/>
  <c r="J45" i="146"/>
  <c r="P44" i="146"/>
  <c r="I44" i="146"/>
  <c r="N44" i="146" s="1"/>
  <c r="O44" i="146" s="1"/>
  <c r="P43" i="146"/>
  <c r="I43" i="146"/>
  <c r="J43" i="146" s="1"/>
  <c r="P42" i="146"/>
  <c r="I42" i="146"/>
  <c r="J42" i="146" s="1"/>
  <c r="P41" i="146"/>
  <c r="I41" i="146"/>
  <c r="J41"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s="1"/>
  <c r="P32" i="146"/>
  <c r="I32" i="146"/>
  <c r="J32" i="146" s="1"/>
  <c r="P31" i="146"/>
  <c r="I31" i="146"/>
  <c r="J31" i="146" s="1"/>
  <c r="P30" i="146"/>
  <c r="I30" i="146"/>
  <c r="J30" i="146" s="1"/>
  <c r="P29" i="146"/>
  <c r="I29" i="146"/>
  <c r="J29" i="146" s="1"/>
  <c r="P28" i="146"/>
  <c r="I28" i="146"/>
  <c r="J28" i="146" s="1"/>
  <c r="AD17" i="146"/>
  <c r="AC17" i="146"/>
  <c r="AB17" i="146"/>
  <c r="AA17" i="146"/>
  <c r="Z17" i="146"/>
  <c r="Y17" i="146"/>
  <c r="X17" i="146"/>
  <c r="W17" i="146"/>
  <c r="V17" i="146"/>
  <c r="U17" i="146"/>
  <c r="T17" i="146"/>
  <c r="S17" i="146"/>
  <c r="D11" i="146"/>
  <c r="B11" i="146"/>
  <c r="C11" i="146" s="1"/>
  <c r="C10" i="146"/>
  <c r="C9" i="146"/>
  <c r="A6" i="146"/>
  <c r="A4" i="146"/>
  <c r="D53" i="148" l="1"/>
  <c r="N53" i="148" s="1"/>
  <c r="O53" i="148" s="1"/>
  <c r="D34" i="148"/>
  <c r="D22" i="149"/>
  <c r="N22" i="149" s="1"/>
  <c r="O22" i="149" s="1"/>
  <c r="D34" i="149"/>
  <c r="D32" i="149"/>
  <c r="N32" i="149" s="1"/>
  <c r="O32" i="149" s="1"/>
  <c r="D27" i="148"/>
  <c r="N27" i="148" s="1"/>
  <c r="O27" i="148" s="1"/>
  <c r="L35" i="148"/>
  <c r="O35" i="148" s="1"/>
  <c r="L35" i="149"/>
  <c r="O35" i="149" s="1"/>
  <c r="D37" i="149"/>
  <c r="L37" i="149" s="1"/>
  <c r="O37" i="149" s="1"/>
  <c r="J47" i="149"/>
  <c r="L36" i="149"/>
  <c r="O36" i="149" s="1"/>
  <c r="N48" i="149"/>
  <c r="O48" i="149" s="1"/>
  <c r="D37" i="148"/>
  <c r="L37" i="148" s="1"/>
  <c r="O37" i="148" s="1"/>
  <c r="D40" i="148"/>
  <c r="N40" i="148" s="1"/>
  <c r="O40" i="148" s="1"/>
  <c r="D32" i="148"/>
  <c r="N32" i="148" s="1"/>
  <c r="O32" i="148" s="1"/>
  <c r="D37" i="147"/>
  <c r="L37" i="147" s="1"/>
  <c r="O37" i="147" s="1"/>
  <c r="D53" i="147"/>
  <c r="N53" i="147" s="1"/>
  <c r="O53" i="147" s="1"/>
  <c r="D32" i="147"/>
  <c r="N32" i="147" s="1"/>
  <c r="O32" i="147" s="1"/>
  <c r="D40" i="147"/>
  <c r="N40" i="147" s="1"/>
  <c r="O40" i="147" s="1"/>
  <c r="D49" i="147"/>
  <c r="L49" i="147" s="1"/>
  <c r="O49" i="147" s="1"/>
  <c r="D30" i="147"/>
  <c r="N30" i="147" s="1"/>
  <c r="O30" i="147" s="1"/>
  <c r="J48" i="147"/>
  <c r="J44" i="147"/>
  <c r="J47" i="147"/>
  <c r="L49" i="146"/>
  <c r="O49" i="146" s="1"/>
  <c r="L38" i="146"/>
  <c r="O38" i="146" s="1"/>
  <c r="L36" i="146"/>
  <c r="J48" i="146"/>
  <c r="L37" i="146"/>
  <c r="O37" i="146" s="1"/>
  <c r="D28" i="148"/>
  <c r="N28" i="148" s="1"/>
  <c r="O28" i="148" s="1"/>
  <c r="D22" i="147"/>
  <c r="N22" i="147" s="1"/>
  <c r="D22" i="148"/>
  <c r="N22" i="148" s="1"/>
  <c r="O22" i="148" s="1"/>
  <c r="D31" i="148"/>
  <c r="N31" i="148" s="1"/>
  <c r="O31" i="148" s="1"/>
  <c r="D52" i="148"/>
  <c r="N52" i="148" s="1"/>
  <c r="O52" i="148" s="1"/>
  <c r="D28" i="147"/>
  <c r="N28" i="147" s="1"/>
  <c r="O28" i="147" s="1"/>
  <c r="D39" i="148"/>
  <c r="M39" i="148" s="1"/>
  <c r="M56" i="148" s="1"/>
  <c r="M58" i="148" s="1"/>
  <c r="D29" i="148"/>
  <c r="N29" i="148" s="1"/>
  <c r="O29" i="148" s="1"/>
  <c r="D50" i="148"/>
  <c r="N50" i="148" s="1"/>
  <c r="O50" i="148" s="1"/>
  <c r="O21" i="149"/>
  <c r="J21" i="149"/>
  <c r="D28" i="149"/>
  <c r="N28" i="149" s="1"/>
  <c r="O28" i="149" s="1"/>
  <c r="D40" i="149"/>
  <c r="N40" i="149" s="1"/>
  <c r="O40" i="149" s="1"/>
  <c r="J44" i="149"/>
  <c r="D49" i="149"/>
  <c r="L49" i="149" s="1"/>
  <c r="O49" i="149" s="1"/>
  <c r="D53" i="149"/>
  <c r="N53" i="149" s="1"/>
  <c r="O53" i="149" s="1"/>
  <c r="D27" i="149"/>
  <c r="N27" i="149" s="1"/>
  <c r="D31" i="149"/>
  <c r="N31" i="149" s="1"/>
  <c r="O31" i="149" s="1"/>
  <c r="D39" i="149"/>
  <c r="M39" i="149" s="1"/>
  <c r="D52" i="149"/>
  <c r="N52" i="149" s="1"/>
  <c r="O52" i="149" s="1"/>
  <c r="D30" i="149"/>
  <c r="N30" i="149" s="1"/>
  <c r="O30" i="149" s="1"/>
  <c r="D38" i="149"/>
  <c r="D45" i="149"/>
  <c r="O45" i="149" s="1"/>
  <c r="D51" i="149"/>
  <c r="N51" i="149" s="1"/>
  <c r="O51" i="149" s="1"/>
  <c r="D29" i="149"/>
  <c r="N29" i="149" s="1"/>
  <c r="O29" i="149" s="1"/>
  <c r="D50" i="149"/>
  <c r="N50" i="149" s="1"/>
  <c r="O50" i="149" s="1"/>
  <c r="N21" i="148"/>
  <c r="O21" i="148" s="1"/>
  <c r="D49" i="148"/>
  <c r="L49" i="148" s="1"/>
  <c r="O49" i="148" s="1"/>
  <c r="L36" i="148"/>
  <c r="O36" i="148" s="1"/>
  <c r="N44" i="148"/>
  <c r="O44" i="148" s="1"/>
  <c r="J44" i="148"/>
  <c r="J47" i="148"/>
  <c r="D30" i="148"/>
  <c r="N30" i="148" s="1"/>
  <c r="O30" i="148" s="1"/>
  <c r="D38" i="148"/>
  <c r="D45" i="148"/>
  <c r="O45" i="148" s="1"/>
  <c r="J48" i="148"/>
  <c r="D51" i="148"/>
  <c r="N51" i="148" s="1"/>
  <c r="O51" i="148" s="1"/>
  <c r="J21" i="147"/>
  <c r="L36" i="147"/>
  <c r="O36" i="147" s="1"/>
  <c r="D27" i="147"/>
  <c r="N27" i="147" s="1"/>
  <c r="D31" i="147"/>
  <c r="N31" i="147" s="1"/>
  <c r="O31" i="147" s="1"/>
  <c r="L35" i="147"/>
  <c r="O35" i="147" s="1"/>
  <c r="D39" i="147"/>
  <c r="M39" i="147" s="1"/>
  <c r="D52" i="147"/>
  <c r="N52" i="147" s="1"/>
  <c r="O52" i="147" s="1"/>
  <c r="D38" i="147"/>
  <c r="D45" i="147"/>
  <c r="O45" i="147" s="1"/>
  <c r="D51" i="147"/>
  <c r="N51" i="147" s="1"/>
  <c r="O51" i="147" s="1"/>
  <c r="D29" i="147"/>
  <c r="N29" i="147" s="1"/>
  <c r="O29" i="147" s="1"/>
  <c r="D50" i="147"/>
  <c r="N50" i="147" s="1"/>
  <c r="O50" i="147" s="1"/>
  <c r="N21" i="146"/>
  <c r="D45" i="146"/>
  <c r="O45" i="146" s="1"/>
  <c r="D50" i="146"/>
  <c r="N50" i="146" s="1"/>
  <c r="O50" i="146" s="1"/>
  <c r="D40" i="146"/>
  <c r="M40" i="146" s="1"/>
  <c r="J47" i="146"/>
  <c r="D29" i="146"/>
  <c r="N29" i="146" s="1"/>
  <c r="O29" i="146" s="1"/>
  <c r="J44" i="146"/>
  <c r="D31" i="146"/>
  <c r="N31" i="146" s="1"/>
  <c r="O31" i="146" s="1"/>
  <c r="D34" i="146"/>
  <c r="N34" i="146" s="1"/>
  <c r="O34" i="146" s="1"/>
  <c r="D52" i="146"/>
  <c r="N52" i="146" s="1"/>
  <c r="O52" i="146" s="1"/>
  <c r="D28" i="146"/>
  <c r="N28" i="146" s="1"/>
  <c r="D32" i="146"/>
  <c r="N32" i="146" s="1"/>
  <c r="O32" i="146" s="1"/>
  <c r="J37" i="146"/>
  <c r="D41" i="146"/>
  <c r="N41" i="146" s="1"/>
  <c r="O41" i="146" s="1"/>
  <c r="D30" i="146"/>
  <c r="N30" i="146" s="1"/>
  <c r="O30" i="146" s="1"/>
  <c r="P54" i="145"/>
  <c r="I54" i="145"/>
  <c r="J54" i="145" s="1"/>
  <c r="N54" i="145" s="1"/>
  <c r="O54" i="145" s="1"/>
  <c r="P53" i="145"/>
  <c r="I53" i="145"/>
  <c r="J53" i="145" s="1"/>
  <c r="P52" i="145"/>
  <c r="I52" i="145"/>
  <c r="J52" i="145" s="1"/>
  <c r="P51" i="145"/>
  <c r="I51" i="145"/>
  <c r="J51" i="145" s="1"/>
  <c r="P50" i="145"/>
  <c r="I50" i="145"/>
  <c r="J50" i="145" s="1"/>
  <c r="P49" i="145"/>
  <c r="J49" i="145"/>
  <c r="P48" i="145"/>
  <c r="I48" i="145"/>
  <c r="N48" i="145" s="1"/>
  <c r="O48" i="145" s="1"/>
  <c r="P47" i="145"/>
  <c r="I47" i="145"/>
  <c r="J47" i="145" s="1"/>
  <c r="P46" i="145"/>
  <c r="I46" i="145"/>
  <c r="J46" i="145" s="1"/>
  <c r="P45" i="145"/>
  <c r="J45" i="145"/>
  <c r="P44" i="145"/>
  <c r="I44" i="145"/>
  <c r="N44" i="145" s="1"/>
  <c r="O44" i="145" s="1"/>
  <c r="P43" i="145"/>
  <c r="I43" i="145"/>
  <c r="J43" i="145" s="1"/>
  <c r="P42" i="145"/>
  <c r="I42" i="145"/>
  <c r="J42" i="145" s="1"/>
  <c r="P41" i="145"/>
  <c r="I41" i="145"/>
  <c r="J41" i="145" s="1"/>
  <c r="N41" i="145" s="1"/>
  <c r="O41" i="145" s="1"/>
  <c r="P40" i="145"/>
  <c r="I40" i="145"/>
  <c r="J40" i="145" s="1"/>
  <c r="P39" i="145"/>
  <c r="H39" i="145"/>
  <c r="J39" i="145" s="1"/>
  <c r="P38" i="145"/>
  <c r="P37" i="145"/>
  <c r="J37" i="145"/>
  <c r="P36" i="145"/>
  <c r="J36" i="145"/>
  <c r="P35" i="145"/>
  <c r="J35" i="145"/>
  <c r="P34" i="145"/>
  <c r="J34" i="145"/>
  <c r="P33" i="145"/>
  <c r="I33" i="145"/>
  <c r="J33" i="145" s="1"/>
  <c r="P32" i="145"/>
  <c r="I32" i="145"/>
  <c r="J32" i="145" s="1"/>
  <c r="P31" i="145"/>
  <c r="I31" i="145"/>
  <c r="J31" i="145" s="1"/>
  <c r="P30" i="145"/>
  <c r="I30" i="145"/>
  <c r="J30" i="145" s="1"/>
  <c r="P29" i="145"/>
  <c r="I29" i="145"/>
  <c r="J29" i="145" s="1"/>
  <c r="P28" i="145"/>
  <c r="I28" i="145"/>
  <c r="J28" i="145" s="1"/>
  <c r="P27" i="145"/>
  <c r="I27" i="145"/>
  <c r="J27" i="145" s="1"/>
  <c r="J22" i="145"/>
  <c r="N21" i="145"/>
  <c r="O21" i="145" s="1"/>
  <c r="J21" i="145"/>
  <c r="C17" i="145"/>
  <c r="D36" i="145" s="1"/>
  <c r="O36" i="145" s="1"/>
  <c r="C16" i="145"/>
  <c r="C15" i="145"/>
  <c r="D28" i="145" s="1"/>
  <c r="AD13" i="145"/>
  <c r="AC13" i="145"/>
  <c r="AB13" i="145"/>
  <c r="AA13" i="145"/>
  <c r="Z13" i="145"/>
  <c r="Y13" i="145"/>
  <c r="X13" i="145"/>
  <c r="W13" i="145"/>
  <c r="V13" i="145"/>
  <c r="U13" i="145"/>
  <c r="T13" i="145"/>
  <c r="S13" i="145"/>
  <c r="D11" i="145"/>
  <c r="B11" i="145"/>
  <c r="C11" i="145" s="1"/>
  <c r="C10" i="145"/>
  <c r="C9" i="145"/>
  <c r="A6" i="145"/>
  <c r="A4" i="145"/>
  <c r="P54" i="144"/>
  <c r="I54" i="144"/>
  <c r="J54" i="144" s="1"/>
  <c r="N54" i="144" s="1"/>
  <c r="O54" i="144" s="1"/>
  <c r="P53" i="144"/>
  <c r="I53" i="144"/>
  <c r="J53" i="144" s="1"/>
  <c r="P52" i="144"/>
  <c r="I52" i="144"/>
  <c r="J52" i="144" s="1"/>
  <c r="P51" i="144"/>
  <c r="I51" i="144"/>
  <c r="J51" i="144" s="1"/>
  <c r="P50" i="144"/>
  <c r="I50" i="144"/>
  <c r="J50" i="144" s="1"/>
  <c r="P49" i="144"/>
  <c r="G49" i="144"/>
  <c r="J49" i="144" s="1"/>
  <c r="P48" i="144"/>
  <c r="I48" i="144"/>
  <c r="N48" i="144" s="1"/>
  <c r="O48" i="144" s="1"/>
  <c r="P47" i="144"/>
  <c r="I47" i="144"/>
  <c r="J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s="1"/>
  <c r="P35" i="144"/>
  <c r="G35" i="144"/>
  <c r="J35" i="144" s="1"/>
  <c r="P34" i="144"/>
  <c r="G34" i="144"/>
  <c r="J34" i="144" s="1"/>
  <c r="P33" i="144"/>
  <c r="I33" i="144"/>
  <c r="J33" i="144" s="1"/>
  <c r="P32" i="144"/>
  <c r="I32" i="144"/>
  <c r="J32" i="144" s="1"/>
  <c r="P31" i="144"/>
  <c r="I31" i="144"/>
  <c r="J31" i="144" s="1"/>
  <c r="P30" i="144"/>
  <c r="I30" i="144"/>
  <c r="J30" i="144" s="1"/>
  <c r="P29" i="144"/>
  <c r="I29" i="144"/>
  <c r="J29" i="144" s="1"/>
  <c r="P28" i="144"/>
  <c r="I28" i="144"/>
  <c r="J28" i="144" s="1"/>
  <c r="P27" i="144"/>
  <c r="I27" i="144"/>
  <c r="J27" i="144" s="1"/>
  <c r="J22" i="144"/>
  <c r="N21" i="144"/>
  <c r="O21" i="144" s="1"/>
  <c r="J21" i="144"/>
  <c r="C17" i="144"/>
  <c r="C16" i="144"/>
  <c r="D35" i="144" s="1"/>
  <c r="C15" i="144"/>
  <c r="D52"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8" i="145" l="1"/>
  <c r="J48" i="144"/>
  <c r="N52" i="144"/>
  <c r="O52" i="144" s="1"/>
  <c r="N28" i="145"/>
  <c r="O28" i="145" s="1"/>
  <c r="N47" i="144"/>
  <c r="O47" i="144" s="1"/>
  <c r="N47" i="145"/>
  <c r="O47" i="145" s="1"/>
  <c r="O21" i="146"/>
  <c r="L55" i="146"/>
  <c r="L57" i="146" s="1"/>
  <c r="O65" i="146" s="1"/>
  <c r="O36" i="146"/>
  <c r="N23" i="148"/>
  <c r="D43" i="148" s="1"/>
  <c r="N43" i="148" s="1"/>
  <c r="O43" i="148" s="1"/>
  <c r="N22" i="146"/>
  <c r="O22" i="146" s="1"/>
  <c r="O39" i="148"/>
  <c r="N23" i="149"/>
  <c r="D33" i="149" s="1"/>
  <c r="N33" i="149" s="1"/>
  <c r="O33" i="149" s="1"/>
  <c r="O23" i="149"/>
  <c r="O39" i="149"/>
  <c r="M56" i="149"/>
  <c r="M58" i="149" s="1"/>
  <c r="O27" i="149"/>
  <c r="O23" i="148"/>
  <c r="O39" i="147"/>
  <c r="M56" i="147"/>
  <c r="M58" i="147" s="1"/>
  <c r="N23" i="147"/>
  <c r="D42" i="147" s="1"/>
  <c r="O22" i="147"/>
  <c r="O23" i="147" s="1"/>
  <c r="O27" i="147"/>
  <c r="O28" i="146"/>
  <c r="M55" i="146"/>
  <c r="M57" i="146" s="1"/>
  <c r="O40" i="146"/>
  <c r="D28" i="144"/>
  <c r="N28" i="144" s="1"/>
  <c r="O28" i="144" s="1"/>
  <c r="D31" i="144"/>
  <c r="N31" i="144" s="1"/>
  <c r="O31" i="144" s="1"/>
  <c r="D37" i="145"/>
  <c r="O37" i="145" s="1"/>
  <c r="D37" i="144"/>
  <c r="L37" i="144" s="1"/>
  <c r="O37" i="144" s="1"/>
  <c r="D39" i="144"/>
  <c r="M39" i="144" s="1"/>
  <c r="O39" i="144" s="1"/>
  <c r="D53" i="144"/>
  <c r="N53" i="144" s="1"/>
  <c r="O53" i="144" s="1"/>
  <c r="D40" i="144"/>
  <c r="N40" i="144" s="1"/>
  <c r="O40" i="144" s="1"/>
  <c r="D27" i="144"/>
  <c r="N27" i="144" s="1"/>
  <c r="O27" i="144" s="1"/>
  <c r="D32" i="144"/>
  <c r="N32" i="144" s="1"/>
  <c r="O32" i="144" s="1"/>
  <c r="D32" i="145"/>
  <c r="N32" i="145" s="1"/>
  <c r="O32" i="145" s="1"/>
  <c r="D49" i="145"/>
  <c r="O49" i="145" s="1"/>
  <c r="D34" i="144"/>
  <c r="L34" i="144" s="1"/>
  <c r="O34" i="144" s="1"/>
  <c r="D40" i="145"/>
  <c r="N40" i="145" s="1"/>
  <c r="O40" i="145" s="1"/>
  <c r="D53" i="145"/>
  <c r="N53" i="145" s="1"/>
  <c r="O53" i="145" s="1"/>
  <c r="L35" i="144"/>
  <c r="O35" i="144" s="1"/>
  <c r="J44" i="145"/>
  <c r="J44" i="144"/>
  <c r="D27" i="145"/>
  <c r="N27" i="145" s="1"/>
  <c r="D31" i="145"/>
  <c r="N31" i="145" s="1"/>
  <c r="O31" i="145" s="1"/>
  <c r="D35" i="145"/>
  <c r="O35" i="145" s="1"/>
  <c r="D39" i="145"/>
  <c r="M39" i="145" s="1"/>
  <c r="D52" i="145"/>
  <c r="N52" i="145" s="1"/>
  <c r="O52" i="145" s="1"/>
  <c r="D22" i="145"/>
  <c r="N22" i="145" s="1"/>
  <c r="D30" i="145"/>
  <c r="N30" i="145" s="1"/>
  <c r="O30" i="145" s="1"/>
  <c r="D34" i="145"/>
  <c r="D38" i="145"/>
  <c r="D45" i="145"/>
  <c r="O45" i="145" s="1"/>
  <c r="D51" i="145"/>
  <c r="N51" i="145" s="1"/>
  <c r="O51" i="145" s="1"/>
  <c r="D29" i="145"/>
  <c r="N29" i="145" s="1"/>
  <c r="O29" i="145" s="1"/>
  <c r="D50" i="145"/>
  <c r="N50" i="145" s="1"/>
  <c r="O50" i="145" s="1"/>
  <c r="D49" i="144"/>
  <c r="L49" i="144" s="1"/>
  <c r="O49" i="144" s="1"/>
  <c r="D36" i="144"/>
  <c r="L36" i="144" s="1"/>
  <c r="O36" i="144" s="1"/>
  <c r="D22" i="144"/>
  <c r="N22" i="144" s="1"/>
  <c r="D30" i="144"/>
  <c r="N30" i="144" s="1"/>
  <c r="O30" i="144" s="1"/>
  <c r="D38" i="144"/>
  <c r="D45" i="144"/>
  <c r="O45" i="144" s="1"/>
  <c r="D51" i="144"/>
  <c r="N51" i="144" s="1"/>
  <c r="O51" i="144" s="1"/>
  <c r="D29" i="144"/>
  <c r="N29" i="144" s="1"/>
  <c r="O29" i="144" s="1"/>
  <c r="D50" i="144"/>
  <c r="N50" i="144" s="1"/>
  <c r="O50" i="144" s="1"/>
  <c r="J39" i="130"/>
  <c r="O24" i="146" l="1"/>
  <c r="N24" i="146"/>
  <c r="D43" i="146" s="1"/>
  <c r="N43" i="146" s="1"/>
  <c r="O43" i="146" s="1"/>
  <c r="D33" i="148"/>
  <c r="N33" i="148" s="1"/>
  <c r="O33" i="148" s="1"/>
  <c r="D46" i="148"/>
  <c r="N46" i="148" s="1"/>
  <c r="O46" i="148" s="1"/>
  <c r="D42" i="148"/>
  <c r="N42" i="148" s="1"/>
  <c r="O42" i="148" s="1"/>
  <c r="D46" i="149"/>
  <c r="N46" i="149" s="1"/>
  <c r="O46" i="149" s="1"/>
  <c r="D43" i="149"/>
  <c r="N43" i="149" s="1"/>
  <c r="O43" i="149" s="1"/>
  <c r="D42" i="149"/>
  <c r="N42" i="149" s="1"/>
  <c r="O42" i="149" s="1"/>
  <c r="D33" i="147"/>
  <c r="N33" i="147" s="1"/>
  <c r="N42" i="147"/>
  <c r="O42" i="147" s="1"/>
  <c r="D46" i="147"/>
  <c r="N46" i="147" s="1"/>
  <c r="O46" i="147" s="1"/>
  <c r="D43" i="147"/>
  <c r="N43" i="147" s="1"/>
  <c r="O43" i="147" s="1"/>
  <c r="M56" i="144"/>
  <c r="M58" i="144" s="1"/>
  <c r="O22" i="145"/>
  <c r="O23" i="145" s="1"/>
  <c r="N23" i="145"/>
  <c r="O39" i="145"/>
  <c r="M56" i="145"/>
  <c r="M58" i="145" s="1"/>
  <c r="O34" i="145"/>
  <c r="L56" i="145"/>
  <c r="L58" i="145" s="1"/>
  <c r="O66" i="145" s="1"/>
  <c r="O27" i="145"/>
  <c r="N23" i="144"/>
  <c r="O22" i="144"/>
  <c r="O23" i="144" s="1"/>
  <c r="L56" i="144"/>
  <c r="L58" i="144" s="1"/>
  <c r="O66" i="144" s="1"/>
  <c r="D55" i="130"/>
  <c r="D33" i="146" l="1"/>
  <c r="N33" i="146" s="1"/>
  <c r="O33" i="146" s="1"/>
  <c r="D46" i="146"/>
  <c r="N46" i="146" s="1"/>
  <c r="O46" i="146" s="1"/>
  <c r="D35" i="146"/>
  <c r="D42" i="146"/>
  <c r="N42" i="146" s="1"/>
  <c r="O42" i="146" s="1"/>
  <c r="O33" i="147"/>
  <c r="D33" i="145"/>
  <c r="N33" i="145" s="1"/>
  <c r="D42" i="145"/>
  <c r="N42" i="145" s="1"/>
  <c r="O42" i="145" s="1"/>
  <c r="D46" i="145"/>
  <c r="N46" i="145" s="1"/>
  <c r="O46" i="145" s="1"/>
  <c r="D43" i="145"/>
  <c r="N43" i="145" s="1"/>
  <c r="O43" i="145" s="1"/>
  <c r="D33" i="144"/>
  <c r="N33" i="144" s="1"/>
  <c r="D46" i="144"/>
  <c r="N46" i="144" s="1"/>
  <c r="O46" i="144" s="1"/>
  <c r="D42" i="144"/>
  <c r="N42" i="144" s="1"/>
  <c r="O42" i="144" s="1"/>
  <c r="D43" i="144"/>
  <c r="N43" i="144" s="1"/>
  <c r="O43" i="144" s="1"/>
  <c r="D56" i="129"/>
  <c r="D56" i="40"/>
  <c r="N35" i="146" l="1"/>
  <c r="O35" i="146" s="1"/>
  <c r="O33" i="145"/>
  <c r="O33" i="144"/>
  <c r="G40" i="129"/>
  <c r="G40" i="40"/>
  <c r="G35" i="139"/>
  <c r="G35" i="138"/>
  <c r="G31" i="119"/>
  <c r="G34" i="128"/>
  <c r="G34" i="37"/>
  <c r="G33" i="126"/>
  <c r="G39" i="127"/>
  <c r="D41" i="130" l="1"/>
  <c r="D40" i="130"/>
  <c r="D39" i="130"/>
  <c r="L39" i="130" s="1"/>
  <c r="D42" i="129"/>
  <c r="D41" i="129"/>
  <c r="D40" i="129"/>
  <c r="D42" i="40"/>
  <c r="D41" i="40"/>
  <c r="D40" i="40"/>
  <c r="D49" i="139"/>
  <c r="D38" i="139"/>
  <c r="D37" i="139"/>
  <c r="D36" i="139"/>
  <c r="D35" i="139"/>
  <c r="D49" i="138"/>
  <c r="D37" i="138"/>
  <c r="D36" i="138"/>
  <c r="D35" i="138"/>
  <c r="C17" i="128"/>
  <c r="C16" i="128"/>
  <c r="D48" i="37"/>
  <c r="D36" i="37"/>
  <c r="D35" i="37"/>
  <c r="D34" i="37"/>
  <c r="D53" i="140"/>
  <c r="D42" i="140"/>
  <c r="D41" i="140"/>
  <c r="D40" i="140"/>
  <c r="D47" i="126"/>
  <c r="D36" i="126"/>
  <c r="D35" i="126"/>
  <c r="D34" i="126"/>
  <c r="D33" i="126"/>
  <c r="C15" i="126"/>
  <c r="D20" i="126" s="1"/>
  <c r="D53" i="127"/>
  <c r="D42" i="127"/>
  <c r="D39" i="127"/>
  <c r="D47" i="119"/>
  <c r="D34" i="119"/>
  <c r="D33" i="119"/>
  <c r="D32" i="119"/>
  <c r="D31" i="119"/>
  <c r="D19" i="127"/>
  <c r="D41" i="127" s="1"/>
  <c r="D18" i="127"/>
  <c r="D40" i="127" s="1"/>
  <c r="L34" i="147" l="1"/>
  <c r="L34" i="149"/>
  <c r="L34" i="148"/>
  <c r="D37" i="128"/>
  <c r="D49" i="128"/>
  <c r="D34" i="128"/>
  <c r="O34" i="147" l="1"/>
  <c r="L56" i="147"/>
  <c r="L58" i="147" s="1"/>
  <c r="O66" i="147" s="1"/>
  <c r="O34" i="148"/>
  <c r="L56" i="148"/>
  <c r="L58" i="148" s="1"/>
  <c r="O66" i="148" s="1"/>
  <c r="O34" i="149"/>
  <c r="L56" i="149"/>
  <c r="L58" i="149" s="1"/>
  <c r="O66" i="149" s="1"/>
  <c r="D46" i="100"/>
  <c r="D35" i="100"/>
  <c r="D34" i="100"/>
  <c r="D33" i="100"/>
  <c r="G34" i="100"/>
  <c r="G33" i="100"/>
  <c r="D52" i="34" l="1"/>
  <c r="D41" i="34"/>
  <c r="D40" i="34"/>
  <c r="D39" i="34"/>
  <c r="G33" i="119" l="1"/>
  <c r="G32" i="119"/>
  <c r="D68" i="142" l="1"/>
  <c r="P55" i="142"/>
  <c r="I55" i="142"/>
  <c r="J55" i="142" s="1"/>
  <c r="N55" i="142" s="1"/>
  <c r="O55" i="142" s="1"/>
  <c r="P54" i="142"/>
  <c r="I54" i="142"/>
  <c r="J54" i="142" s="1"/>
  <c r="P53" i="142"/>
  <c r="I53" i="142"/>
  <c r="J53" i="142" s="1"/>
  <c r="P52" i="142"/>
  <c r="I52" i="142"/>
  <c r="J52" i="142" s="1"/>
  <c r="P51" i="142"/>
  <c r="I51" i="142"/>
  <c r="J51" i="142" s="1"/>
  <c r="P50" i="142"/>
  <c r="I50" i="142"/>
  <c r="N50" i="142" s="1"/>
  <c r="O50" i="142" s="1"/>
  <c r="P49" i="142"/>
  <c r="I49" i="142"/>
  <c r="N49" i="142" s="1"/>
  <c r="O49" i="142" s="1"/>
  <c r="P48" i="142"/>
  <c r="I48" i="142"/>
  <c r="J48" i="142" s="1"/>
  <c r="P47" i="142"/>
  <c r="I47" i="142"/>
  <c r="N47" i="142" s="1"/>
  <c r="O47" i="142" s="1"/>
  <c r="P46" i="142"/>
  <c r="I46" i="142"/>
  <c r="J46" i="142" s="1"/>
  <c r="P45" i="142"/>
  <c r="I45" i="142"/>
  <c r="J45" i="142" s="1"/>
  <c r="P44" i="142"/>
  <c r="I44" i="142"/>
  <c r="J44" i="142" s="1"/>
  <c r="P43" i="142"/>
  <c r="I43" i="142"/>
  <c r="J43" i="142" s="1"/>
  <c r="P42" i="142"/>
  <c r="H42" i="142"/>
  <c r="J42" i="142" s="1"/>
  <c r="P41" i="142"/>
  <c r="H41" i="142"/>
  <c r="J41" i="142" s="1"/>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C16" i="142"/>
  <c r="D43" i="142" s="1"/>
  <c r="N43" i="142" s="1"/>
  <c r="O43" i="142" s="1"/>
  <c r="C15" i="142"/>
  <c r="C14" i="142"/>
  <c r="AD12" i="142"/>
  <c r="AC12" i="142"/>
  <c r="AB12" i="142"/>
  <c r="AA12" i="142"/>
  <c r="Z12" i="142"/>
  <c r="Y12" i="142"/>
  <c r="X12" i="142"/>
  <c r="W12" i="142"/>
  <c r="V12" i="142"/>
  <c r="U12" i="142"/>
  <c r="T12" i="142"/>
  <c r="S12" i="142"/>
  <c r="D10" i="142"/>
  <c r="B10" i="142"/>
  <c r="C10" i="142" s="1"/>
  <c r="C9" i="142"/>
  <c r="C8" i="142"/>
  <c r="A6" i="142"/>
  <c r="A4" i="142"/>
  <c r="D68" i="141"/>
  <c r="P55" i="141"/>
  <c r="I55" i="141"/>
  <c r="J55" i="141" s="1"/>
  <c r="N55" i="141" s="1"/>
  <c r="O55" i="141" s="1"/>
  <c r="P54" i="141"/>
  <c r="I54" i="141"/>
  <c r="J54" i="141" s="1"/>
  <c r="P53" i="141"/>
  <c r="I53" i="141"/>
  <c r="J53" i="141" s="1"/>
  <c r="P52" i="141"/>
  <c r="I52" i="141"/>
  <c r="J52" i="141" s="1"/>
  <c r="P51" i="141"/>
  <c r="I51" i="141"/>
  <c r="J51" i="141" s="1"/>
  <c r="P50" i="141"/>
  <c r="I50" i="141"/>
  <c r="N50" i="141" s="1"/>
  <c r="O50" i="141" s="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43" i="141" s="1"/>
  <c r="N43" i="141" s="1"/>
  <c r="O43" i="141" s="1"/>
  <c r="C15" i="141"/>
  <c r="C14" i="141"/>
  <c r="AD12" i="141"/>
  <c r="AC12" i="141"/>
  <c r="AB12" i="141"/>
  <c r="AA12" i="141"/>
  <c r="Z12" i="141"/>
  <c r="Y12" i="141"/>
  <c r="X12" i="141"/>
  <c r="W12" i="141"/>
  <c r="V12" i="141"/>
  <c r="U12" i="141"/>
  <c r="T12" i="141"/>
  <c r="S12" i="141"/>
  <c r="D10" i="141"/>
  <c r="B10" i="141"/>
  <c r="C10" i="141" s="1"/>
  <c r="C9" i="141"/>
  <c r="C8" i="141"/>
  <c r="A6" i="141"/>
  <c r="A4" i="141"/>
  <c r="C17" i="129"/>
  <c r="C17" i="40"/>
  <c r="J47" i="142" l="1"/>
  <c r="I15" i="142"/>
  <c r="J49" i="142"/>
  <c r="J50" i="142"/>
  <c r="D52" i="142"/>
  <c r="N52" i="142" s="1"/>
  <c r="O52" i="142" s="1"/>
  <c r="D37" i="142"/>
  <c r="N37" i="142" s="1"/>
  <c r="O37" i="142" s="1"/>
  <c r="D51" i="142"/>
  <c r="N51" i="142" s="1"/>
  <c r="O51" i="142" s="1"/>
  <c r="D53" i="142"/>
  <c r="N53" i="142" s="1"/>
  <c r="O53" i="142" s="1"/>
  <c r="D40" i="142"/>
  <c r="D34" i="142"/>
  <c r="D35" i="142" s="1"/>
  <c r="D36" i="142"/>
  <c r="N36" i="142" s="1"/>
  <c r="O36" i="142" s="1"/>
  <c r="D41" i="142"/>
  <c r="M41" i="142" s="1"/>
  <c r="J47" i="141"/>
  <c r="J49" i="141"/>
  <c r="J50" i="141"/>
  <c r="D52" i="141"/>
  <c r="N52" i="141" s="1"/>
  <c r="O52" i="141" s="1"/>
  <c r="I15" i="141"/>
  <c r="D51" i="141"/>
  <c r="N51" i="141" s="1"/>
  <c r="O51" i="141" s="1"/>
  <c r="D53" i="141"/>
  <c r="N53" i="141" s="1"/>
  <c r="O53" i="141" s="1"/>
  <c r="D37" i="141"/>
  <c r="N37" i="141" s="1"/>
  <c r="O37" i="141" s="1"/>
  <c r="D40" i="141"/>
  <c r="D34" i="141"/>
  <c r="D35" i="141" s="1"/>
  <c r="D36" i="141"/>
  <c r="N36" i="141" s="1"/>
  <c r="O36" i="141" s="1"/>
  <c r="D41" i="141"/>
  <c r="M41" i="141" s="1"/>
  <c r="D38" i="142" l="1"/>
  <c r="N38" i="142" s="1"/>
  <c r="O38" i="142" s="1"/>
  <c r="O41" i="142"/>
  <c r="L57" i="142"/>
  <c r="L59" i="142" s="1"/>
  <c r="O66" i="142" s="1"/>
  <c r="N34" i="142"/>
  <c r="N35" i="142"/>
  <c r="O35" i="142" s="1"/>
  <c r="O41" i="141"/>
  <c r="N34" i="141"/>
  <c r="L57" i="141"/>
  <c r="L59" i="141" s="1"/>
  <c r="O66" i="141" s="1"/>
  <c r="D38" i="141"/>
  <c r="N38" i="141" s="1"/>
  <c r="O38" i="141" s="1"/>
  <c r="N35" i="141"/>
  <c r="O35" i="141" s="1"/>
  <c r="J27" i="140"/>
  <c r="D18" i="140"/>
  <c r="D27" i="140" s="1"/>
  <c r="N27" i="140" s="1"/>
  <c r="P57" i="140"/>
  <c r="I57" i="140"/>
  <c r="J57" i="140" s="1"/>
  <c r="N57" i="140" s="1"/>
  <c r="O57" i="140" s="1"/>
  <c r="P56" i="140"/>
  <c r="I56" i="140"/>
  <c r="J56" i="140" s="1"/>
  <c r="P55" i="140"/>
  <c r="I55" i="140"/>
  <c r="J55" i="140" s="1"/>
  <c r="N55" i="140" s="1"/>
  <c r="O55" i="140" s="1"/>
  <c r="P54" i="140"/>
  <c r="I54" i="140"/>
  <c r="J54" i="140" s="1"/>
  <c r="P53" i="140"/>
  <c r="G53" i="140"/>
  <c r="J53" i="140" s="1"/>
  <c r="P52" i="140"/>
  <c r="I52" i="140"/>
  <c r="J52" i="140" s="1"/>
  <c r="P51" i="140"/>
  <c r="I51" i="140"/>
  <c r="J51" i="140" s="1"/>
  <c r="P50" i="140"/>
  <c r="I50" i="140"/>
  <c r="J50" i="140" s="1"/>
  <c r="P49" i="140"/>
  <c r="J49" i="140"/>
  <c r="P48" i="140"/>
  <c r="I48" i="140"/>
  <c r="J48" i="140" s="1"/>
  <c r="P47" i="140"/>
  <c r="I47" i="140"/>
  <c r="J47" i="140" s="1"/>
  <c r="P46" i="140"/>
  <c r="I46" i="140"/>
  <c r="J46" i="140" s="1"/>
  <c r="P45" i="140"/>
  <c r="I45" i="140"/>
  <c r="J45" i="140" s="1"/>
  <c r="P44" i="140"/>
  <c r="H44" i="140"/>
  <c r="J44" i="140" s="1"/>
  <c r="P43" i="140"/>
  <c r="P42" i="140"/>
  <c r="G42" i="140"/>
  <c r="J42" i="140" s="1"/>
  <c r="P41" i="140"/>
  <c r="G41" i="140"/>
  <c r="J41" i="140" s="1"/>
  <c r="P40" i="140"/>
  <c r="G40" i="140"/>
  <c r="J40" i="140" s="1"/>
  <c r="P39" i="140"/>
  <c r="I39" i="140"/>
  <c r="J39" i="140" s="1"/>
  <c r="P38" i="140"/>
  <c r="I38" i="140"/>
  <c r="J38" i="140" s="1"/>
  <c r="P37" i="140"/>
  <c r="I37" i="140"/>
  <c r="J37" i="140" s="1"/>
  <c r="P36" i="140"/>
  <c r="I36" i="140"/>
  <c r="J36" i="140" s="1"/>
  <c r="P35" i="140"/>
  <c r="I35" i="140"/>
  <c r="J35" i="140" s="1"/>
  <c r="P34" i="140"/>
  <c r="I34" i="140"/>
  <c r="J34" i="140" s="1"/>
  <c r="P33" i="140"/>
  <c r="I33" i="140"/>
  <c r="J33" i="140" s="1"/>
  <c r="P32" i="140"/>
  <c r="I32" i="140"/>
  <c r="J32" i="140" s="1"/>
  <c r="J26" i="140"/>
  <c r="N25" i="140"/>
  <c r="O25" i="140" s="1"/>
  <c r="J25" i="140"/>
  <c r="D17" i="140"/>
  <c r="D38" i="140" s="1"/>
  <c r="D11" i="140"/>
  <c r="B11" i="140"/>
  <c r="C11" i="140" s="1"/>
  <c r="C10" i="140"/>
  <c r="C9" i="140"/>
  <c r="A6" i="140"/>
  <c r="A4" i="140"/>
  <c r="N38" i="140" l="1"/>
  <c r="O38" i="140" s="1"/>
  <c r="N48" i="140"/>
  <c r="O48" i="140" s="1"/>
  <c r="O34" i="142"/>
  <c r="O34" i="141"/>
  <c r="O27" i="140"/>
  <c r="D34" i="140"/>
  <c r="N34" i="140" s="1"/>
  <c r="O34" i="140" s="1"/>
  <c r="L42" i="140"/>
  <c r="O42" i="140" s="1"/>
  <c r="L53" i="140"/>
  <c r="O53" i="140" s="1"/>
  <c r="D56" i="140"/>
  <c r="N56" i="140" s="1"/>
  <c r="O56" i="140" s="1"/>
  <c r="D32" i="140"/>
  <c r="N32" i="140" s="1"/>
  <c r="O32" i="140" s="1"/>
  <c r="D36" i="140"/>
  <c r="N36" i="140" s="1"/>
  <c r="O36" i="140" s="1"/>
  <c r="L40" i="140"/>
  <c r="O40" i="140" s="1"/>
  <c r="N51" i="140"/>
  <c r="O51" i="140" s="1"/>
  <c r="N52" i="140"/>
  <c r="O52" i="140" s="1"/>
  <c r="D45" i="140"/>
  <c r="N45" i="140" s="1"/>
  <c r="O45" i="140" s="1"/>
  <c r="D49" i="140"/>
  <c r="O49" i="140" s="1"/>
  <c r="O64" i="140"/>
  <c r="D26" i="140"/>
  <c r="N26" i="140" s="1"/>
  <c r="O26" i="140" s="1"/>
  <c r="D33" i="140"/>
  <c r="N33" i="140" s="1"/>
  <c r="O33" i="140" s="1"/>
  <c r="D35" i="140"/>
  <c r="N35" i="140" s="1"/>
  <c r="O35" i="140" s="1"/>
  <c r="L41" i="140"/>
  <c r="O41" i="140" s="1"/>
  <c r="D54" i="140"/>
  <c r="N54" i="140" s="1"/>
  <c r="O54" i="140" s="1"/>
  <c r="D44" i="140"/>
  <c r="M44" i="140" s="1"/>
  <c r="J24" i="139"/>
  <c r="P39" i="139"/>
  <c r="H39" i="139"/>
  <c r="J39" i="139" s="1"/>
  <c r="D67" i="139"/>
  <c r="P54" i="139"/>
  <c r="I54" i="139"/>
  <c r="J54" i="139" s="1"/>
  <c r="N54" i="139" s="1"/>
  <c r="O54" i="139" s="1"/>
  <c r="P53" i="139"/>
  <c r="I53" i="139"/>
  <c r="J53" i="139" s="1"/>
  <c r="P52" i="139"/>
  <c r="I52" i="139"/>
  <c r="J52" i="139" s="1"/>
  <c r="P51" i="139"/>
  <c r="I51" i="139"/>
  <c r="J51" i="139" s="1"/>
  <c r="P50" i="139"/>
  <c r="I50" i="139"/>
  <c r="J50" i="139" s="1"/>
  <c r="P49" i="139"/>
  <c r="G49" i="139"/>
  <c r="J49" i="139" s="1"/>
  <c r="P48" i="139"/>
  <c r="I48" i="139"/>
  <c r="J48" i="139" s="1"/>
  <c r="P47" i="139"/>
  <c r="I47" i="139"/>
  <c r="J47" i="139" s="1"/>
  <c r="P46" i="139"/>
  <c r="I46" i="139"/>
  <c r="J46" i="139" s="1"/>
  <c r="P45" i="139"/>
  <c r="J45" i="139"/>
  <c r="P44" i="139"/>
  <c r="J44" i="139"/>
  <c r="P43" i="139"/>
  <c r="I43" i="139"/>
  <c r="N43" i="139" s="1"/>
  <c r="O43" i="139" s="1"/>
  <c r="P42" i="139"/>
  <c r="I42" i="139"/>
  <c r="J42" i="139" s="1"/>
  <c r="P41" i="139"/>
  <c r="I41" i="139"/>
  <c r="J41" i="139" s="1"/>
  <c r="P40" i="139"/>
  <c r="I40" i="139"/>
  <c r="J40" i="139" s="1"/>
  <c r="P38" i="139"/>
  <c r="P37" i="139"/>
  <c r="G37" i="139"/>
  <c r="J37" i="139" s="1"/>
  <c r="P36" i="139"/>
  <c r="G36" i="139"/>
  <c r="J36" i="139" s="1"/>
  <c r="P35" i="139"/>
  <c r="P34" i="139"/>
  <c r="I34" i="139"/>
  <c r="J34" i="139" s="1"/>
  <c r="P33" i="139"/>
  <c r="I33" i="139"/>
  <c r="J33" i="139" s="1"/>
  <c r="P32" i="139"/>
  <c r="I32" i="139"/>
  <c r="J32" i="139" s="1"/>
  <c r="P31" i="139"/>
  <c r="I31" i="139"/>
  <c r="J31" i="139" s="1"/>
  <c r="P30" i="139"/>
  <c r="I30" i="139"/>
  <c r="J30" i="139" s="1"/>
  <c r="P29" i="139"/>
  <c r="I29" i="139"/>
  <c r="J29" i="139" s="1"/>
  <c r="N23" i="139"/>
  <c r="O23" i="139" s="1"/>
  <c r="J23" i="139"/>
  <c r="C16" i="139"/>
  <c r="D40" i="139" s="1"/>
  <c r="N40" i="139" s="1"/>
  <c r="O40" i="139" s="1"/>
  <c r="C15" i="139"/>
  <c r="C14" i="139"/>
  <c r="AD12" i="139"/>
  <c r="AC12" i="139"/>
  <c r="AB12" i="139"/>
  <c r="AA12" i="139"/>
  <c r="Z12" i="139"/>
  <c r="Y12" i="139"/>
  <c r="X12" i="139"/>
  <c r="W12" i="139"/>
  <c r="V12" i="139"/>
  <c r="U12" i="139"/>
  <c r="T12" i="139"/>
  <c r="S12" i="139"/>
  <c r="D10" i="139"/>
  <c r="B10" i="139"/>
  <c r="J35" i="139" s="1"/>
  <c r="C9" i="139"/>
  <c r="C8" i="139"/>
  <c r="A6" i="139"/>
  <c r="A4" i="139"/>
  <c r="P39" i="138"/>
  <c r="H39" i="138"/>
  <c r="J39" i="138" s="1"/>
  <c r="N23" i="138"/>
  <c r="J24" i="138"/>
  <c r="D67" i="138"/>
  <c r="P54" i="138"/>
  <c r="I54" i="138"/>
  <c r="J54" i="138" s="1"/>
  <c r="N54" i="138" s="1"/>
  <c r="O54" i="138" s="1"/>
  <c r="P53" i="138"/>
  <c r="I53" i="138"/>
  <c r="J53" i="138" s="1"/>
  <c r="P52" i="138"/>
  <c r="I52" i="138"/>
  <c r="J52" i="138" s="1"/>
  <c r="P51" i="138"/>
  <c r="I51" i="138"/>
  <c r="J51" i="138" s="1"/>
  <c r="P50" i="138"/>
  <c r="I50" i="138"/>
  <c r="J50" i="138" s="1"/>
  <c r="P49" i="138"/>
  <c r="G49" i="138"/>
  <c r="J49" i="138" s="1"/>
  <c r="P48" i="138"/>
  <c r="I48" i="138"/>
  <c r="N48" i="138" s="1"/>
  <c r="O48" i="138" s="1"/>
  <c r="P47" i="138"/>
  <c r="I47" i="138"/>
  <c r="J47" i="138" s="1"/>
  <c r="P46" i="138"/>
  <c r="I46" i="138"/>
  <c r="J46" i="138" s="1"/>
  <c r="P45" i="138"/>
  <c r="J45" i="138"/>
  <c r="P44" i="138"/>
  <c r="J44" i="138"/>
  <c r="P43" i="138"/>
  <c r="I43" i="138"/>
  <c r="N43" i="138" s="1"/>
  <c r="O43" i="138" s="1"/>
  <c r="P42" i="138"/>
  <c r="I42" i="138"/>
  <c r="J42" i="138" s="1"/>
  <c r="P41" i="138"/>
  <c r="I41" i="138"/>
  <c r="J41" i="138" s="1"/>
  <c r="P40" i="138"/>
  <c r="I40" i="138"/>
  <c r="J40" i="138" s="1"/>
  <c r="P38" i="138"/>
  <c r="P37" i="138"/>
  <c r="G37" i="138"/>
  <c r="J37" i="138" s="1"/>
  <c r="P36" i="138"/>
  <c r="G36" i="138"/>
  <c r="J36" i="138" s="1"/>
  <c r="P35" i="138"/>
  <c r="P34" i="138"/>
  <c r="I34" i="138"/>
  <c r="J34" i="138" s="1"/>
  <c r="P33" i="138"/>
  <c r="I33" i="138"/>
  <c r="J33" i="138" s="1"/>
  <c r="P32" i="138"/>
  <c r="I32" i="138"/>
  <c r="J32" i="138" s="1"/>
  <c r="P31" i="138"/>
  <c r="I31" i="138"/>
  <c r="J31" i="138" s="1"/>
  <c r="P30" i="138"/>
  <c r="I30" i="138"/>
  <c r="J30" i="138" s="1"/>
  <c r="P29" i="138"/>
  <c r="I29" i="138"/>
  <c r="J29" i="138" s="1"/>
  <c r="O23" i="138"/>
  <c r="J23" i="138"/>
  <c r="C16" i="138"/>
  <c r="D40" i="138" s="1"/>
  <c r="N40" i="138" s="1"/>
  <c r="O40" i="138" s="1"/>
  <c r="C15" i="138"/>
  <c r="C14" i="138"/>
  <c r="AD12" i="138"/>
  <c r="AC12" i="138"/>
  <c r="AB12" i="138"/>
  <c r="AA12" i="138"/>
  <c r="Z12" i="138"/>
  <c r="Y12" i="138"/>
  <c r="X12" i="138"/>
  <c r="W12" i="138"/>
  <c r="V12" i="138"/>
  <c r="U12" i="138"/>
  <c r="T12" i="138"/>
  <c r="S12" i="138"/>
  <c r="D10" i="138"/>
  <c r="B10" i="138"/>
  <c r="C10" i="138" s="1"/>
  <c r="C9" i="138"/>
  <c r="C8" i="138"/>
  <c r="A6" i="138"/>
  <c r="A4" i="138"/>
  <c r="C16" i="136"/>
  <c r="C15" i="133"/>
  <c r="C14" i="132"/>
  <c r="D17" i="131"/>
  <c r="C16" i="130"/>
  <c r="C16" i="129"/>
  <c r="C16" i="40"/>
  <c r="C15" i="119"/>
  <c r="C15" i="128"/>
  <c r="C15" i="37"/>
  <c r="D22" i="37" s="1"/>
  <c r="D17" i="127"/>
  <c r="C14" i="100"/>
  <c r="D17" i="34"/>
  <c r="D25" i="119" l="1"/>
  <c r="D20" i="119"/>
  <c r="N20" i="119" s="1"/>
  <c r="O20" i="119" s="1"/>
  <c r="D26" i="127"/>
  <c r="D37" i="127"/>
  <c r="D25" i="126"/>
  <c r="D22" i="128"/>
  <c r="D53" i="128"/>
  <c r="N28" i="140"/>
  <c r="O28" i="140"/>
  <c r="O44" i="140"/>
  <c r="M59" i="140"/>
  <c r="M61" i="140" s="1"/>
  <c r="L59" i="140"/>
  <c r="L61" i="140" s="1"/>
  <c r="O69" i="140" s="1"/>
  <c r="C10" i="139"/>
  <c r="N47" i="139"/>
  <c r="O47" i="139" s="1"/>
  <c r="N48" i="139"/>
  <c r="O48" i="139" s="1"/>
  <c r="D32" i="139"/>
  <c r="N32" i="139" s="1"/>
  <c r="O32" i="139" s="1"/>
  <c r="J43" i="139"/>
  <c r="D50" i="139"/>
  <c r="N50" i="139" s="1"/>
  <c r="O50" i="139" s="1"/>
  <c r="D52" i="139"/>
  <c r="N52" i="139" s="1"/>
  <c r="O52" i="139" s="1"/>
  <c r="L36" i="139"/>
  <c r="O36" i="139" s="1"/>
  <c r="L49" i="139"/>
  <c r="O49" i="139" s="1"/>
  <c r="D51" i="139"/>
  <c r="N51" i="139" s="1"/>
  <c r="O51" i="139" s="1"/>
  <c r="I15" i="139"/>
  <c r="D29" i="139"/>
  <c r="D30" i="139" s="1"/>
  <c r="D31" i="139"/>
  <c r="N31" i="139" s="1"/>
  <c r="O31" i="139" s="1"/>
  <c r="L35" i="139"/>
  <c r="L37" i="139"/>
  <c r="O37" i="139" s="1"/>
  <c r="D39" i="139"/>
  <c r="M39" i="139" s="1"/>
  <c r="N47" i="138"/>
  <c r="O47" i="138" s="1"/>
  <c r="J35" i="138"/>
  <c r="D51" i="138"/>
  <c r="N51" i="138" s="1"/>
  <c r="O51" i="138" s="1"/>
  <c r="J48" i="138"/>
  <c r="J43" i="138"/>
  <c r="L49" i="138"/>
  <c r="O49" i="138" s="1"/>
  <c r="D32" i="138"/>
  <c r="N32" i="138" s="1"/>
  <c r="O32" i="138" s="1"/>
  <c r="L36" i="138"/>
  <c r="O36" i="138" s="1"/>
  <c r="D38" i="138"/>
  <c r="I15" i="138"/>
  <c r="D50" i="138"/>
  <c r="N50" i="138" s="1"/>
  <c r="O50" i="138" s="1"/>
  <c r="D52" i="138"/>
  <c r="N52" i="138" s="1"/>
  <c r="O52" i="138" s="1"/>
  <c r="D29" i="138"/>
  <c r="D30" i="138" s="1"/>
  <c r="D31" i="138"/>
  <c r="N31" i="138" s="1"/>
  <c r="O31" i="138" s="1"/>
  <c r="L37" i="138"/>
  <c r="O37" i="138" s="1"/>
  <c r="D39" i="138"/>
  <c r="M39" i="138" s="1"/>
  <c r="D67" i="136"/>
  <c r="P54" i="136"/>
  <c r="I54" i="136"/>
  <c r="J54" i="136" s="1"/>
  <c r="N54" i="136" s="1"/>
  <c r="O54" i="136" s="1"/>
  <c r="P53" i="136"/>
  <c r="I53" i="136"/>
  <c r="J53" i="136" s="1"/>
  <c r="P52" i="136"/>
  <c r="I52" i="136"/>
  <c r="J52" i="136" s="1"/>
  <c r="P51" i="136"/>
  <c r="I51" i="136"/>
  <c r="J51" i="136" s="1"/>
  <c r="P50" i="136"/>
  <c r="I50" i="136"/>
  <c r="J50" i="136" s="1"/>
  <c r="P49" i="136"/>
  <c r="I49" i="136"/>
  <c r="J49" i="136" s="1"/>
  <c r="P48" i="136"/>
  <c r="I48" i="136"/>
  <c r="J48" i="136" s="1"/>
  <c r="P47" i="136"/>
  <c r="I47" i="136"/>
  <c r="J47" i="136" s="1"/>
  <c r="P46" i="136"/>
  <c r="I46" i="136"/>
  <c r="N46" i="136" s="1"/>
  <c r="O46" i="136" s="1"/>
  <c r="P45" i="136"/>
  <c r="I45" i="136"/>
  <c r="J45" i="136" s="1"/>
  <c r="P44" i="136"/>
  <c r="I44" i="136"/>
  <c r="J44" i="136" s="1"/>
  <c r="I43" i="136"/>
  <c r="J43" i="136" s="1"/>
  <c r="P42" i="136"/>
  <c r="I42" i="136"/>
  <c r="J42" i="136" s="1"/>
  <c r="P41" i="136"/>
  <c r="H41" i="136"/>
  <c r="J41" i="136" s="1"/>
  <c r="P40" i="136"/>
  <c r="H40" i="136"/>
  <c r="J40" i="136" s="1"/>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D51" i="136"/>
  <c r="C15" i="136"/>
  <c r="C14" i="136"/>
  <c r="AD12" i="136"/>
  <c r="AC12" i="136"/>
  <c r="AB12" i="136"/>
  <c r="AA12" i="136"/>
  <c r="Z12" i="136"/>
  <c r="Y12" i="136"/>
  <c r="X12" i="136"/>
  <c r="W12" i="136"/>
  <c r="V12" i="136"/>
  <c r="U12" i="136"/>
  <c r="T12" i="136"/>
  <c r="S12" i="136"/>
  <c r="D10" i="136"/>
  <c r="B10" i="136"/>
  <c r="C10" i="136" s="1"/>
  <c r="C9" i="136"/>
  <c r="C8" i="136"/>
  <c r="A6" i="136"/>
  <c r="A4" i="136"/>
  <c r="L51" i="133"/>
  <c r="P49" i="133"/>
  <c r="I49" i="133"/>
  <c r="J49" i="133" s="1"/>
  <c r="N49" i="133" s="1"/>
  <c r="O49" i="133" s="1"/>
  <c r="P48" i="133"/>
  <c r="I48" i="133"/>
  <c r="J48" i="133" s="1"/>
  <c r="P47" i="133"/>
  <c r="I47" i="133"/>
  <c r="J47" i="133" s="1"/>
  <c r="P46" i="133"/>
  <c r="I46" i="133"/>
  <c r="J46" i="133" s="1"/>
  <c r="P45" i="133"/>
  <c r="I45" i="133"/>
  <c r="J45" i="133" s="1"/>
  <c r="P44" i="133"/>
  <c r="I44" i="133"/>
  <c r="J44" i="133" s="1"/>
  <c r="P43" i="133"/>
  <c r="I43" i="133"/>
  <c r="N43" i="133" s="1"/>
  <c r="O43" i="133" s="1"/>
  <c r="P42" i="133"/>
  <c r="I42" i="133"/>
  <c r="J42" i="133" s="1"/>
  <c r="P41" i="133"/>
  <c r="I41" i="133"/>
  <c r="J41" i="133" s="1"/>
  <c r="P40" i="133"/>
  <c r="I40" i="133"/>
  <c r="J40" i="133" s="1"/>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J21" i="133"/>
  <c r="D37" i="133"/>
  <c r="N37" i="133" s="1"/>
  <c r="O37" i="133" s="1"/>
  <c r="AD13" i="133"/>
  <c r="AC13" i="133"/>
  <c r="AB13" i="133"/>
  <c r="AA13" i="133"/>
  <c r="Z13" i="133"/>
  <c r="Y13" i="133"/>
  <c r="X13" i="133"/>
  <c r="W13" i="133"/>
  <c r="V13" i="133"/>
  <c r="U13" i="133"/>
  <c r="T13" i="133"/>
  <c r="S13" i="133"/>
  <c r="D11" i="133"/>
  <c r="B11" i="133"/>
  <c r="C10" i="133"/>
  <c r="C9" i="133"/>
  <c r="A6" i="133"/>
  <c r="A4" i="133"/>
  <c r="P45" i="132"/>
  <c r="I45" i="132"/>
  <c r="J45" i="132" s="1"/>
  <c r="N45" i="132" s="1"/>
  <c r="O45" i="132" s="1"/>
  <c r="P44" i="132"/>
  <c r="I44" i="132"/>
  <c r="J44" i="132" s="1"/>
  <c r="P43" i="132"/>
  <c r="I43" i="132"/>
  <c r="J43" i="132" s="1"/>
  <c r="N43" i="132" s="1"/>
  <c r="O43" i="132" s="1"/>
  <c r="P42" i="132"/>
  <c r="I42" i="132"/>
  <c r="J42" i="132" s="1"/>
  <c r="P41" i="132"/>
  <c r="I41" i="132"/>
  <c r="J41" i="132" s="1"/>
  <c r="P40" i="132"/>
  <c r="I40" i="132"/>
  <c r="J40" i="132" s="1"/>
  <c r="P39" i="132"/>
  <c r="I39" i="132"/>
  <c r="J39" i="132" s="1"/>
  <c r="P38" i="132"/>
  <c r="I38" i="132"/>
  <c r="J38" i="132" s="1"/>
  <c r="P37" i="132"/>
  <c r="I37" i="132"/>
  <c r="J37" i="132" s="1"/>
  <c r="P36" i="132"/>
  <c r="I36" i="132"/>
  <c r="J36" i="132" s="1"/>
  <c r="P35" i="132"/>
  <c r="I35" i="132"/>
  <c r="J35" i="132" s="1"/>
  <c r="P34" i="132"/>
  <c r="H34" i="132"/>
  <c r="J34" i="132" s="1"/>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29" i="132"/>
  <c r="D10" i="132"/>
  <c r="B10" i="132"/>
  <c r="C10" i="132" s="1"/>
  <c r="C9" i="132"/>
  <c r="C8" i="132"/>
  <c r="A5" i="132"/>
  <c r="P51" i="131"/>
  <c r="I51" i="131"/>
  <c r="J51" i="131" s="1"/>
  <c r="N51" i="131" s="1"/>
  <c r="O51" i="131" s="1"/>
  <c r="P50" i="131"/>
  <c r="I50" i="131"/>
  <c r="J50" i="131" s="1"/>
  <c r="P49" i="131"/>
  <c r="I49" i="131"/>
  <c r="J49" i="131" s="1"/>
  <c r="N49" i="131" s="1"/>
  <c r="O49" i="131" s="1"/>
  <c r="P48" i="131"/>
  <c r="I48" i="131"/>
  <c r="J48" i="131" s="1"/>
  <c r="P47" i="131"/>
  <c r="I47" i="131"/>
  <c r="N47" i="131" s="1"/>
  <c r="O47" i="131" s="1"/>
  <c r="P46" i="131"/>
  <c r="I46" i="131"/>
  <c r="N46" i="131" s="1"/>
  <c r="O46" i="131" s="1"/>
  <c r="P45" i="131"/>
  <c r="I45" i="131"/>
  <c r="J45" i="131" s="1"/>
  <c r="P44" i="131"/>
  <c r="I44" i="131"/>
  <c r="N44" i="131" s="1"/>
  <c r="O44" i="131" s="1"/>
  <c r="P43" i="131"/>
  <c r="I43" i="131"/>
  <c r="J43" i="131" s="1"/>
  <c r="P42" i="131"/>
  <c r="I42" i="131"/>
  <c r="J42" i="131" s="1"/>
  <c r="P41" i="131"/>
  <c r="I41" i="131"/>
  <c r="J41" i="131" s="1"/>
  <c r="P40" i="131"/>
  <c r="H40" i="131"/>
  <c r="J40" i="131" s="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J25" i="131"/>
  <c r="D11" i="131"/>
  <c r="B11" i="131"/>
  <c r="C11" i="131" s="1"/>
  <c r="C10" i="131"/>
  <c r="C9" i="131"/>
  <c r="A6" i="131"/>
  <c r="A4" i="131"/>
  <c r="P55" i="130"/>
  <c r="G55" i="130"/>
  <c r="J55" i="130" s="1"/>
  <c r="P44" i="130"/>
  <c r="H44" i="130"/>
  <c r="J44" i="130" s="1"/>
  <c r="P43" i="130"/>
  <c r="H43" i="130"/>
  <c r="J43" i="130" s="1"/>
  <c r="P40" i="130"/>
  <c r="G40" i="130"/>
  <c r="J40" i="130" s="1"/>
  <c r="X12" i="130"/>
  <c r="Y12" i="130"/>
  <c r="Z12" i="130"/>
  <c r="AA12" i="130"/>
  <c r="W12" i="130"/>
  <c r="AC12" i="130"/>
  <c r="AD12" i="130"/>
  <c r="AB12" i="130"/>
  <c r="T12" i="130"/>
  <c r="U12" i="130"/>
  <c r="V12" i="130"/>
  <c r="S12" i="130"/>
  <c r="D73" i="130"/>
  <c r="P60" i="130"/>
  <c r="I60" i="130"/>
  <c r="J60" i="130" s="1"/>
  <c r="N60" i="130" s="1"/>
  <c r="O60" i="130" s="1"/>
  <c r="P59" i="130"/>
  <c r="I59" i="130"/>
  <c r="J59" i="130" s="1"/>
  <c r="P58" i="130"/>
  <c r="I58" i="130"/>
  <c r="J58" i="130" s="1"/>
  <c r="P57" i="130"/>
  <c r="I57" i="130"/>
  <c r="J57" i="130" s="1"/>
  <c r="P56" i="130"/>
  <c r="I56" i="130"/>
  <c r="J56" i="130" s="1"/>
  <c r="P54" i="130"/>
  <c r="I54" i="130"/>
  <c r="J54" i="130" s="1"/>
  <c r="P53" i="130"/>
  <c r="I53" i="130"/>
  <c r="J53" i="130" s="1"/>
  <c r="P52" i="130"/>
  <c r="I52" i="130"/>
  <c r="J52" i="130" s="1"/>
  <c r="P51" i="130"/>
  <c r="J51" i="130"/>
  <c r="P50" i="130"/>
  <c r="J50" i="130"/>
  <c r="P49" i="130"/>
  <c r="I49" i="130"/>
  <c r="P48" i="130"/>
  <c r="I48" i="130"/>
  <c r="J48" i="130" s="1"/>
  <c r="P47" i="130"/>
  <c r="I47" i="130"/>
  <c r="J47" i="130" s="1"/>
  <c r="I46" i="130"/>
  <c r="J46" i="130" s="1"/>
  <c r="P45" i="130"/>
  <c r="I45" i="130"/>
  <c r="J45" i="130" s="1"/>
  <c r="P42" i="130"/>
  <c r="P41" i="130"/>
  <c r="G41" i="130"/>
  <c r="J41" i="130" s="1"/>
  <c r="P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D45" i="130"/>
  <c r="N45" i="130" s="1"/>
  <c r="O45" i="130" s="1"/>
  <c r="C15" i="130"/>
  <c r="C14" i="130"/>
  <c r="D10" i="130"/>
  <c r="B10" i="130"/>
  <c r="C9" i="130"/>
  <c r="C8" i="130"/>
  <c r="A6" i="130"/>
  <c r="A4" i="130"/>
  <c r="Y12" i="129"/>
  <c r="Z12" i="129"/>
  <c r="AA12" i="129"/>
  <c r="X12" i="129"/>
  <c r="AD12" i="129"/>
  <c r="AC12" i="129"/>
  <c r="AB12" i="129"/>
  <c r="T12" i="129"/>
  <c r="U12" i="129"/>
  <c r="V12" i="129"/>
  <c r="W12" i="129"/>
  <c r="S12" i="129"/>
  <c r="P41" i="129"/>
  <c r="G41" i="129"/>
  <c r="J41" i="129" s="1"/>
  <c r="P56" i="129"/>
  <c r="G56" i="129"/>
  <c r="J56" i="129" s="1"/>
  <c r="I60" i="129"/>
  <c r="J60" i="129" s="1"/>
  <c r="H45" i="129"/>
  <c r="J45" i="129" s="1"/>
  <c r="H44" i="129"/>
  <c r="J44" i="129" s="1"/>
  <c r="D74" i="129"/>
  <c r="P61" i="129"/>
  <c r="I61" i="129"/>
  <c r="J61" i="129" s="1"/>
  <c r="N61" i="129" s="1"/>
  <c r="O61" i="129" s="1"/>
  <c r="P60" i="129"/>
  <c r="P59" i="129"/>
  <c r="I59" i="129"/>
  <c r="J59" i="129" s="1"/>
  <c r="P58" i="129"/>
  <c r="I58" i="129"/>
  <c r="J58" i="129" s="1"/>
  <c r="P57" i="129"/>
  <c r="I57" i="129"/>
  <c r="J57" i="129" s="1"/>
  <c r="P55" i="129"/>
  <c r="I55" i="129"/>
  <c r="J55" i="129" s="1"/>
  <c r="P54" i="129"/>
  <c r="I54" i="129"/>
  <c r="N54" i="129" s="1"/>
  <c r="O54" i="129" s="1"/>
  <c r="P53" i="129"/>
  <c r="I53" i="129"/>
  <c r="J53" i="129" s="1"/>
  <c r="P52" i="129"/>
  <c r="J52" i="129"/>
  <c r="P51" i="129"/>
  <c r="J51" i="129"/>
  <c r="P50" i="129"/>
  <c r="I50" i="129"/>
  <c r="P49" i="129"/>
  <c r="I49" i="129"/>
  <c r="J49" i="129" s="1"/>
  <c r="P48" i="129"/>
  <c r="I48" i="129"/>
  <c r="J48" i="129" s="1"/>
  <c r="P47" i="129"/>
  <c r="I47" i="129"/>
  <c r="J47" i="129" s="1"/>
  <c r="P46" i="129"/>
  <c r="I46" i="129"/>
  <c r="J46" i="129" s="1"/>
  <c r="P45" i="129"/>
  <c r="P44" i="129"/>
  <c r="P43" i="129"/>
  <c r="P42" i="129"/>
  <c r="G42" i="129"/>
  <c r="J42" i="129" s="1"/>
  <c r="P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D46" i="129"/>
  <c r="N46" i="129" s="1"/>
  <c r="O46" i="129" s="1"/>
  <c r="C15" i="129"/>
  <c r="C14" i="129"/>
  <c r="D10" i="129"/>
  <c r="B10" i="129"/>
  <c r="C10" i="129" s="1"/>
  <c r="C9" i="129"/>
  <c r="C8" i="129"/>
  <c r="A6" i="129"/>
  <c r="A4" i="129"/>
  <c r="P61" i="40"/>
  <c r="I61" i="40"/>
  <c r="J61" i="40" s="1"/>
  <c r="N61" i="40" s="1"/>
  <c r="O61" i="40" s="1"/>
  <c r="P60" i="40"/>
  <c r="I60" i="40"/>
  <c r="J60" i="40" s="1"/>
  <c r="P52" i="119"/>
  <c r="I52" i="119"/>
  <c r="J52" i="119" s="1"/>
  <c r="N52" i="119" s="1"/>
  <c r="O52" i="119" s="1"/>
  <c r="P51" i="119"/>
  <c r="I51" i="119"/>
  <c r="J51" i="119" s="1"/>
  <c r="D51" i="119"/>
  <c r="P54" i="128"/>
  <c r="I54" i="128"/>
  <c r="J54" i="128" s="1"/>
  <c r="N54" i="128" s="1"/>
  <c r="O54" i="128" s="1"/>
  <c r="P53" i="128"/>
  <c r="I53" i="128"/>
  <c r="J53" i="128" s="1"/>
  <c r="P53" i="37"/>
  <c r="I53" i="37"/>
  <c r="J53" i="37" s="1"/>
  <c r="N53" i="37" s="1"/>
  <c r="O53" i="37" s="1"/>
  <c r="P52" i="37"/>
  <c r="I52" i="37"/>
  <c r="J52" i="37" s="1"/>
  <c r="D37" i="37"/>
  <c r="P57" i="127"/>
  <c r="I57" i="127"/>
  <c r="J57" i="127" s="1"/>
  <c r="N57" i="127" s="1"/>
  <c r="O57" i="127" s="1"/>
  <c r="P56" i="127"/>
  <c r="I56" i="127"/>
  <c r="J56" i="127" s="1"/>
  <c r="D56" i="127"/>
  <c r="P51" i="126"/>
  <c r="I51" i="126"/>
  <c r="J51" i="126" s="1"/>
  <c r="N51" i="126" s="1"/>
  <c r="O51" i="126" s="1"/>
  <c r="P50" i="126"/>
  <c r="I50" i="126"/>
  <c r="J50" i="126" s="1"/>
  <c r="P50" i="100"/>
  <c r="I50" i="100"/>
  <c r="J50" i="100" s="1"/>
  <c r="N50" i="100" s="1"/>
  <c r="O50" i="100" s="1"/>
  <c r="P49" i="100"/>
  <c r="I49" i="100"/>
  <c r="J49" i="100" s="1"/>
  <c r="I31" i="100"/>
  <c r="J31" i="100" s="1"/>
  <c r="I37" i="34"/>
  <c r="J37" i="34" s="1"/>
  <c r="I32" i="100"/>
  <c r="J32" i="100" s="1"/>
  <c r="P56" i="34"/>
  <c r="I56" i="34"/>
  <c r="J56" i="34" s="1"/>
  <c r="N56" i="34" s="1"/>
  <c r="O56" i="34" s="1"/>
  <c r="P55" i="34"/>
  <c r="I55" i="34"/>
  <c r="J55" i="34" s="1"/>
  <c r="I38" i="34"/>
  <c r="J38" i="34" s="1"/>
  <c r="N20" i="126"/>
  <c r="D27" i="126"/>
  <c r="D31" i="100"/>
  <c r="P50" i="119"/>
  <c r="I50" i="119"/>
  <c r="J50" i="119" s="1"/>
  <c r="P49" i="119"/>
  <c r="I49" i="119"/>
  <c r="J49" i="119" s="1"/>
  <c r="P59" i="40"/>
  <c r="I59" i="40"/>
  <c r="J59" i="40" s="1"/>
  <c r="P58" i="40"/>
  <c r="I58" i="40"/>
  <c r="J58" i="40" s="1"/>
  <c r="I52" i="128"/>
  <c r="J52" i="128" s="1"/>
  <c r="I51" i="128"/>
  <c r="J51" i="128" s="1"/>
  <c r="P52" i="128"/>
  <c r="P51" i="128"/>
  <c r="P51" i="37"/>
  <c r="P50" i="37"/>
  <c r="I51" i="37"/>
  <c r="J51" i="37" s="1"/>
  <c r="I50" i="37"/>
  <c r="J50" i="37" s="1"/>
  <c r="P55" i="127"/>
  <c r="I55" i="127"/>
  <c r="J55" i="127" s="1"/>
  <c r="N55" i="127" s="1"/>
  <c r="O55" i="127" s="1"/>
  <c r="P49" i="126"/>
  <c r="I49" i="126"/>
  <c r="J49" i="126" s="1"/>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s="1"/>
  <c r="N54" i="34" s="1"/>
  <c r="O54" i="34" s="1"/>
  <c r="G39" i="34"/>
  <c r="J39" i="34" s="1"/>
  <c r="P35" i="128"/>
  <c r="P36" i="128"/>
  <c r="G36" i="128"/>
  <c r="J36" i="128" s="1"/>
  <c r="G35" i="128"/>
  <c r="J35" i="128" s="1"/>
  <c r="D36" i="128"/>
  <c r="D35" i="128"/>
  <c r="P50" i="128"/>
  <c r="I50" i="128"/>
  <c r="J50" i="128" s="1"/>
  <c r="P49" i="128"/>
  <c r="G49" i="128"/>
  <c r="J49" i="128" s="1"/>
  <c r="P48" i="128"/>
  <c r="I48" i="128"/>
  <c r="N48" i="128" s="1"/>
  <c r="O48" i="128" s="1"/>
  <c r="P47" i="128"/>
  <c r="I47" i="128"/>
  <c r="N47" i="128" s="1"/>
  <c r="O47" i="128" s="1"/>
  <c r="P46" i="128"/>
  <c r="I46" i="128"/>
  <c r="J46" i="128" s="1"/>
  <c r="P45" i="128"/>
  <c r="J45" i="128"/>
  <c r="P44" i="128"/>
  <c r="I44" i="128"/>
  <c r="P43" i="128"/>
  <c r="I43" i="128"/>
  <c r="J43" i="128" s="1"/>
  <c r="P42" i="128"/>
  <c r="I42" i="128"/>
  <c r="J42" i="128" s="1"/>
  <c r="P41" i="128"/>
  <c r="I41" i="128"/>
  <c r="J41" i="128" s="1"/>
  <c r="N41" i="128" s="1"/>
  <c r="O41" i="128" s="1"/>
  <c r="P40" i="128"/>
  <c r="I40" i="128"/>
  <c r="J40" i="128" s="1"/>
  <c r="P39" i="128"/>
  <c r="H39" i="128"/>
  <c r="J39" i="128" s="1"/>
  <c r="P38" i="128"/>
  <c r="P37" i="128"/>
  <c r="G37" i="128"/>
  <c r="J37" i="128" s="1"/>
  <c r="P34" i="128"/>
  <c r="P33" i="128"/>
  <c r="I33" i="128"/>
  <c r="J33" i="128" s="1"/>
  <c r="P32" i="128"/>
  <c r="I32" i="128"/>
  <c r="J32" i="128" s="1"/>
  <c r="P31" i="128"/>
  <c r="I31" i="128"/>
  <c r="J31" i="128" s="1"/>
  <c r="P30" i="128"/>
  <c r="I30" i="128"/>
  <c r="J30" i="128" s="1"/>
  <c r="P29" i="128"/>
  <c r="I29" i="128"/>
  <c r="J29" i="128" s="1"/>
  <c r="P28" i="128"/>
  <c r="I28" i="128"/>
  <c r="J28" i="128" s="1"/>
  <c r="P27" i="128"/>
  <c r="I27" i="128"/>
  <c r="J27" i="128" s="1"/>
  <c r="N21" i="128"/>
  <c r="O21" i="128" s="1"/>
  <c r="J21" i="128"/>
  <c r="AD13" i="128"/>
  <c r="AC13" i="128"/>
  <c r="AB13" i="128"/>
  <c r="AA13" i="128"/>
  <c r="Z13" i="128"/>
  <c r="Y13" i="128"/>
  <c r="X13" i="128"/>
  <c r="W13" i="128"/>
  <c r="V13" i="128"/>
  <c r="U13" i="128"/>
  <c r="T13" i="128"/>
  <c r="S13" i="128"/>
  <c r="D11" i="128"/>
  <c r="B11" i="128"/>
  <c r="J34" i="128" s="1"/>
  <c r="C10" i="128"/>
  <c r="C9" i="128"/>
  <c r="A6" i="128"/>
  <c r="A4" i="128"/>
  <c r="P41" i="127"/>
  <c r="P40" i="127"/>
  <c r="G41" i="127"/>
  <c r="J41" i="127" s="1"/>
  <c r="G40" i="127"/>
  <c r="J40" i="127" s="1"/>
  <c r="P54" i="127"/>
  <c r="I54" i="127"/>
  <c r="J54" i="127" s="1"/>
  <c r="P53" i="127"/>
  <c r="G53" i="127"/>
  <c r="J53" i="127" s="1"/>
  <c r="P52" i="127"/>
  <c r="I52" i="127"/>
  <c r="N52" i="127" s="1"/>
  <c r="O52" i="127" s="1"/>
  <c r="P51" i="127"/>
  <c r="I51" i="127"/>
  <c r="J51" i="127" s="1"/>
  <c r="P50" i="127"/>
  <c r="I50" i="127"/>
  <c r="J50" i="127" s="1"/>
  <c r="P49" i="127"/>
  <c r="J49" i="127"/>
  <c r="P48" i="127"/>
  <c r="I48" i="127"/>
  <c r="N48" i="127" s="1"/>
  <c r="O48" i="127" s="1"/>
  <c r="P47" i="127"/>
  <c r="I47" i="127"/>
  <c r="J47" i="127" s="1"/>
  <c r="P46" i="127"/>
  <c r="I46" i="127"/>
  <c r="J46" i="127" s="1"/>
  <c r="P45" i="127"/>
  <c r="I45" i="127"/>
  <c r="J45" i="127" s="1"/>
  <c r="P44" i="127"/>
  <c r="H44" i="127"/>
  <c r="J44" i="127" s="1"/>
  <c r="P43" i="127"/>
  <c r="P42" i="127"/>
  <c r="G42" i="127"/>
  <c r="J42" i="127" s="1"/>
  <c r="P39" i="127"/>
  <c r="P38" i="127"/>
  <c r="I38" i="127"/>
  <c r="J38" i="127" s="1"/>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6" i="119"/>
  <c r="N46" i="119"/>
  <c r="O46" i="119" s="1"/>
  <c r="I46" i="119"/>
  <c r="J46" i="119" s="1"/>
  <c r="P55" i="40"/>
  <c r="I55" i="40"/>
  <c r="N55" i="40" s="1"/>
  <c r="O55" i="40" s="1"/>
  <c r="P47" i="37"/>
  <c r="I47" i="37"/>
  <c r="N47" i="37" s="1"/>
  <c r="O47" i="37" s="1"/>
  <c r="P46" i="126"/>
  <c r="I46" i="126"/>
  <c r="J46" i="126" s="1"/>
  <c r="P45" i="100"/>
  <c r="I45" i="100"/>
  <c r="N45" i="100" s="1"/>
  <c r="O45" i="100" s="1"/>
  <c r="P51" i="34"/>
  <c r="I51" i="34"/>
  <c r="N51" i="34" s="1"/>
  <c r="O51" i="34" s="1"/>
  <c r="D48" i="120"/>
  <c r="D49" i="120"/>
  <c r="A4" i="119"/>
  <c r="A5" i="119"/>
  <c r="C9" i="119"/>
  <c r="C10" i="119"/>
  <c r="B11" i="119"/>
  <c r="C11" i="119" s="1"/>
  <c r="D11" i="119"/>
  <c r="S13" i="119"/>
  <c r="T13" i="119"/>
  <c r="U13" i="119"/>
  <c r="V13" i="119"/>
  <c r="W13" i="119"/>
  <c r="X13" i="119"/>
  <c r="Y13" i="119"/>
  <c r="Z13" i="119"/>
  <c r="AA13" i="119"/>
  <c r="AB13" i="119"/>
  <c r="AC13" i="119"/>
  <c r="AD13" i="119"/>
  <c r="J19" i="119"/>
  <c r="N19" i="119"/>
  <c r="O19" i="119" s="1"/>
  <c r="I25" i="119"/>
  <c r="J25" i="119" s="1"/>
  <c r="P25" i="119"/>
  <c r="I26" i="119"/>
  <c r="J26" i="119" s="1"/>
  <c r="P26" i="119"/>
  <c r="I27" i="119"/>
  <c r="J27" i="119" s="1"/>
  <c r="P27" i="119"/>
  <c r="I28" i="119"/>
  <c r="J28" i="119" s="1"/>
  <c r="P28" i="119"/>
  <c r="I29" i="119"/>
  <c r="J29" i="119" s="1"/>
  <c r="P29" i="119"/>
  <c r="I30" i="119"/>
  <c r="J30" i="119" s="1"/>
  <c r="P30" i="119"/>
  <c r="P31" i="119"/>
  <c r="J32" i="119"/>
  <c r="J33" i="119"/>
  <c r="G34" i="119"/>
  <c r="J34" i="119" s="1"/>
  <c r="P34" i="119"/>
  <c r="P35" i="119"/>
  <c r="H36" i="119"/>
  <c r="J36" i="119" s="1"/>
  <c r="P36" i="119"/>
  <c r="I37" i="119"/>
  <c r="J37" i="119" s="1"/>
  <c r="P37" i="119"/>
  <c r="I38" i="119"/>
  <c r="J38" i="119" s="1"/>
  <c r="N38" i="119" s="1"/>
  <c r="O38" i="119" s="1"/>
  <c r="P38" i="119"/>
  <c r="I39" i="119"/>
  <c r="J39" i="119" s="1"/>
  <c r="P39" i="119"/>
  <c r="I40" i="119"/>
  <c r="J40" i="119" s="1"/>
  <c r="P40" i="119"/>
  <c r="I41" i="119"/>
  <c r="N41" i="119" s="1"/>
  <c r="O41" i="119" s="1"/>
  <c r="P41" i="119"/>
  <c r="J42" i="119"/>
  <c r="P42" i="119"/>
  <c r="J43" i="119"/>
  <c r="P43" i="119"/>
  <c r="I44" i="119"/>
  <c r="J44" i="119" s="1"/>
  <c r="P44" i="119"/>
  <c r="I45" i="119"/>
  <c r="J45" i="119" s="1"/>
  <c r="P45" i="119"/>
  <c r="G47" i="119"/>
  <c r="J47" i="119" s="1"/>
  <c r="P47" i="119"/>
  <c r="I48" i="119"/>
  <c r="J48" i="119" s="1"/>
  <c r="P48" i="119"/>
  <c r="A4" i="40"/>
  <c r="A6" i="40"/>
  <c r="C8" i="40"/>
  <c r="C9" i="40"/>
  <c r="B10" i="40"/>
  <c r="D10" i="40"/>
  <c r="S12" i="40"/>
  <c r="T12" i="40"/>
  <c r="U12" i="40"/>
  <c r="V12" i="40"/>
  <c r="W12" i="40"/>
  <c r="X12" i="40"/>
  <c r="Y12" i="40"/>
  <c r="Z12" i="40"/>
  <c r="AA12" i="40"/>
  <c r="AB12" i="40"/>
  <c r="AC12" i="40"/>
  <c r="AD12" i="40"/>
  <c r="C14" i="40"/>
  <c r="D45" i="40" s="1"/>
  <c r="C15" i="40"/>
  <c r="J26" i="40"/>
  <c r="N26" i="40"/>
  <c r="O26" i="40" s="1"/>
  <c r="J28" i="40"/>
  <c r="J29" i="40"/>
  <c r="I34" i="40"/>
  <c r="J34" i="40" s="1"/>
  <c r="P34" i="40"/>
  <c r="I35" i="40"/>
  <c r="J35" i="40" s="1"/>
  <c r="P35" i="40"/>
  <c r="I36" i="40"/>
  <c r="J36" i="40" s="1"/>
  <c r="P36" i="40"/>
  <c r="I37" i="40"/>
  <c r="J37" i="40" s="1"/>
  <c r="P37" i="40"/>
  <c r="I38" i="40"/>
  <c r="J38" i="40" s="1"/>
  <c r="P38" i="40"/>
  <c r="I39" i="40"/>
  <c r="J39" i="40" s="1"/>
  <c r="P39" i="40"/>
  <c r="P40" i="40"/>
  <c r="G41" i="40"/>
  <c r="J41" i="40" s="1"/>
  <c r="P41" i="40"/>
  <c r="G42" i="40"/>
  <c r="J42" i="40" s="1"/>
  <c r="P42" i="40"/>
  <c r="P43" i="40"/>
  <c r="H44" i="40"/>
  <c r="J44" i="40" s="1"/>
  <c r="P44" i="40"/>
  <c r="H45" i="40"/>
  <c r="J45" i="40" s="1"/>
  <c r="P45" i="40"/>
  <c r="I46" i="40"/>
  <c r="J46" i="40" s="1"/>
  <c r="P46" i="40"/>
  <c r="I47" i="40"/>
  <c r="J47" i="40" s="1"/>
  <c r="P47" i="40"/>
  <c r="I48" i="40"/>
  <c r="J48" i="40" s="1"/>
  <c r="P48" i="40"/>
  <c r="I49" i="40"/>
  <c r="J49" i="40" s="1"/>
  <c r="P49" i="40"/>
  <c r="I50" i="40"/>
  <c r="N50" i="40" s="1"/>
  <c r="O50" i="40" s="1"/>
  <c r="P50" i="40"/>
  <c r="J51" i="40"/>
  <c r="P51" i="40"/>
  <c r="J52" i="40"/>
  <c r="P52" i="40"/>
  <c r="I53" i="40"/>
  <c r="J53" i="40" s="1"/>
  <c r="P53" i="40"/>
  <c r="I54" i="40"/>
  <c r="N54" i="40" s="1"/>
  <c r="O54" i="40" s="1"/>
  <c r="P54" i="40"/>
  <c r="G56" i="40"/>
  <c r="J56" i="40" s="1"/>
  <c r="P56" i="40"/>
  <c r="I57" i="40"/>
  <c r="J57" i="40" s="1"/>
  <c r="P57" i="40"/>
  <c r="D74" i="40"/>
  <c r="A4" i="37"/>
  <c r="A6" i="37"/>
  <c r="C9" i="37"/>
  <c r="C10" i="37"/>
  <c r="B11" i="37"/>
  <c r="C11" i="37" s="1"/>
  <c r="D11" i="37"/>
  <c r="S13" i="37"/>
  <c r="T13" i="37"/>
  <c r="U13" i="37"/>
  <c r="V13" i="37"/>
  <c r="W13" i="37"/>
  <c r="X13" i="37"/>
  <c r="Y13" i="37"/>
  <c r="Z13" i="37"/>
  <c r="AA13" i="37"/>
  <c r="AB13" i="37"/>
  <c r="AC13" i="37"/>
  <c r="AD13" i="37"/>
  <c r="J21" i="37"/>
  <c r="N21" i="37"/>
  <c r="O21" i="37" s="1"/>
  <c r="I27" i="37"/>
  <c r="J27" i="37" s="1"/>
  <c r="P27" i="37"/>
  <c r="I28" i="37"/>
  <c r="J28" i="37" s="1"/>
  <c r="P28" i="37"/>
  <c r="I29" i="37"/>
  <c r="J29" i="37" s="1"/>
  <c r="P29" i="37"/>
  <c r="I30" i="37"/>
  <c r="J30" i="37" s="1"/>
  <c r="P30" i="37"/>
  <c r="I31" i="37"/>
  <c r="J31" i="37" s="1"/>
  <c r="P31" i="37"/>
  <c r="I32" i="37"/>
  <c r="J32" i="37" s="1"/>
  <c r="P32" i="37"/>
  <c r="I33" i="37"/>
  <c r="J33" i="37" s="1"/>
  <c r="P33" i="37"/>
  <c r="P34" i="37"/>
  <c r="G35" i="37"/>
  <c r="J35" i="37" s="1"/>
  <c r="P35" i="37"/>
  <c r="G36" i="37"/>
  <c r="J36" i="37" s="1"/>
  <c r="P36" i="37"/>
  <c r="P37" i="37"/>
  <c r="H38" i="37"/>
  <c r="J38" i="37" s="1"/>
  <c r="P38" i="37"/>
  <c r="I39" i="37"/>
  <c r="J39" i="37" s="1"/>
  <c r="P39" i="37"/>
  <c r="I40" i="37"/>
  <c r="J40" i="37" s="1"/>
  <c r="N40" i="37" s="1"/>
  <c r="O40" i="37" s="1"/>
  <c r="P40" i="37"/>
  <c r="I41" i="37"/>
  <c r="J41" i="37" s="1"/>
  <c r="P41" i="37"/>
  <c r="I42" i="37"/>
  <c r="J42" i="37" s="1"/>
  <c r="P42" i="37"/>
  <c r="I43" i="37"/>
  <c r="P43" i="37"/>
  <c r="J44" i="37"/>
  <c r="P44" i="37"/>
  <c r="I45" i="37"/>
  <c r="J45" i="37" s="1"/>
  <c r="P45" i="37"/>
  <c r="I46" i="37"/>
  <c r="N46" i="37" s="1"/>
  <c r="O46" i="37" s="1"/>
  <c r="P46" i="37"/>
  <c r="G48" i="37"/>
  <c r="P48" i="37"/>
  <c r="I49" i="37"/>
  <c r="J49" i="37" s="1"/>
  <c r="P49" i="37"/>
  <c r="A4" i="126"/>
  <c r="A6" i="126"/>
  <c r="C9" i="126"/>
  <c r="C10" i="126"/>
  <c r="B11" i="126"/>
  <c r="C11" i="126" s="1"/>
  <c r="D11" i="126"/>
  <c r="S15" i="126"/>
  <c r="T15" i="126"/>
  <c r="U15" i="126"/>
  <c r="V15" i="126"/>
  <c r="W15" i="126"/>
  <c r="X15" i="126"/>
  <c r="Y15" i="126"/>
  <c r="Z15" i="126"/>
  <c r="AA15" i="126"/>
  <c r="AB15" i="126"/>
  <c r="AC15" i="126"/>
  <c r="AD15" i="126"/>
  <c r="J19" i="126"/>
  <c r="N19" i="126"/>
  <c r="O19" i="126" s="1"/>
  <c r="I25" i="126"/>
  <c r="J25" i="126" s="1"/>
  <c r="P25" i="126"/>
  <c r="I26" i="126"/>
  <c r="J26" i="126" s="1"/>
  <c r="P26" i="126"/>
  <c r="I27" i="126"/>
  <c r="J27" i="126" s="1"/>
  <c r="P27" i="126"/>
  <c r="I28" i="126"/>
  <c r="J28" i="126" s="1"/>
  <c r="P28" i="126"/>
  <c r="I29" i="126"/>
  <c r="J29" i="126" s="1"/>
  <c r="P29" i="126"/>
  <c r="I30" i="126"/>
  <c r="J30" i="126" s="1"/>
  <c r="P30" i="126"/>
  <c r="I31" i="126"/>
  <c r="J31" i="126" s="1"/>
  <c r="P31" i="126"/>
  <c r="I32" i="126"/>
  <c r="J32" i="126" s="1"/>
  <c r="P32" i="126"/>
  <c r="P33" i="126"/>
  <c r="G34" i="126"/>
  <c r="J34" i="126" s="1"/>
  <c r="P34" i="126"/>
  <c r="G35" i="126"/>
  <c r="J35" i="126" s="1"/>
  <c r="P35" i="126"/>
  <c r="G36" i="126"/>
  <c r="J36" i="126" s="1"/>
  <c r="P36" i="126"/>
  <c r="P37" i="126"/>
  <c r="H38" i="126"/>
  <c r="J38" i="126" s="1"/>
  <c r="P38" i="126"/>
  <c r="I39" i="126"/>
  <c r="J39" i="126" s="1"/>
  <c r="P39" i="126"/>
  <c r="I40" i="126"/>
  <c r="J40" i="126" s="1"/>
  <c r="P40" i="126"/>
  <c r="I41" i="126"/>
  <c r="J41" i="126" s="1"/>
  <c r="P41" i="126"/>
  <c r="I42" i="126"/>
  <c r="J42" i="126" s="1"/>
  <c r="P42" i="126"/>
  <c r="J43" i="126"/>
  <c r="P43" i="126"/>
  <c r="I44" i="126"/>
  <c r="J44" i="126" s="1"/>
  <c r="P44" i="126"/>
  <c r="I45" i="126"/>
  <c r="N45" i="126" s="1"/>
  <c r="O45" i="126" s="1"/>
  <c r="P45" i="126"/>
  <c r="G47" i="126"/>
  <c r="J47" i="126" s="1"/>
  <c r="P47" i="126"/>
  <c r="I48" i="126"/>
  <c r="J48" i="126" s="1"/>
  <c r="P48" i="126"/>
  <c r="A5" i="100"/>
  <c r="C8" i="100"/>
  <c r="C9" i="100"/>
  <c r="B10" i="100"/>
  <c r="D10" i="100"/>
  <c r="C15" i="100"/>
  <c r="D20" i="100" s="1"/>
  <c r="J19" i="100"/>
  <c r="N19" i="100"/>
  <c r="O19" i="100" s="1"/>
  <c r="I25" i="100"/>
  <c r="J25" i="100" s="1"/>
  <c r="P25" i="100"/>
  <c r="I26" i="100"/>
  <c r="J26" i="100" s="1"/>
  <c r="P26" i="100"/>
  <c r="I27" i="100"/>
  <c r="J27" i="100" s="1"/>
  <c r="P27" i="100"/>
  <c r="I28" i="100"/>
  <c r="J28" i="100" s="1"/>
  <c r="P28" i="100"/>
  <c r="I29" i="100"/>
  <c r="J29" i="100" s="1"/>
  <c r="P29" i="100"/>
  <c r="I30" i="100"/>
  <c r="J30" i="100" s="1"/>
  <c r="P30" i="100"/>
  <c r="P31" i="100"/>
  <c r="P32" i="100"/>
  <c r="P33" i="100"/>
  <c r="P34" i="100"/>
  <c r="G35" i="100"/>
  <c r="J35" i="100" s="1"/>
  <c r="P35" i="100"/>
  <c r="P36" i="100"/>
  <c r="H37" i="100"/>
  <c r="J37" i="100" s="1"/>
  <c r="P37" i="100"/>
  <c r="I38" i="100"/>
  <c r="J38" i="100" s="1"/>
  <c r="P38" i="100"/>
  <c r="I39" i="100"/>
  <c r="J39" i="100" s="1"/>
  <c r="P39" i="100"/>
  <c r="I40" i="100"/>
  <c r="J40" i="100" s="1"/>
  <c r="P40" i="100"/>
  <c r="I41" i="100"/>
  <c r="J41" i="100" s="1"/>
  <c r="P41" i="100"/>
  <c r="J42" i="100"/>
  <c r="P42" i="100"/>
  <c r="I43" i="100"/>
  <c r="J43" i="100" s="1"/>
  <c r="P43" i="100"/>
  <c r="I44" i="100"/>
  <c r="J44" i="100" s="1"/>
  <c r="P44" i="100"/>
  <c r="G46" i="100"/>
  <c r="J46" i="100" s="1"/>
  <c r="P46" i="100"/>
  <c r="I47" i="100"/>
  <c r="J47" i="100" s="1"/>
  <c r="P47" i="100"/>
  <c r="A4" i="34"/>
  <c r="A6" i="34"/>
  <c r="C9" i="34"/>
  <c r="C10" i="34"/>
  <c r="B11" i="34"/>
  <c r="C11" i="34" s="1"/>
  <c r="D11" i="34"/>
  <c r="J25" i="34"/>
  <c r="N25" i="34"/>
  <c r="O25" i="34" s="1"/>
  <c r="J26" i="34"/>
  <c r="I31" i="34"/>
  <c r="J31" i="34" s="1"/>
  <c r="P31" i="34"/>
  <c r="I32" i="34"/>
  <c r="J32" i="34" s="1"/>
  <c r="P32" i="34"/>
  <c r="I33" i="34"/>
  <c r="J33" i="34" s="1"/>
  <c r="P33" i="34"/>
  <c r="I34" i="34"/>
  <c r="J34" i="34" s="1"/>
  <c r="P34" i="34"/>
  <c r="I35" i="34"/>
  <c r="J35" i="34" s="1"/>
  <c r="P35" i="34"/>
  <c r="I36" i="34"/>
  <c r="J36" i="34" s="1"/>
  <c r="P36" i="34"/>
  <c r="P37" i="34"/>
  <c r="P38" i="34"/>
  <c r="P39" i="34"/>
  <c r="G40" i="34"/>
  <c r="J40" i="34" s="1"/>
  <c r="P40" i="34"/>
  <c r="G41" i="34"/>
  <c r="J41" i="34" s="1"/>
  <c r="P41" i="34"/>
  <c r="P42" i="34"/>
  <c r="H43" i="34"/>
  <c r="J43" i="34" s="1"/>
  <c r="P43" i="34"/>
  <c r="I44" i="34"/>
  <c r="J44" i="34" s="1"/>
  <c r="P44" i="34"/>
  <c r="I45" i="34"/>
  <c r="J45" i="34" s="1"/>
  <c r="P45" i="34"/>
  <c r="I46" i="34"/>
  <c r="J46" i="34" s="1"/>
  <c r="P46" i="34"/>
  <c r="I47" i="34"/>
  <c r="N47" i="34" s="1"/>
  <c r="O47" i="34" s="1"/>
  <c r="P47" i="34"/>
  <c r="J48" i="34"/>
  <c r="P48" i="34"/>
  <c r="I49" i="34"/>
  <c r="J49" i="34" s="1"/>
  <c r="P49" i="34"/>
  <c r="I50" i="34"/>
  <c r="J50" i="34" s="1"/>
  <c r="P50" i="34"/>
  <c r="G52" i="34"/>
  <c r="J52" i="34" s="1"/>
  <c r="P52" i="34"/>
  <c r="I53" i="34"/>
  <c r="J53" i="34" s="1"/>
  <c r="P53" i="34"/>
  <c r="E18" i="1"/>
  <c r="C19" i="136" s="1"/>
  <c r="D29" i="1"/>
  <c r="J22" i="37"/>
  <c r="D38" i="37"/>
  <c r="J51" i="34"/>
  <c r="J20" i="119"/>
  <c r="D44" i="127"/>
  <c r="D48" i="34"/>
  <c r="O48" i="34" s="1"/>
  <c r="J20" i="126"/>
  <c r="D32" i="37"/>
  <c r="D35" i="119"/>
  <c r="I39" i="146" l="1"/>
  <c r="J39" i="146" s="1"/>
  <c r="N39" i="146" s="1"/>
  <c r="I39" i="154"/>
  <c r="J39" i="154" s="1"/>
  <c r="N39" i="154" s="1"/>
  <c r="I38" i="152"/>
  <c r="J38" i="152" s="1"/>
  <c r="N38" i="152" s="1"/>
  <c r="I38" i="153"/>
  <c r="J38" i="153" s="1"/>
  <c r="N38" i="153" s="1"/>
  <c r="I38" i="151"/>
  <c r="J38" i="151" s="1"/>
  <c r="N38" i="151" s="1"/>
  <c r="I38" i="148"/>
  <c r="J38" i="148" s="1"/>
  <c r="N38" i="148" s="1"/>
  <c r="I38" i="149"/>
  <c r="J38" i="149" s="1"/>
  <c r="N38" i="149" s="1"/>
  <c r="I38" i="147"/>
  <c r="J38" i="147" s="1"/>
  <c r="N38" i="147" s="1"/>
  <c r="O39" i="146"/>
  <c r="O55" i="146" s="1"/>
  <c r="O57" i="146" s="1"/>
  <c r="N55" i="146"/>
  <c r="N57" i="146" s="1"/>
  <c r="N50" i="34"/>
  <c r="O50" i="34" s="1"/>
  <c r="I38" i="144"/>
  <c r="J38" i="144" s="1"/>
  <c r="N38" i="144" s="1"/>
  <c r="I38" i="145"/>
  <c r="J38" i="145" s="1"/>
  <c r="N38" i="145" s="1"/>
  <c r="N41" i="100"/>
  <c r="O41" i="100" s="1"/>
  <c r="C20" i="40"/>
  <c r="D17" i="40" s="1"/>
  <c r="N21" i="126"/>
  <c r="D30" i="126" s="1"/>
  <c r="N30" i="126" s="1"/>
  <c r="O30" i="126" s="1"/>
  <c r="J47" i="128"/>
  <c r="N42" i="126"/>
  <c r="O42" i="126" s="1"/>
  <c r="N32" i="37"/>
  <c r="O32" i="37" s="1"/>
  <c r="C20" i="141"/>
  <c r="C18" i="141" s="1"/>
  <c r="D18" i="141" s="1"/>
  <c r="C20" i="142"/>
  <c r="C18" i="142" s="1"/>
  <c r="C17" i="139"/>
  <c r="C17" i="138"/>
  <c r="C19" i="130"/>
  <c r="J46" i="37"/>
  <c r="J54" i="129"/>
  <c r="J34" i="100"/>
  <c r="J33" i="100"/>
  <c r="D30" i="1"/>
  <c r="I35" i="133"/>
  <c r="J35" i="133" s="1"/>
  <c r="I40" i="142"/>
  <c r="J40" i="142" s="1"/>
  <c r="N40" i="142" s="1"/>
  <c r="O40" i="142" s="1"/>
  <c r="I40" i="141"/>
  <c r="J40" i="141" s="1"/>
  <c r="N40" i="141" s="1"/>
  <c r="I38" i="139"/>
  <c r="J38" i="139" s="1"/>
  <c r="N38" i="139" s="1"/>
  <c r="O38" i="139" s="1"/>
  <c r="I38" i="138"/>
  <c r="J38" i="138" s="1"/>
  <c r="N38" i="138" s="1"/>
  <c r="O38" i="138" s="1"/>
  <c r="I43" i="127"/>
  <c r="J43" i="127" s="1"/>
  <c r="N43" i="127" s="1"/>
  <c r="O43" i="127" s="1"/>
  <c r="I43" i="140"/>
  <c r="J43" i="140" s="1"/>
  <c r="N43" i="140" s="1"/>
  <c r="O43" i="140" s="1"/>
  <c r="I42" i="34"/>
  <c r="J42" i="34" s="1"/>
  <c r="N42" i="34" s="1"/>
  <c r="O42" i="34" s="1"/>
  <c r="I37" i="126"/>
  <c r="J37" i="126" s="1"/>
  <c r="N37" i="126" s="1"/>
  <c r="O37" i="126" s="1"/>
  <c r="N55" i="129"/>
  <c r="O55" i="129" s="1"/>
  <c r="J48" i="128"/>
  <c r="J40" i="40"/>
  <c r="D46" i="140"/>
  <c r="N46" i="140" s="1"/>
  <c r="O46" i="140" s="1"/>
  <c r="D47" i="140"/>
  <c r="N47" i="140" s="1"/>
  <c r="O47" i="140" s="1"/>
  <c r="D50" i="140"/>
  <c r="N50" i="140" s="1"/>
  <c r="O50" i="140" s="1"/>
  <c r="D39" i="140"/>
  <c r="N39" i="140" s="1"/>
  <c r="O39" i="140" s="1"/>
  <c r="D37" i="140"/>
  <c r="N37" i="140" s="1"/>
  <c r="J31" i="119"/>
  <c r="L32" i="119"/>
  <c r="O32" i="119" s="1"/>
  <c r="C10" i="40"/>
  <c r="C11" i="128"/>
  <c r="D33" i="139"/>
  <c r="N33" i="139" s="1"/>
  <c r="O33" i="139" s="1"/>
  <c r="D45" i="139"/>
  <c r="O45" i="139" s="1"/>
  <c r="N30" i="139"/>
  <c r="O30" i="139" s="1"/>
  <c r="N29" i="139"/>
  <c r="D44" i="139"/>
  <c r="O44" i="139" s="1"/>
  <c r="O39" i="139"/>
  <c r="M56" i="139"/>
  <c r="M58" i="139" s="1"/>
  <c r="L56" i="139"/>
  <c r="L58" i="139" s="1"/>
  <c r="O65" i="139" s="1"/>
  <c r="O35" i="139"/>
  <c r="L35" i="138"/>
  <c r="O35" i="138" s="1"/>
  <c r="O39" i="138"/>
  <c r="M56" i="138"/>
  <c r="M58" i="138" s="1"/>
  <c r="N29" i="138"/>
  <c r="D44" i="138"/>
  <c r="O44" i="138" s="1"/>
  <c r="D45" i="138"/>
  <c r="O45" i="138" s="1"/>
  <c r="N30" i="138"/>
  <c r="O30" i="138" s="1"/>
  <c r="D33" i="138"/>
  <c r="N33" i="138" s="1"/>
  <c r="O33" i="138" s="1"/>
  <c r="D35" i="133"/>
  <c r="D27" i="128"/>
  <c r="N27" i="128" s="1"/>
  <c r="O27" i="128" s="1"/>
  <c r="D27" i="37"/>
  <c r="N27" i="37" s="1"/>
  <c r="O27" i="37" s="1"/>
  <c r="D51" i="37"/>
  <c r="N51" i="37" s="1"/>
  <c r="O51" i="37" s="1"/>
  <c r="D29" i="100"/>
  <c r="N29" i="100" s="1"/>
  <c r="O29" i="100" s="1"/>
  <c r="L47" i="119"/>
  <c r="O47" i="119" s="1"/>
  <c r="L34" i="128"/>
  <c r="O34" i="128" s="1"/>
  <c r="D59" i="40"/>
  <c r="N59" i="40" s="1"/>
  <c r="O59" i="40" s="1"/>
  <c r="L40" i="40"/>
  <c r="D38" i="128"/>
  <c r="D49" i="119"/>
  <c r="N49" i="119" s="1"/>
  <c r="O49" i="119" s="1"/>
  <c r="D49" i="37"/>
  <c r="N49" i="37" s="1"/>
  <c r="O49" i="37" s="1"/>
  <c r="D31" i="37"/>
  <c r="N31" i="37" s="1"/>
  <c r="O31" i="37" s="1"/>
  <c r="D31" i="128"/>
  <c r="N31" i="128" s="1"/>
  <c r="O31" i="128" s="1"/>
  <c r="L49" i="128"/>
  <c r="O49" i="128" s="1"/>
  <c r="D32" i="128"/>
  <c r="N32" i="128" s="1"/>
  <c r="O32" i="128" s="1"/>
  <c r="D34" i="127"/>
  <c r="N34" i="127" s="1"/>
  <c r="O34" i="127" s="1"/>
  <c r="D44" i="37"/>
  <c r="O44" i="37" s="1"/>
  <c r="D44" i="40"/>
  <c r="M44" i="40" s="1"/>
  <c r="O44" i="40" s="1"/>
  <c r="L35" i="126"/>
  <c r="O35" i="126" s="1"/>
  <c r="D30" i="37"/>
  <c r="N30" i="37" s="1"/>
  <c r="O30" i="37" s="1"/>
  <c r="D29" i="37"/>
  <c r="N29" i="37" s="1"/>
  <c r="O29" i="37" s="1"/>
  <c r="D51" i="128"/>
  <c r="N51" i="128" s="1"/>
  <c r="O51" i="128" s="1"/>
  <c r="D50" i="119"/>
  <c r="N50" i="119" s="1"/>
  <c r="O50" i="119" s="1"/>
  <c r="L37" i="128"/>
  <c r="O37" i="128" s="1"/>
  <c r="D28" i="37"/>
  <c r="N28" i="37" s="1"/>
  <c r="O28" i="37" s="1"/>
  <c r="D39" i="128"/>
  <c r="M39" i="128" s="1"/>
  <c r="M56" i="128" s="1"/>
  <c r="M58" i="128" s="1"/>
  <c r="D52" i="37"/>
  <c r="N52" i="37" s="1"/>
  <c r="O52" i="37" s="1"/>
  <c r="I39" i="136"/>
  <c r="J39" i="136" s="1"/>
  <c r="J47" i="34"/>
  <c r="L48" i="37"/>
  <c r="O48" i="37" s="1"/>
  <c r="I35" i="119"/>
  <c r="J35" i="119" s="1"/>
  <c r="N35" i="119" s="1"/>
  <c r="O35" i="119" s="1"/>
  <c r="N38" i="132"/>
  <c r="O38" i="132" s="1"/>
  <c r="I36" i="100"/>
  <c r="J36" i="100" s="1"/>
  <c r="N36" i="100" s="1"/>
  <c r="O36" i="100" s="1"/>
  <c r="D45" i="128"/>
  <c r="O45" i="128" s="1"/>
  <c r="D50" i="128"/>
  <c r="N50" i="128" s="1"/>
  <c r="O50" i="128" s="1"/>
  <c r="D29" i="128"/>
  <c r="N29" i="128" s="1"/>
  <c r="O29" i="128" s="1"/>
  <c r="D34" i="34"/>
  <c r="N34" i="34" s="1"/>
  <c r="O34" i="34" s="1"/>
  <c r="D40" i="128"/>
  <c r="N40" i="128" s="1"/>
  <c r="O40" i="128" s="1"/>
  <c r="D37" i="34"/>
  <c r="N37" i="34" s="1"/>
  <c r="O37" i="34" s="1"/>
  <c r="C10" i="100"/>
  <c r="M38" i="37"/>
  <c r="M55" i="37" s="1"/>
  <c r="M57" i="37" s="1"/>
  <c r="I37" i="37"/>
  <c r="J37" i="37" s="1"/>
  <c r="N37" i="37" s="1"/>
  <c r="O37" i="37" s="1"/>
  <c r="N56" i="127"/>
  <c r="O56" i="127" s="1"/>
  <c r="N53" i="128"/>
  <c r="O53" i="128" s="1"/>
  <c r="D43" i="129"/>
  <c r="L56" i="129"/>
  <c r="O56" i="129" s="1"/>
  <c r="I39" i="131"/>
  <c r="J39" i="131" s="1"/>
  <c r="N39" i="131" s="1"/>
  <c r="O39" i="131" s="1"/>
  <c r="I33" i="132"/>
  <c r="J33" i="132" s="1"/>
  <c r="N33" i="132" s="1"/>
  <c r="O33" i="132" s="1"/>
  <c r="I38" i="128"/>
  <c r="J38" i="128" s="1"/>
  <c r="J55" i="40"/>
  <c r="N22" i="37"/>
  <c r="L36" i="37"/>
  <c r="O36" i="37" s="1"/>
  <c r="D39" i="37"/>
  <c r="N39" i="37" s="1"/>
  <c r="O39" i="37" s="1"/>
  <c r="D52" i="128"/>
  <c r="N52" i="128" s="1"/>
  <c r="O52" i="128" s="1"/>
  <c r="J22" i="128"/>
  <c r="D30" i="128"/>
  <c r="N30" i="128" s="1"/>
  <c r="O30" i="128" s="1"/>
  <c r="D28" i="128"/>
  <c r="N28" i="128" s="1"/>
  <c r="O28" i="128" s="1"/>
  <c r="D31" i="34"/>
  <c r="N31" i="34" s="1"/>
  <c r="O31" i="34" s="1"/>
  <c r="D54" i="127"/>
  <c r="N54" i="127" s="1"/>
  <c r="O54" i="127" s="1"/>
  <c r="D50" i="37"/>
  <c r="N50" i="37" s="1"/>
  <c r="O50" i="37" s="1"/>
  <c r="J52" i="127"/>
  <c r="I43" i="40"/>
  <c r="J43" i="40" s="1"/>
  <c r="N46" i="126"/>
  <c r="O46" i="126" s="1"/>
  <c r="N51" i="119"/>
  <c r="O51" i="119" s="1"/>
  <c r="I15" i="129"/>
  <c r="C20" i="129"/>
  <c r="D14" i="129" s="1"/>
  <c r="D45" i="129" s="1"/>
  <c r="N54" i="130"/>
  <c r="O54" i="130" s="1"/>
  <c r="N45" i="119"/>
  <c r="O45" i="119" s="1"/>
  <c r="L36" i="128"/>
  <c r="O36" i="128" s="1"/>
  <c r="I43" i="129"/>
  <c r="J43" i="129" s="1"/>
  <c r="J47" i="37"/>
  <c r="J45" i="126"/>
  <c r="N27" i="126"/>
  <c r="O27" i="126" s="1"/>
  <c r="I42" i="130"/>
  <c r="J42" i="130" s="1"/>
  <c r="J43" i="37"/>
  <c r="N43" i="37"/>
  <c r="O43" i="37" s="1"/>
  <c r="N50" i="129"/>
  <c r="O50" i="129" s="1"/>
  <c r="J50" i="129"/>
  <c r="L56" i="40"/>
  <c r="O56" i="40" s="1"/>
  <c r="J48" i="37"/>
  <c r="M44" i="127"/>
  <c r="O44" i="127" s="1"/>
  <c r="J44" i="128"/>
  <c r="N44" i="128"/>
  <c r="O44" i="128" s="1"/>
  <c r="N44" i="100"/>
  <c r="O44" i="100" s="1"/>
  <c r="J49" i="130"/>
  <c r="N49" i="130"/>
  <c r="O49" i="130" s="1"/>
  <c r="N29" i="132"/>
  <c r="O29" i="132" s="1"/>
  <c r="L40" i="127"/>
  <c r="O40" i="127" s="1"/>
  <c r="L40" i="34"/>
  <c r="O40" i="34" s="1"/>
  <c r="J54" i="40"/>
  <c r="J41" i="119"/>
  <c r="L35" i="37"/>
  <c r="O35" i="37" s="1"/>
  <c r="L41" i="40"/>
  <c r="O41" i="40" s="1"/>
  <c r="L41" i="127"/>
  <c r="O41" i="127" s="1"/>
  <c r="L35" i="128"/>
  <c r="O35" i="128" s="1"/>
  <c r="L39" i="127"/>
  <c r="D26" i="100"/>
  <c r="N26" i="100" s="1"/>
  <c r="O26" i="100" s="1"/>
  <c r="D35" i="127"/>
  <c r="N35" i="127" s="1"/>
  <c r="O35" i="127" s="1"/>
  <c r="N26" i="127"/>
  <c r="O26" i="127" s="1"/>
  <c r="O27" i="127" s="1"/>
  <c r="N37" i="127"/>
  <c r="O37" i="127" s="1"/>
  <c r="D31" i="127"/>
  <c r="N31" i="127" s="1"/>
  <c r="O31" i="127" s="1"/>
  <c r="D28" i="100"/>
  <c r="N28" i="100" s="1"/>
  <c r="O28" i="100" s="1"/>
  <c r="D27" i="100"/>
  <c r="N27" i="100" s="1"/>
  <c r="O27" i="100" s="1"/>
  <c r="L34" i="126"/>
  <c r="O34" i="126" s="1"/>
  <c r="D36" i="130"/>
  <c r="N36" i="130" s="1"/>
  <c r="O36" i="130" s="1"/>
  <c r="D58" i="130"/>
  <c r="N58" i="130" s="1"/>
  <c r="O58" i="130" s="1"/>
  <c r="D32" i="127"/>
  <c r="N32" i="127" s="1"/>
  <c r="O32" i="127" s="1"/>
  <c r="D33" i="127"/>
  <c r="N33" i="127" s="1"/>
  <c r="O33" i="127" s="1"/>
  <c r="L53" i="127"/>
  <c r="O53" i="127" s="1"/>
  <c r="L33" i="119"/>
  <c r="O33" i="119" s="1"/>
  <c r="L40" i="130"/>
  <c r="O40" i="130" s="1"/>
  <c r="D25" i="100"/>
  <c r="N25" i="100" s="1"/>
  <c r="O25" i="100" s="1"/>
  <c r="D49" i="127"/>
  <c r="O49" i="127" s="1"/>
  <c r="O64" i="127"/>
  <c r="L42" i="127"/>
  <c r="O42" i="127" s="1"/>
  <c r="D45" i="127"/>
  <c r="N45" i="127" s="1"/>
  <c r="O45" i="127" s="1"/>
  <c r="D37" i="129"/>
  <c r="N37" i="129" s="1"/>
  <c r="O37" i="129" s="1"/>
  <c r="D50" i="126"/>
  <c r="N50" i="126" s="1"/>
  <c r="O50" i="126" s="1"/>
  <c r="D43" i="126"/>
  <c r="O43" i="126" s="1"/>
  <c r="D36" i="119"/>
  <c r="M36" i="119" s="1"/>
  <c r="M54" i="119" s="1"/>
  <c r="M56" i="119" s="1"/>
  <c r="D27" i="119"/>
  <c r="N27" i="119" s="1"/>
  <c r="D48" i="119"/>
  <c r="N48" i="119" s="1"/>
  <c r="O48" i="119" s="1"/>
  <c r="D37" i="119"/>
  <c r="N37" i="119" s="1"/>
  <c r="O37" i="119" s="1"/>
  <c r="D55" i="34"/>
  <c r="N55" i="34" s="1"/>
  <c r="O55" i="34" s="1"/>
  <c r="D49" i="100"/>
  <c r="N49" i="100" s="1"/>
  <c r="O49" i="100" s="1"/>
  <c r="D58" i="129"/>
  <c r="N58" i="129" s="1"/>
  <c r="O58" i="129" s="1"/>
  <c r="D56" i="130"/>
  <c r="N56" i="130" s="1"/>
  <c r="O56" i="130" s="1"/>
  <c r="D28" i="119"/>
  <c r="N28" i="119" s="1"/>
  <c r="O28" i="119" s="1"/>
  <c r="L34" i="119"/>
  <c r="O34" i="119" s="1"/>
  <c r="D26" i="119"/>
  <c r="N21" i="119"/>
  <c r="D44" i="119" s="1"/>
  <c r="N44" i="119" s="1"/>
  <c r="O44" i="119" s="1"/>
  <c r="L41" i="129"/>
  <c r="O41" i="129" s="1"/>
  <c r="J40" i="129"/>
  <c r="J33" i="126"/>
  <c r="J46" i="136"/>
  <c r="N49" i="136"/>
  <c r="O49" i="136" s="1"/>
  <c r="N48" i="136"/>
  <c r="O48" i="136" s="1"/>
  <c r="D14" i="136"/>
  <c r="D15" i="136"/>
  <c r="D35" i="136"/>
  <c r="N35" i="136" s="1"/>
  <c r="O35" i="136" s="1"/>
  <c r="D42" i="136"/>
  <c r="N42" i="136" s="1"/>
  <c r="O42" i="136" s="1"/>
  <c r="D16" i="136"/>
  <c r="D53" i="136" s="1"/>
  <c r="N53" i="136" s="1"/>
  <c r="O53" i="136" s="1"/>
  <c r="I15" i="136"/>
  <c r="D17" i="136"/>
  <c r="D33" i="136"/>
  <c r="N33" i="136" s="1"/>
  <c r="O33" i="136" s="1"/>
  <c r="D40" i="136"/>
  <c r="M40" i="136" s="1"/>
  <c r="O40" i="136" s="1"/>
  <c r="N51" i="136"/>
  <c r="O51" i="136" s="1"/>
  <c r="D36" i="136"/>
  <c r="N36" i="136" s="1"/>
  <c r="O36" i="136" s="1"/>
  <c r="D39" i="136"/>
  <c r="D50" i="136"/>
  <c r="N50" i="136" s="1"/>
  <c r="O50" i="136" s="1"/>
  <c r="D52" i="136"/>
  <c r="N52" i="136" s="1"/>
  <c r="O52" i="136" s="1"/>
  <c r="D28" i="133"/>
  <c r="N28" i="133" s="1"/>
  <c r="O28" i="133" s="1"/>
  <c r="D46" i="133"/>
  <c r="N46" i="133" s="1"/>
  <c r="O46" i="133" s="1"/>
  <c r="D32" i="133"/>
  <c r="N32" i="133" s="1"/>
  <c r="O32" i="133" s="1"/>
  <c r="D30" i="133"/>
  <c r="N30" i="133" s="1"/>
  <c r="O30" i="133" s="1"/>
  <c r="D48" i="133"/>
  <c r="N48" i="133" s="1"/>
  <c r="O48" i="133" s="1"/>
  <c r="J43" i="133"/>
  <c r="C11" i="133"/>
  <c r="O21" i="133"/>
  <c r="N41" i="133"/>
  <c r="O41" i="133" s="1"/>
  <c r="N44" i="133"/>
  <c r="O44" i="133" s="1"/>
  <c r="D22" i="133"/>
  <c r="N22" i="133" s="1"/>
  <c r="O22" i="133" s="1"/>
  <c r="D23" i="133"/>
  <c r="N23" i="133" s="1"/>
  <c r="O23" i="133" s="1"/>
  <c r="D29" i="133"/>
  <c r="N29" i="133" s="1"/>
  <c r="O29" i="133" s="1"/>
  <c r="D31" i="133"/>
  <c r="N31" i="133" s="1"/>
  <c r="O31" i="133" s="1"/>
  <c r="D33" i="133"/>
  <c r="N33" i="133" s="1"/>
  <c r="O33" i="133" s="1"/>
  <c r="D36" i="133"/>
  <c r="M36" i="133" s="1"/>
  <c r="D45" i="133"/>
  <c r="N45" i="133" s="1"/>
  <c r="O45" i="133" s="1"/>
  <c r="D47" i="133"/>
  <c r="N47" i="133" s="1"/>
  <c r="O47" i="133" s="1"/>
  <c r="N41" i="132"/>
  <c r="O41" i="132" s="1"/>
  <c r="N40" i="132"/>
  <c r="O40" i="132" s="1"/>
  <c r="D27" i="132"/>
  <c r="N27" i="132" s="1"/>
  <c r="O27" i="132" s="1"/>
  <c r="D31" i="132"/>
  <c r="N31" i="132" s="1"/>
  <c r="O31" i="132" s="1"/>
  <c r="N20" i="132"/>
  <c r="O20" i="132" s="1"/>
  <c r="D25" i="132"/>
  <c r="N25" i="132" s="1"/>
  <c r="O25" i="132" s="1"/>
  <c r="O19" i="132"/>
  <c r="D35" i="132"/>
  <c r="N35" i="132" s="1"/>
  <c r="O35" i="132" s="1"/>
  <c r="D44" i="132"/>
  <c r="N44" i="132" s="1"/>
  <c r="O44" i="132" s="1"/>
  <c r="D26" i="132"/>
  <c r="N26" i="132" s="1"/>
  <c r="O26" i="132" s="1"/>
  <c r="D28" i="132"/>
  <c r="N28" i="132" s="1"/>
  <c r="O28" i="132" s="1"/>
  <c r="D42" i="132"/>
  <c r="N42" i="132" s="1"/>
  <c r="O42" i="132" s="1"/>
  <c r="D34" i="132"/>
  <c r="M34" i="132" s="1"/>
  <c r="J46" i="131"/>
  <c r="D37" i="131"/>
  <c r="N37" i="131" s="1"/>
  <c r="O37" i="131" s="1"/>
  <c r="D33" i="131"/>
  <c r="N33" i="131" s="1"/>
  <c r="O33" i="131" s="1"/>
  <c r="J47" i="131"/>
  <c r="D31" i="131"/>
  <c r="N31" i="131" s="1"/>
  <c r="O31" i="131" s="1"/>
  <c r="D35" i="131"/>
  <c r="N35" i="131" s="1"/>
  <c r="O35" i="131" s="1"/>
  <c r="J44" i="131"/>
  <c r="O25" i="131"/>
  <c r="D41" i="131"/>
  <c r="N41" i="131" s="1"/>
  <c r="O41" i="131" s="1"/>
  <c r="D50" i="131"/>
  <c r="N50" i="131" s="1"/>
  <c r="O50" i="131" s="1"/>
  <c r="D26" i="131"/>
  <c r="N26" i="131" s="1"/>
  <c r="O26" i="131" s="1"/>
  <c r="D32" i="131"/>
  <c r="N32" i="131" s="1"/>
  <c r="O32" i="131" s="1"/>
  <c r="D34" i="131"/>
  <c r="N34" i="131" s="1"/>
  <c r="O34" i="131" s="1"/>
  <c r="D48" i="131"/>
  <c r="N48" i="131" s="1"/>
  <c r="O48" i="131" s="1"/>
  <c r="D40" i="131"/>
  <c r="M40" i="131" s="1"/>
  <c r="C10" i="130"/>
  <c r="N53" i="130"/>
  <c r="O53" i="130" s="1"/>
  <c r="L55" i="130"/>
  <c r="O55" i="130" s="1"/>
  <c r="D57" i="130"/>
  <c r="N57" i="130" s="1"/>
  <c r="O57" i="130" s="1"/>
  <c r="I15" i="130"/>
  <c r="D42" i="130"/>
  <c r="D33" i="130"/>
  <c r="D34" i="130" s="1"/>
  <c r="D51" i="130" s="1"/>
  <c r="O51" i="130" s="1"/>
  <c r="D35" i="130"/>
  <c r="N35" i="130" s="1"/>
  <c r="O35" i="130" s="1"/>
  <c r="L41" i="130"/>
  <c r="O41" i="130" s="1"/>
  <c r="D43" i="130"/>
  <c r="M43" i="130" s="1"/>
  <c r="D57" i="129"/>
  <c r="N57" i="129" s="1"/>
  <c r="O57" i="129" s="1"/>
  <c r="D59" i="129"/>
  <c r="N59" i="129" s="1"/>
  <c r="O59" i="129" s="1"/>
  <c r="D34" i="129"/>
  <c r="D35" i="129" s="1"/>
  <c r="D52" i="129" s="1"/>
  <c r="O52" i="129" s="1"/>
  <c r="D36" i="129"/>
  <c r="N36" i="129" s="1"/>
  <c r="O36" i="129" s="1"/>
  <c r="L42" i="129"/>
  <c r="O42" i="129" s="1"/>
  <c r="D44" i="129"/>
  <c r="M44" i="129" s="1"/>
  <c r="D43" i="40"/>
  <c r="I15" i="40"/>
  <c r="L42" i="40"/>
  <c r="O42" i="40" s="1"/>
  <c r="D46" i="40"/>
  <c r="N46" i="40" s="1"/>
  <c r="O46" i="40" s="1"/>
  <c r="D57" i="40"/>
  <c r="N57" i="40" s="1"/>
  <c r="O57" i="40" s="1"/>
  <c r="D34" i="40"/>
  <c r="D35" i="40" s="1"/>
  <c r="D52" i="40" s="1"/>
  <c r="O52" i="40" s="1"/>
  <c r="D58" i="40"/>
  <c r="N58" i="40" s="1"/>
  <c r="O58" i="40" s="1"/>
  <c r="D36" i="40"/>
  <c r="D37" i="40"/>
  <c r="N37" i="40" s="1"/>
  <c r="O37" i="40" s="1"/>
  <c r="J50" i="40"/>
  <c r="O21" i="119"/>
  <c r="N51" i="127"/>
  <c r="O51" i="127" s="1"/>
  <c r="J48" i="127"/>
  <c r="D39" i="126"/>
  <c r="N39" i="126" s="1"/>
  <c r="O39" i="126" s="1"/>
  <c r="D48" i="126"/>
  <c r="N48" i="126" s="1"/>
  <c r="O48" i="126" s="1"/>
  <c r="L36" i="126"/>
  <c r="O36" i="126" s="1"/>
  <c r="N25" i="126"/>
  <c r="L47" i="126"/>
  <c r="O47" i="126" s="1"/>
  <c r="D29" i="126"/>
  <c r="N29" i="126" s="1"/>
  <c r="O29" i="126" s="1"/>
  <c r="D31" i="126"/>
  <c r="N31" i="126" s="1"/>
  <c r="O31" i="126" s="1"/>
  <c r="D28" i="126"/>
  <c r="N28" i="126" s="1"/>
  <c r="O28" i="126" s="1"/>
  <c r="D26" i="126"/>
  <c r="N26" i="126" s="1"/>
  <c r="O26" i="126" s="1"/>
  <c r="D38" i="126"/>
  <c r="M38" i="126" s="1"/>
  <c r="M53" i="126" s="1"/>
  <c r="O20" i="126"/>
  <c r="J45" i="100"/>
  <c r="N31" i="100"/>
  <c r="O31" i="100" s="1"/>
  <c r="L35" i="100"/>
  <c r="O35" i="100" s="1"/>
  <c r="D38" i="100"/>
  <c r="N38" i="100" s="1"/>
  <c r="O38" i="100" s="1"/>
  <c r="D42" i="100"/>
  <c r="O42" i="100" s="1"/>
  <c r="J20" i="100"/>
  <c r="L34" i="100"/>
  <c r="O34" i="100" s="1"/>
  <c r="D47" i="100"/>
  <c r="N47" i="100" s="1"/>
  <c r="O47" i="100" s="1"/>
  <c r="D37" i="100"/>
  <c r="M37" i="100" s="1"/>
  <c r="M52" i="100" s="1"/>
  <c r="L46" i="100"/>
  <c r="O46" i="100" s="1"/>
  <c r="N20" i="100"/>
  <c r="D35" i="34"/>
  <c r="N35" i="34" s="1"/>
  <c r="O35" i="34" s="1"/>
  <c r="D32" i="34"/>
  <c r="N32" i="34" s="1"/>
  <c r="O32" i="34" s="1"/>
  <c r="D26" i="34"/>
  <c r="N26" i="34" s="1"/>
  <c r="D33" i="34"/>
  <c r="N33" i="34" s="1"/>
  <c r="O33" i="34" s="1"/>
  <c r="D53" i="34"/>
  <c r="N53" i="34" s="1"/>
  <c r="O53" i="34" s="1"/>
  <c r="L39" i="34"/>
  <c r="L41" i="34"/>
  <c r="O41" i="34" s="1"/>
  <c r="L52" i="34"/>
  <c r="O52" i="34" s="1"/>
  <c r="D44" i="34"/>
  <c r="N44" i="34" s="1"/>
  <c r="O44" i="34" s="1"/>
  <c r="D43" i="34"/>
  <c r="M43" i="34" s="1"/>
  <c r="M58" i="34" s="1"/>
  <c r="O63" i="34"/>
  <c r="O39" i="154" l="1"/>
  <c r="O55" i="154" s="1"/>
  <c r="O57" i="154" s="1"/>
  <c r="O60" i="154" s="1"/>
  <c r="N55" i="154"/>
  <c r="N57" i="154" s="1"/>
  <c r="D16" i="40"/>
  <c r="C18" i="40"/>
  <c r="D18" i="40" s="1"/>
  <c r="O38" i="151"/>
  <c r="O56" i="151" s="1"/>
  <c r="N56" i="151"/>
  <c r="N58" i="151" s="1"/>
  <c r="O38" i="153"/>
  <c r="O56" i="153" s="1"/>
  <c r="N56" i="153"/>
  <c r="N58" i="153" s="1"/>
  <c r="O38" i="152"/>
  <c r="O56" i="152" s="1"/>
  <c r="N56" i="152"/>
  <c r="N58" i="152" s="1"/>
  <c r="I25" i="136"/>
  <c r="J25" i="136" s="1"/>
  <c r="D41" i="136"/>
  <c r="C18" i="129"/>
  <c r="D18" i="129" s="1"/>
  <c r="D15" i="40"/>
  <c r="D14" i="40"/>
  <c r="D28" i="40" s="1"/>
  <c r="O60" i="146"/>
  <c r="O62" i="146" s="1"/>
  <c r="O64" i="146"/>
  <c r="O38" i="147"/>
  <c r="O56" i="147" s="1"/>
  <c r="N56" i="147"/>
  <c r="N58" i="147" s="1"/>
  <c r="O38" i="149"/>
  <c r="O56" i="149" s="1"/>
  <c r="N56" i="149"/>
  <c r="N58" i="149" s="1"/>
  <c r="O38" i="148"/>
  <c r="O56" i="148" s="1"/>
  <c r="N56" i="148"/>
  <c r="N58" i="148" s="1"/>
  <c r="D19" i="40"/>
  <c r="O38" i="145"/>
  <c r="O56" i="145" s="1"/>
  <c r="N56" i="145"/>
  <c r="N58" i="145" s="1"/>
  <c r="O38" i="144"/>
  <c r="O56" i="144" s="1"/>
  <c r="N56" i="144"/>
  <c r="N58" i="144" s="1"/>
  <c r="D29" i="40"/>
  <c r="N29" i="40" s="1"/>
  <c r="O29" i="40" s="1"/>
  <c r="D18" i="136"/>
  <c r="D28" i="136" s="1"/>
  <c r="N28" i="136" s="1"/>
  <c r="O28" i="136" s="1"/>
  <c r="D14" i="130"/>
  <c r="D44" i="130" s="1"/>
  <c r="D27" i="136"/>
  <c r="D14" i="139"/>
  <c r="D16" i="139"/>
  <c r="D15" i="139"/>
  <c r="D17" i="142"/>
  <c r="D19" i="142"/>
  <c r="D15" i="142"/>
  <c r="D16" i="142"/>
  <c r="D14" i="142"/>
  <c r="D15" i="129"/>
  <c r="D28" i="129" s="1"/>
  <c r="M45" i="129" s="1"/>
  <c r="O45" i="129" s="1"/>
  <c r="D19" i="129"/>
  <c r="D17" i="129"/>
  <c r="D16" i="129"/>
  <c r="D60" i="129" s="1"/>
  <c r="N60" i="129" s="1"/>
  <c r="O60" i="129" s="1"/>
  <c r="D19" i="141"/>
  <c r="D14" i="141"/>
  <c r="D15" i="141"/>
  <c r="D16" i="141"/>
  <c r="D17" i="141"/>
  <c r="D15" i="130"/>
  <c r="D16" i="130"/>
  <c r="D59" i="130" s="1"/>
  <c r="N59" i="130" s="1"/>
  <c r="O59" i="130" s="1"/>
  <c r="D14" i="138"/>
  <c r="D16" i="138"/>
  <c r="D15" i="138"/>
  <c r="D17" i="130"/>
  <c r="D18" i="142"/>
  <c r="D34" i="136"/>
  <c r="N34" i="136" s="1"/>
  <c r="L31" i="119"/>
  <c r="O31" i="119" s="1"/>
  <c r="N35" i="133"/>
  <c r="O35" i="133" s="1"/>
  <c r="O40" i="141"/>
  <c r="N42" i="130"/>
  <c r="O42" i="130" s="1"/>
  <c r="N39" i="136"/>
  <c r="O39" i="136" s="1"/>
  <c r="O22" i="37"/>
  <c r="O23" i="37" s="1"/>
  <c r="N23" i="37"/>
  <c r="D41" i="37" s="1"/>
  <c r="N41" i="37" s="1"/>
  <c r="O41" i="37" s="1"/>
  <c r="O21" i="126"/>
  <c r="N27" i="127"/>
  <c r="O37" i="140"/>
  <c r="O59" i="140" s="1"/>
  <c r="O61" i="140" s="1"/>
  <c r="N59" i="140"/>
  <c r="N61" i="140" s="1"/>
  <c r="L62" i="130"/>
  <c r="L64" i="130" s="1"/>
  <c r="O71" i="130" s="1"/>
  <c r="L59" i="127"/>
  <c r="L61" i="127" s="1"/>
  <c r="O69" i="127" s="1"/>
  <c r="L56" i="138"/>
  <c r="L58" i="138" s="1"/>
  <c r="O65" i="138" s="1"/>
  <c r="O29" i="139"/>
  <c r="O29" i="138"/>
  <c r="N38" i="128"/>
  <c r="O38" i="128" s="1"/>
  <c r="N34" i="130"/>
  <c r="O34" i="130" s="1"/>
  <c r="O39" i="128"/>
  <c r="D40" i="119"/>
  <c r="N40" i="119" s="1"/>
  <c r="O40" i="119" s="1"/>
  <c r="N43" i="129"/>
  <c r="O43" i="129" s="1"/>
  <c r="D39" i="119"/>
  <c r="N39" i="119" s="1"/>
  <c r="O39" i="119" s="1"/>
  <c r="N43" i="40"/>
  <c r="O43" i="40" s="1"/>
  <c r="O39" i="127"/>
  <c r="D37" i="136"/>
  <c r="N37" i="136" s="1"/>
  <c r="O37" i="136" s="1"/>
  <c r="L56" i="128"/>
  <c r="L58" i="128" s="1"/>
  <c r="O66" i="128" s="1"/>
  <c r="O38" i="37"/>
  <c r="N22" i="128"/>
  <c r="O22" i="128" s="1"/>
  <c r="L40" i="129"/>
  <c r="L63" i="129" s="1"/>
  <c r="L65" i="129" s="1"/>
  <c r="O72" i="129" s="1"/>
  <c r="D30" i="119"/>
  <c r="N30" i="119" s="1"/>
  <c r="O30" i="119" s="1"/>
  <c r="N35" i="40"/>
  <c r="O35" i="40" s="1"/>
  <c r="D40" i="126"/>
  <c r="N40" i="126" s="1"/>
  <c r="O40" i="126" s="1"/>
  <c r="O36" i="119"/>
  <c r="N35" i="129"/>
  <c r="O35" i="129" s="1"/>
  <c r="L33" i="100"/>
  <c r="M59" i="127"/>
  <c r="M61" i="127" s="1"/>
  <c r="L33" i="126"/>
  <c r="D32" i="126"/>
  <c r="N32" i="126" s="1"/>
  <c r="O32" i="126" s="1"/>
  <c r="D44" i="126"/>
  <c r="N44" i="126" s="1"/>
  <c r="O44" i="126" s="1"/>
  <c r="D29" i="119"/>
  <c r="N29" i="119" s="1"/>
  <c r="O29" i="119" s="1"/>
  <c r="L58" i="34"/>
  <c r="L60" i="34" s="1"/>
  <c r="O68" i="34" s="1"/>
  <c r="D41" i="126"/>
  <c r="N41" i="126" s="1"/>
  <c r="O41" i="126" s="1"/>
  <c r="O25" i="126"/>
  <c r="D37" i="130"/>
  <c r="N37" i="130" s="1"/>
  <c r="O37" i="130" s="1"/>
  <c r="N21" i="132"/>
  <c r="D36" i="132" s="1"/>
  <c r="N36" i="132" s="1"/>
  <c r="O36" i="132" s="1"/>
  <c r="D43" i="119"/>
  <c r="O43" i="119" s="1"/>
  <c r="N26" i="119"/>
  <c r="O26" i="119" s="1"/>
  <c r="D27" i="40"/>
  <c r="D60" i="40"/>
  <c r="N60" i="40" s="1"/>
  <c r="O60" i="40" s="1"/>
  <c r="D42" i="119"/>
  <c r="O42" i="119" s="1"/>
  <c r="N25" i="119"/>
  <c r="O40" i="40"/>
  <c r="L63" i="40"/>
  <c r="L65" i="40" s="1"/>
  <c r="O72" i="40" s="1"/>
  <c r="D26" i="136"/>
  <c r="L56" i="136"/>
  <c r="L58" i="136" s="1"/>
  <c r="O65" i="136" s="1"/>
  <c r="L53" i="133"/>
  <c r="O61" i="133" s="1"/>
  <c r="O24" i="133"/>
  <c r="O36" i="133"/>
  <c r="M51" i="133"/>
  <c r="M53" i="133" s="1"/>
  <c r="N24" i="133"/>
  <c r="O21" i="132"/>
  <c r="O34" i="132"/>
  <c r="M47" i="132"/>
  <c r="M49" i="132" s="1"/>
  <c r="N27" i="131"/>
  <c r="D38" i="131" s="1"/>
  <c r="N38" i="131" s="1"/>
  <c r="O38" i="131" s="1"/>
  <c r="O40" i="131"/>
  <c r="M53" i="131"/>
  <c r="M55" i="131" s="1"/>
  <c r="L53" i="131"/>
  <c r="L55" i="131" s="1"/>
  <c r="O63" i="131" s="1"/>
  <c r="O27" i="131"/>
  <c r="O58" i="131"/>
  <c r="O39" i="130"/>
  <c r="D50" i="130"/>
  <c r="O50" i="130" s="1"/>
  <c r="N33" i="130"/>
  <c r="O43" i="130"/>
  <c r="D51" i="129"/>
  <c r="O51" i="129" s="1"/>
  <c r="N34" i="129"/>
  <c r="D38" i="129"/>
  <c r="N38" i="129" s="1"/>
  <c r="O38" i="129" s="1"/>
  <c r="O44" i="129"/>
  <c r="D38" i="40"/>
  <c r="N38" i="40" s="1"/>
  <c r="O38" i="40" s="1"/>
  <c r="N36" i="40"/>
  <c r="O36" i="40" s="1"/>
  <c r="N34" i="40"/>
  <c r="O34" i="40" s="1"/>
  <c r="D51" i="40"/>
  <c r="O51" i="40" s="1"/>
  <c r="O27" i="119"/>
  <c r="L34" i="37"/>
  <c r="L55" i="37" s="1"/>
  <c r="J34" i="37"/>
  <c r="O38" i="126"/>
  <c r="M55" i="126"/>
  <c r="O20" i="100"/>
  <c r="O21" i="100" s="1"/>
  <c r="N21" i="100"/>
  <c r="D30" i="100" s="1"/>
  <c r="O37" i="100"/>
  <c r="M54" i="100"/>
  <c r="O43" i="34"/>
  <c r="M60" i="34"/>
  <c r="O39" i="34"/>
  <c r="N27" i="34"/>
  <c r="O26" i="34"/>
  <c r="O27" i="34" s="1"/>
  <c r="O62" i="154" l="1"/>
  <c r="O64" i="154"/>
  <c r="O61" i="152"/>
  <c r="O58" i="152"/>
  <c r="O61" i="153"/>
  <c r="O58" i="153"/>
  <c r="O61" i="151"/>
  <c r="O58" i="151"/>
  <c r="O58" i="148"/>
  <c r="O61" i="148"/>
  <c r="O58" i="147"/>
  <c r="O61" i="147"/>
  <c r="O61" i="149"/>
  <c r="O58" i="149"/>
  <c r="O58" i="144"/>
  <c r="O61" i="144"/>
  <c r="O61" i="145"/>
  <c r="O58" i="145"/>
  <c r="D27" i="130"/>
  <c r="M44" i="130" s="1"/>
  <c r="D29" i="129"/>
  <c r="N29" i="129" s="1"/>
  <c r="O29" i="129" s="1"/>
  <c r="N27" i="136"/>
  <c r="O27" i="136" s="1"/>
  <c r="M41" i="136"/>
  <c r="O41" i="136" s="1"/>
  <c r="I25" i="130"/>
  <c r="N25" i="130" s="1"/>
  <c r="O25" i="130" s="1"/>
  <c r="D47" i="40"/>
  <c r="N47" i="40" s="1"/>
  <c r="O47" i="40" s="1"/>
  <c r="M45" i="40"/>
  <c r="O45" i="40" s="1"/>
  <c r="D29" i="142"/>
  <c r="N29" i="142" s="1"/>
  <c r="O29" i="142" s="1"/>
  <c r="D29" i="141"/>
  <c r="N29" i="141" s="1"/>
  <c r="O29" i="141" s="1"/>
  <c r="D18" i="130"/>
  <c r="D28" i="130" s="1"/>
  <c r="N28" i="130" s="1"/>
  <c r="O28" i="130" s="1"/>
  <c r="D26" i="130"/>
  <c r="D27" i="129"/>
  <c r="N28" i="40"/>
  <c r="N30" i="40" s="1"/>
  <c r="D48" i="40" s="1"/>
  <c r="D43" i="136"/>
  <c r="N43" i="136" s="1"/>
  <c r="O43" i="136" s="1"/>
  <c r="D28" i="142"/>
  <c r="D28" i="141"/>
  <c r="D53" i="138"/>
  <c r="N53" i="138" s="1"/>
  <c r="O53" i="138" s="1"/>
  <c r="D24" i="138"/>
  <c r="N24" i="138" s="1"/>
  <c r="D54" i="141"/>
  <c r="N54" i="141" s="1"/>
  <c r="O54" i="141" s="1"/>
  <c r="D27" i="141"/>
  <c r="D53" i="139"/>
  <c r="N53" i="139" s="1"/>
  <c r="O53" i="139" s="1"/>
  <c r="D24" i="139"/>
  <c r="N24" i="139" s="1"/>
  <c r="D54" i="142"/>
  <c r="N54" i="142" s="1"/>
  <c r="O54" i="142" s="1"/>
  <c r="D27" i="142"/>
  <c r="D38" i="127"/>
  <c r="N38" i="127" s="1"/>
  <c r="O38" i="127" s="1"/>
  <c r="D36" i="127"/>
  <c r="N36" i="127" s="1"/>
  <c r="O36" i="127" s="1"/>
  <c r="D50" i="127"/>
  <c r="N50" i="127" s="1"/>
  <c r="O50" i="127" s="1"/>
  <c r="N25" i="136"/>
  <c r="D47" i="129"/>
  <c r="N47" i="129" s="1"/>
  <c r="O47" i="129" s="1"/>
  <c r="N28" i="129"/>
  <c r="O28" i="129" s="1"/>
  <c r="D47" i="127"/>
  <c r="N47" i="127" s="1"/>
  <c r="O47" i="127" s="1"/>
  <c r="L54" i="119"/>
  <c r="L56" i="119" s="1"/>
  <c r="D46" i="127"/>
  <c r="N46" i="127" s="1"/>
  <c r="O46" i="127" s="1"/>
  <c r="O66" i="140"/>
  <c r="O68" i="140"/>
  <c r="M63" i="129"/>
  <c r="M65" i="129" s="1"/>
  <c r="D30" i="132"/>
  <c r="N30" i="132" s="1"/>
  <c r="O30" i="132" s="1"/>
  <c r="L52" i="100"/>
  <c r="L54" i="100" s="1"/>
  <c r="O61" i="100" s="1"/>
  <c r="D42" i="131"/>
  <c r="N42" i="131" s="1"/>
  <c r="O42" i="131" s="1"/>
  <c r="O40" i="129"/>
  <c r="D45" i="37"/>
  <c r="N45" i="37" s="1"/>
  <c r="O45" i="37" s="1"/>
  <c r="D33" i="37"/>
  <c r="N33" i="37" s="1"/>
  <c r="O33" i="37" s="1"/>
  <c r="D43" i="131"/>
  <c r="N43" i="131" s="1"/>
  <c r="O43" i="131" s="1"/>
  <c r="O33" i="100"/>
  <c r="D42" i="37"/>
  <c r="N42" i="37" s="1"/>
  <c r="O42" i="37" s="1"/>
  <c r="O23" i="128"/>
  <c r="N23" i="128"/>
  <c r="L53" i="126"/>
  <c r="L55" i="126" s="1"/>
  <c r="O63" i="126" s="1"/>
  <c r="O33" i="126"/>
  <c r="O53" i="126" s="1"/>
  <c r="O55" i="126" s="1"/>
  <c r="O62" i="126" s="1"/>
  <c r="N53" i="126"/>
  <c r="N55" i="126" s="1"/>
  <c r="D32" i="132"/>
  <c r="N32" i="132" s="1"/>
  <c r="O32" i="132" s="1"/>
  <c r="D39" i="132"/>
  <c r="N39" i="132" s="1"/>
  <c r="O39" i="132" s="1"/>
  <c r="O25" i="119"/>
  <c r="O54" i="119" s="1"/>
  <c r="O56" i="119" s="1"/>
  <c r="N54" i="119"/>
  <c r="N56" i="119" s="1"/>
  <c r="D37" i="132"/>
  <c r="N37" i="132" s="1"/>
  <c r="O37" i="132" s="1"/>
  <c r="O34" i="136"/>
  <c r="D34" i="133"/>
  <c r="N34" i="133" s="1"/>
  <c r="D40" i="133"/>
  <c r="N40" i="133" s="1"/>
  <c r="O40" i="133" s="1"/>
  <c r="D42" i="133"/>
  <c r="N42" i="133" s="1"/>
  <c r="O42" i="133" s="1"/>
  <c r="D39" i="133"/>
  <c r="N39" i="133" s="1"/>
  <c r="O39" i="133" s="1"/>
  <c r="L47" i="132"/>
  <c r="L49" i="132" s="1"/>
  <c r="O56" i="132" s="1"/>
  <c r="D45" i="131"/>
  <c r="N45" i="131" s="1"/>
  <c r="O45" i="131" s="1"/>
  <c r="D36" i="131"/>
  <c r="N36" i="131" s="1"/>
  <c r="O36" i="131" s="1"/>
  <c r="O33" i="130"/>
  <c r="O34" i="129"/>
  <c r="O34" i="37"/>
  <c r="L57" i="37"/>
  <c r="O65" i="37" s="1"/>
  <c r="D40" i="100"/>
  <c r="N40" i="100" s="1"/>
  <c r="O40" i="100" s="1"/>
  <c r="N30" i="100"/>
  <c r="D39" i="100"/>
  <c r="N39" i="100" s="1"/>
  <c r="O39" i="100" s="1"/>
  <c r="D43" i="100"/>
  <c r="N43" i="100" s="1"/>
  <c r="O43" i="100" s="1"/>
  <c r="D32" i="100"/>
  <c r="N32" i="100" s="1"/>
  <c r="O32" i="100" s="1"/>
  <c r="D49" i="34"/>
  <c r="N49" i="34" s="1"/>
  <c r="O49" i="34" s="1"/>
  <c r="D46" i="34"/>
  <c r="N46" i="34" s="1"/>
  <c r="O46" i="34" s="1"/>
  <c r="D45" i="34"/>
  <c r="N45" i="34" s="1"/>
  <c r="O45" i="34" s="1"/>
  <c r="D36" i="34"/>
  <c r="N36" i="34" s="1"/>
  <c r="D38" i="34"/>
  <c r="N38" i="34" s="1"/>
  <c r="O38" i="34" s="1"/>
  <c r="O63" i="151" l="1"/>
  <c r="O65" i="151"/>
  <c r="O63" i="153"/>
  <c r="O65" i="153"/>
  <c r="O63" i="152"/>
  <c r="O65" i="152"/>
  <c r="O65" i="149"/>
  <c r="O63" i="149"/>
  <c r="O65" i="147"/>
  <c r="O63" i="147"/>
  <c r="O65" i="148"/>
  <c r="O63" i="148"/>
  <c r="M56" i="136"/>
  <c r="M58" i="136" s="1"/>
  <c r="O65" i="145"/>
  <c r="O63" i="145"/>
  <c r="O63" i="144"/>
  <c r="O65" i="144"/>
  <c r="N27" i="130"/>
  <c r="O27" i="130" s="1"/>
  <c r="O29" i="130" s="1"/>
  <c r="D46" i="130"/>
  <c r="N46" i="130" s="1"/>
  <c r="O46" i="130" s="1"/>
  <c r="J25" i="130"/>
  <c r="N29" i="136"/>
  <c r="D44" i="136" s="1"/>
  <c r="D44" i="141"/>
  <c r="N44" i="141" s="1"/>
  <c r="O44" i="141" s="1"/>
  <c r="D42" i="141"/>
  <c r="M42" i="141" s="1"/>
  <c r="D44" i="142"/>
  <c r="N44" i="142" s="1"/>
  <c r="O44" i="142" s="1"/>
  <c r="D42" i="142"/>
  <c r="M42" i="142" s="1"/>
  <c r="M63" i="40"/>
  <c r="M65" i="40" s="1"/>
  <c r="O25" i="136"/>
  <c r="O29" i="136" s="1"/>
  <c r="D49" i="40"/>
  <c r="O30" i="129"/>
  <c r="N49" i="40"/>
  <c r="O49" i="40" s="1"/>
  <c r="D39" i="40"/>
  <c r="N39" i="40" s="1"/>
  <c r="O39" i="40" s="1"/>
  <c r="N53" i="40"/>
  <c r="O53" i="40" s="1"/>
  <c r="D53" i="40"/>
  <c r="N48" i="40"/>
  <c r="O48" i="40" s="1"/>
  <c r="O28" i="40"/>
  <c r="O30" i="40" s="1"/>
  <c r="N28" i="142"/>
  <c r="O28" i="142" s="1"/>
  <c r="O30" i="142" s="1"/>
  <c r="O24" i="139"/>
  <c r="O25" i="139" s="1"/>
  <c r="N25" i="139"/>
  <c r="O24" i="138"/>
  <c r="O25" i="138" s="1"/>
  <c r="N25" i="138"/>
  <c r="N28" i="141"/>
  <c r="N30" i="129"/>
  <c r="N53" i="129" s="1"/>
  <c r="O53" i="129" s="1"/>
  <c r="O59" i="127"/>
  <c r="O61" i="127" s="1"/>
  <c r="O68" i="127" s="1"/>
  <c r="N59" i="127"/>
  <c r="N61" i="127" s="1"/>
  <c r="O44" i="130"/>
  <c r="M62" i="130"/>
  <c r="M64" i="130" s="1"/>
  <c r="O59" i="119"/>
  <c r="O61" i="119" s="1"/>
  <c r="N55" i="37"/>
  <c r="N57" i="37" s="1"/>
  <c r="D33" i="128"/>
  <c r="N33" i="128" s="1"/>
  <c r="D43" i="128"/>
  <c r="N43" i="128" s="1"/>
  <c r="O43" i="128" s="1"/>
  <c r="D46" i="128"/>
  <c r="N46" i="128" s="1"/>
  <c r="O46" i="128" s="1"/>
  <c r="D42" i="128"/>
  <c r="N42" i="128" s="1"/>
  <c r="O42" i="128" s="1"/>
  <c r="N47" i="132"/>
  <c r="N49" i="132" s="1"/>
  <c r="O47" i="132"/>
  <c r="O49" i="132" s="1"/>
  <c r="O51" i="132" s="1"/>
  <c r="O58" i="126"/>
  <c r="O60" i="126" s="1"/>
  <c r="N58" i="34"/>
  <c r="N60" i="34" s="1"/>
  <c r="O55" i="37"/>
  <c r="O60" i="37" s="1"/>
  <c r="N52" i="100"/>
  <c r="N54" i="100" s="1"/>
  <c r="O34" i="133"/>
  <c r="O51" i="133" s="1"/>
  <c r="N51" i="133"/>
  <c r="N53" i="133" s="1"/>
  <c r="O53" i="131"/>
  <c r="O55" i="131" s="1"/>
  <c r="O62" i="131" s="1"/>
  <c r="N53" i="131"/>
  <c r="N55" i="131" s="1"/>
  <c r="O63" i="119"/>
  <c r="O30" i="100"/>
  <c r="O36" i="34"/>
  <c r="N47" i="136" l="1"/>
  <c r="O47" i="136" s="1"/>
  <c r="N29" i="130"/>
  <c r="N48" i="130" s="1"/>
  <c r="O48" i="130" s="1"/>
  <c r="D38" i="136"/>
  <c r="N38" i="136" s="1"/>
  <c r="O38" i="136" s="1"/>
  <c r="D45" i="136"/>
  <c r="N44" i="136"/>
  <c r="O44" i="136" s="1"/>
  <c r="N45" i="136"/>
  <c r="O45" i="136" s="1"/>
  <c r="D47" i="136"/>
  <c r="O42" i="142"/>
  <c r="M57" i="142"/>
  <c r="M59" i="142" s="1"/>
  <c r="O42" i="141"/>
  <c r="M57" i="141"/>
  <c r="M59" i="141" s="1"/>
  <c r="N63" i="40"/>
  <c r="N65" i="40" s="1"/>
  <c r="N30" i="142"/>
  <c r="N46" i="142" s="1"/>
  <c r="O46" i="142" s="1"/>
  <c r="N41" i="138"/>
  <c r="O41" i="138" s="1"/>
  <c r="D42" i="138"/>
  <c r="D34" i="138"/>
  <c r="N34" i="138" s="1"/>
  <c r="D41" i="138"/>
  <c r="N42" i="138"/>
  <c r="O42" i="138" s="1"/>
  <c r="N46" i="138"/>
  <c r="O46" i="138" s="1"/>
  <c r="D46" i="138"/>
  <c r="D42" i="139"/>
  <c r="N46" i="139"/>
  <c r="O46" i="139" s="1"/>
  <c r="D41" i="139"/>
  <c r="D46" i="139"/>
  <c r="D34" i="139"/>
  <c r="N34" i="139" s="1"/>
  <c r="N41" i="139"/>
  <c r="O41" i="139" s="1"/>
  <c r="N42" i="139"/>
  <c r="O42" i="139" s="1"/>
  <c r="O28" i="141"/>
  <c r="O30" i="141" s="1"/>
  <c r="N30" i="141"/>
  <c r="D49" i="129"/>
  <c r="D48" i="129"/>
  <c r="D53" i="129"/>
  <c r="O66" i="127"/>
  <c r="D39" i="129"/>
  <c r="N39" i="129" s="1"/>
  <c r="O39" i="129" s="1"/>
  <c r="N49" i="129"/>
  <c r="O49" i="129" s="1"/>
  <c r="N48" i="129"/>
  <c r="O48" i="129" s="1"/>
  <c r="O53" i="132"/>
  <c r="O57" i="37"/>
  <c r="O62" i="37" s="1"/>
  <c r="O55" i="132"/>
  <c r="O33" i="128"/>
  <c r="O56" i="128" s="1"/>
  <c r="N56" i="128"/>
  <c r="N58" i="128" s="1"/>
  <c r="O58" i="34"/>
  <c r="O60" i="34" s="1"/>
  <c r="O56" i="133"/>
  <c r="O53" i="133"/>
  <c r="O60" i="131"/>
  <c r="O52" i="100"/>
  <c r="O54" i="100" s="1"/>
  <c r="O56" i="100" s="1"/>
  <c r="O63" i="40"/>
  <c r="O65" i="40" s="1"/>
  <c r="D52" i="130" l="1"/>
  <c r="N47" i="130"/>
  <c r="O47" i="130" s="1"/>
  <c r="D47" i="130"/>
  <c r="N52" i="130"/>
  <c r="O52" i="130" s="1"/>
  <c r="D38" i="130"/>
  <c r="N38" i="130" s="1"/>
  <c r="D48" i="130"/>
  <c r="O56" i="136"/>
  <c r="O60" i="136" s="1"/>
  <c r="N56" i="136"/>
  <c r="N58" i="136" s="1"/>
  <c r="D39" i="142"/>
  <c r="N39" i="142" s="1"/>
  <c r="O39" i="142" s="1"/>
  <c r="D46" i="142"/>
  <c r="D48" i="142"/>
  <c r="N45" i="142"/>
  <c r="O45" i="142" s="1"/>
  <c r="D45" i="142"/>
  <c r="N48" i="142"/>
  <c r="O48" i="142" s="1"/>
  <c r="D39" i="141"/>
  <c r="N39" i="141" s="1"/>
  <c r="N48" i="141"/>
  <c r="O48" i="141" s="1"/>
  <c r="N46" i="141"/>
  <c r="O46" i="141" s="1"/>
  <c r="N45" i="141"/>
  <c r="O45" i="141" s="1"/>
  <c r="D48" i="141"/>
  <c r="D46" i="141"/>
  <c r="D45" i="141"/>
  <c r="O34" i="139"/>
  <c r="O56" i="139" s="1"/>
  <c r="N56" i="139"/>
  <c r="N58" i="139" s="1"/>
  <c r="O34" i="138"/>
  <c r="O56" i="138" s="1"/>
  <c r="N56" i="138"/>
  <c r="N58" i="138" s="1"/>
  <c r="O63" i="129"/>
  <c r="O65" i="129" s="1"/>
  <c r="N63" i="129"/>
  <c r="N65" i="129" s="1"/>
  <c r="O64" i="37"/>
  <c r="O38" i="130"/>
  <c r="O62" i="130" s="1"/>
  <c r="N62" i="130"/>
  <c r="N64" i="130" s="1"/>
  <c r="O61" i="128"/>
  <c r="O58" i="128"/>
  <c r="O67" i="34"/>
  <c r="O65" i="34"/>
  <c r="O58" i="133"/>
  <c r="O60" i="133"/>
  <c r="O60" i="100"/>
  <c r="O58" i="100"/>
  <c r="O67" i="40"/>
  <c r="O69" i="40" s="1"/>
  <c r="O71" i="40" s="1"/>
  <c r="O58" i="136" l="1"/>
  <c r="O62" i="136" s="1"/>
  <c r="O64" i="136" s="1"/>
  <c r="N57" i="142"/>
  <c r="N59" i="142" s="1"/>
  <c r="O57" i="142"/>
  <c r="O61" i="142" s="1"/>
  <c r="O58" i="138"/>
  <c r="O60" i="138"/>
  <c r="O39" i="141"/>
  <c r="O57" i="141" s="1"/>
  <c r="N57" i="141"/>
  <c r="N59" i="141" s="1"/>
  <c r="O60" i="139"/>
  <c r="O58" i="139"/>
  <c r="O67" i="129"/>
  <c r="O69" i="129" s="1"/>
  <c r="O71" i="129" s="1"/>
  <c r="O66" i="130"/>
  <c r="O64" i="130"/>
  <c r="O63" i="128"/>
  <c r="O65" i="128"/>
  <c r="O59" i="142" l="1"/>
  <c r="O63" i="142" s="1"/>
  <c r="O65" i="142" s="1"/>
  <c r="O62" i="139"/>
  <c r="O64" i="139" s="1"/>
  <c r="O62" i="138"/>
  <c r="O64" i="138" s="1"/>
  <c r="O59" i="141"/>
  <c r="O61" i="141"/>
  <c r="O68" i="130"/>
  <c r="O70" i="130" s="1"/>
  <c r="O63" i="141" l="1"/>
  <c r="O65" i="1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<sst xmlns="http://schemas.openxmlformats.org/spreadsheetml/2006/main" count="4781" uniqueCount="341">
  <si>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</si>
  <si>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</si>
  <si>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</si>
  <si>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</si>
  <si>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</si>
  <si>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</si>
  <si>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</si>
  <si>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</si>
  <si>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</si>
  <si>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</si>
  <si>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</si>
  <si>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</si>
  <si>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</si>
  <si>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</si>
  <si>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</si>
  <si>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</si>
  <si>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</si>
  <si>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</si>
  <si>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</si>
  <si>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</si>
  <si>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</si>
  <si>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</si>
  <si>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</si>
  <si>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</si>
  <si>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</si>
  <si>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</si>
  <si>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</si>
  <si>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</si>
  <si>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</si>
  <si>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</si>
  <si>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</si>
  <si>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</si>
  <si>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</si>
  <si>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</si>
  <si>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</si>
  <si>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</si>
  <si>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</si>
  <si>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</si>
  <si>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</si>
  <si>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</si>
  <si>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</si>
  <si>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</si>
  <si>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</si>
  <si>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</si>
  <si>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</si>
  <si>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</si>
  <si>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</si>
  <si>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</si>
  <si>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</si>
  <si>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</si>
  <si>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</si>
  <si>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</si>
  <si>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</si>
  <si>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</si>
  <si>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</si>
  <si>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</si>
  <si>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</si>
  <si>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</si>
  <si>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</si>
  <si>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</si>
  <si>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</si>
  <si>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</si>
  <si>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</si>
  <si>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</si>
  <si>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</si>
  <si>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</si>
  <si>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</si>
  <si>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</si>
  <si>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</si>
  <si>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</si>
  <si>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</si>
  <si>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</si>
  <si>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</si>
  <si>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</si>
  <si>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</si>
  <si>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</si>
  <si>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</si>
  <si>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</si>
  <si>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</si>
  <si>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</si>
  <si>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</si>
  <si>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</si>
  <si>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</si>
  <si>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</si>
  <si>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</si>
  <si>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</si>
  <si>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</si>
  <si>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</si>
  <si>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</si>
  <si>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</si>
  <si>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</si>
  <si>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</si>
  <si>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</si>
  <si>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</si>
  <si>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</si>
  <si>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</si>
  <si>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</si>
  <si>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</si>
  <si>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</si>
  <si>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</si>
  <si>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</si>
  <si>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</si>
  <si>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</si>
  <si>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</si>
  <si>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</si>
  <si>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</si>
  <si>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</si>
  <si>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</si>
  <si>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</si>
  <si>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</si>
  <si>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</si>
  <si>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</si>
  <si>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</si>
  <si>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</si>
  <si>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</si>
  <si>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</si>
  <si>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</si>
  <si>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</si>
  <si>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</si>
  <si>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</si>
  <si>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</si>
  <si>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</si>
  <si>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</si>
  <si>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</si>
  <si>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</si>
  <si>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</si>
  <si>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</si>
  <si>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</si>
  <si>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</si>
  <si>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</si>
  <si>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</si>
  <si>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</si>
  <si>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</si>
  <si>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</si>
  <si>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</si>
  <si>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</si>
  <si>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</si>
  <si>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</si>
  <si>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</si>
  <si>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</si>
  <si>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</si>
  <si>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</si>
  <si>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</si>
  <si>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</si>
  <si>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</si>
  <si>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</si>
  <si>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</si>
  <si>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</si>
  <si>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Energy Efficiency and Peak Demand Reduction Cost Recovery Rider (kWh)</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</si>
  <si>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</si>
  <si>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</si>
  <si>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</si>
  <si>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</si>
  <si>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</si>
  <si>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</si>
  <si>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</si>
  <si>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</si>
  <si>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</si>
  <si>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</si>
  <si>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</si>
  <si>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</si>
  <si>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</si>
  <si>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</si>
  <si>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</si>
  <si>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</si>
  <si>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</si>
  <si>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</si>
  <si>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</si>
  <si>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</si>
  <si>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</si>
  <si>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</si>
  <si>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</si>
  <si>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</si>
  <si>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</si>
  <si>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</si>
  <si>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</si>
  <si>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</si>
  <si>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</si>
  <si>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</si>
  <si>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</si>
  <si>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</si>
  <si>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</si>
  <si>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</si>
  <si>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</si>
  <si>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</si>
  <si>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</si>
  <si>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</si>
  <si>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</si>
  <si>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</si>
  <si>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</si>
  <si>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</si>
  <si>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</si>
  <si>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</si>
  <si>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</si>
  <si>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</si>
  <si>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</si>
  <si>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</si>
  <si>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</si>
  <si>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</si>
  <si>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</si>
  <si>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</si>
  <si>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</si>
  <si>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</si>
  <si>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</si>
  <si>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</si>
  <si>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</si>
  <si>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</si>
  <si>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</si>
  <si>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</si>
  <si>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</si>
  <si>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</si>
  <si>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</si>
  <si>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</si>
  <si>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</si>
  <si>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</si>
  <si>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</si>
  <si>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</si>
  <si>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</si>
  <si>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</si>
  <si>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</si>
  <si>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</si>
  <si>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</si>
  <si>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</si>
  <si>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</si>
  <si>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</si>
  <si>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</si>
  <si>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</si>
  <si>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</si>
  <si>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</si>
  <si>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</si>
  <si>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</si>
  <si>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</si>
  <si>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</si>
  <si>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</si>
  <si>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</si>
  <si>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</si>
  <si>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</si>
  <si>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</si>
  <si>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</si>
  <si>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</si>
  <si>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</si>
  <si>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</si>
  <si>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</si>
  <si>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</si>
  <si>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</si>
  <si>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</si>
  <si>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</si>
  <si>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</si>
  <si>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</si>
  <si>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</si>
  <si>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</si>
  <si>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</si>
  <si>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</si>
  <si>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</si>
  <si>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</si>
  <si>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</si>
  <si>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</si>
  <si>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</si>
  <si>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</si>
  <si>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</si>
  <si>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</si>
  <si>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</si>
  <si>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</si>
  <si>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</si>
  <si>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</si>
  <si>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</si>
  <si>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</si>
  <si>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</si>
  <si>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</si>
  <si>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</si>
  <si>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</si>
  <si>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</si>
  <si>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</si>
  <si>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Capacity:</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</si>
  <si>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</si>
  <si>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</si>
  <si>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</si>
  <si>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</si>
  <si>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</si>
  <si>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</si>
  <si>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</si>
  <si>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</si>
  <si>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</si>
  <si>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</si>
  <si>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</si>
  <si>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</si>
  <si>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</si>
  <si>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</si>
  <si>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</si>
  <si>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</si>
  <si>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</si>
  <si>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</si>
  <si>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</si>
  <si>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</si>
  <si>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</si>
  <si>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</si>
  <si>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</si>
  <si>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</si>
  <si>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</si>
  <si>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</si>
  <si>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</si>
  <si>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Smart City Rider - </t>
    </r>
    <r>
      <rPr>
        <sz val="9"/>
        <rFont val="Arial"/>
        <family val="2"/>
      </rPr>
      <t>This rider allows the Company to recover costs associated with Smart City technologies.</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</si>
  <si>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</si>
  <si>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</si>
  <si>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</si>
  <si>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</si>
  <si>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</si>
  <si>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</si>
  <si>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</si>
  <si>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</si>
  <si>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</si>
  <si>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</si>
  <si>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</si>
  <si>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</si>
  <si>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</si>
  <si>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</si>
  <si>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</si>
  <si>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</si>
  <si>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</si>
  <si>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Revised 6/28/2024</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</si>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</sst>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_(&quot;$&quot;* #,##0.00000000_);_(&quot;$&quot;* \(#,##0.00000000\);_(&quot;$&quot;* &quot;-&quot;??_);_(@_)"/>
    <numFmt numFmtId="188" formatCode="m/d/yyyy;@"/>
    <numFmt numFmtId="189"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3">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8"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9"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187" fontId="6" fillId="0" borderId="0" xfId="10" applyNumberFormat="1" applyFont="1" applyFill="1" applyBorder="1" applyAlignment="1">
      <alignment horizont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7" fontId="2" fillId="0" borderId="0" xfId="0" applyNumberFormat="1" applyFont="1" applyFill="1" applyBorder="1" applyAlignment="1">
      <alignment horizontal="center"/>
    </xf>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175" fontId="1" fillId="0" borderId="1" xfId="10" applyNumberFormat="1" applyFont="1" applyFill="1" applyBorder="1"/>
    <xf numFmtId="165" fontId="2" fillId="0" borderId="0" xfId="21" applyNumberFormat="1" applyFont="1" applyFill="1" applyBorder="1" applyAlignment="1">
      <alignment horizontal="center"/>
    </xf>
    <xf numFmtId="44" fontId="1" fillId="0" borderId="0" xfId="10" applyFill="1" applyBorder="1"/>
    <xf numFmtId="165" fontId="42" fillId="0" borderId="0" xfId="22" applyNumberFormat="1" applyFill="1" applyBorder="1"/>
    <xf numFmtId="175" fontId="1" fillId="0" borderId="0" xfId="31" applyNumberFormat="1" applyFill="1" applyBorder="1"/>
    <xf numFmtId="175" fontId="1" fillId="0" borderId="0" xfId="31" applyNumberFormat="1" applyFont="1" applyFill="1" applyBorder="1"/>
    <xf numFmtId="44" fontId="1" fillId="0" borderId="0" xfId="12" applyFont="1" applyFill="1" applyBorder="1"/>
    <xf numFmtId="175" fontId="1" fillId="0" borderId="1" xfId="10" applyNumberFormat="1" applyFont="1" applyFill="1" applyBorder="1" applyAlignment="1">
      <alignment horizontal="center"/>
    </xf>
    <xf numFmtId="175" fontId="1" fillId="0" borderId="1" xfId="10" applyNumberFormat="1" applyFont="1" applyFill="1" applyBorder="1" applyAlignment="1">
      <alignment horizontal="center" vertical="center"/>
    </xf>
    <xf numFmtId="175" fontId="0" fillId="0" borderId="1" xfId="10" applyNumberFormat="1" applyFont="1" applyFill="1" applyBorder="1" applyAlignment="1">
      <alignment horizontal="center" vertical="center"/>
    </xf>
    <xf numFmtId="175" fontId="0" fillId="0" borderId="1" xfId="0" applyNumberFormat="1" applyFill="1" applyBorder="1" applyAlignment="1">
      <alignment horizontal="center" vertical="center"/>
    </xf>
    <xf numFmtId="44" fontId="1" fillId="0" borderId="1" xfId="10" applyNumberFormat="1" applyFont="1" applyFill="1" applyBorder="1" applyAlignment="1">
      <alignment horizontal="center" vertical="center"/>
    </xf>
    <xf numFmtId="44" fontId="0" fillId="0" borderId="1" xfId="10" applyNumberFormat="1" applyFont="1" applyFill="1" applyBorder="1" applyAlignment="1">
      <alignment horizontal="center" vertical="center"/>
    </xf>
    <xf numFmtId="44" fontId="0" fillId="0" borderId="1" xfId="0" applyNumberFormat="1" applyFill="1" applyBorder="1" applyAlignment="1">
      <alignment horizontal="center" vertical="center"/>
    </xf>
    <xf numFmtId="44" fontId="1" fillId="0" borderId="1" xfId="10" applyFont="1" applyBorder="1" applyAlignment="1">
      <alignment horizontal="center"/>
    </xf>
    <xf numFmtId="175" fontId="1" fillId="0" borderId="1" xfId="10" applyNumberFormat="1" applyFont="1" applyBorder="1" applyAlignment="1">
      <alignment horizontal="center"/>
    </xf>
    <xf numFmtId="14" fontId="0" fillId="0" borderId="1" xfId="0" applyNumberFormat="1" applyBorder="1"/>
    <xf numFmtId="44" fontId="1" fillId="0" borderId="1" xfId="10" applyFont="1" applyFill="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8"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CheckBox" checked="Checked" fmlaLink="E4" lockText="1" noThreeD="1"/>
</file>

<file path=xl/ctrlProps/ctrlProp573.xml><?xml version="1.0" encoding="utf-8"?>
<formControlPr xmlns="http://schemas.microsoft.com/office/spreadsheetml/2009/9/main" objectType="CheckBox" checked="Checked" fmlaLink="E5" lockText="1" noThreeD="1"/>
</file>

<file path=xl/ctrlProps/ctrlProp574.xml><?xml version="1.0" encoding="utf-8"?>
<formControlPr xmlns="http://schemas.microsoft.com/office/spreadsheetml/2009/9/main" objectType="CheckBox" checked="Checked" fmlaLink="E7" lockText="1" noThreeD="1"/>
</file>

<file path=xl/ctrlProps/ctrlProp575.xml><?xml version="1.0" encoding="utf-8"?>
<formControlPr xmlns="http://schemas.microsoft.com/office/spreadsheetml/2009/9/main" objectType="CheckBox" checked="Checked" fmlaLink="E8" lockText="1" noThreeD="1"/>
</file>

<file path=xl/ctrlProps/ctrlProp576.xml><?xml version="1.0" encoding="utf-8"?>
<formControlPr xmlns="http://schemas.microsoft.com/office/spreadsheetml/2009/9/main" objectType="CheckBox" checked="Checked" fmlaLink="E11" lockText="1" noThreeD="1"/>
</file>

<file path=xl/ctrlProps/ctrlProp577.xml><?xml version="1.0" encoding="utf-8"?>
<formControlPr xmlns="http://schemas.microsoft.com/office/spreadsheetml/2009/9/main" objectType="CheckBox" checked="Checked" fmlaLink="E12" lockText="1" noThreeD="1"/>
</file>

<file path=xl/ctrlProps/ctrlProp578.xml><?xml version="1.0" encoding="utf-8"?>
<formControlPr xmlns="http://schemas.microsoft.com/office/spreadsheetml/2009/9/main" objectType="CheckBox" checked="Checked" fmlaLink="E13" lockText="1" noThreeD="1"/>
</file>

<file path=xl/ctrlProps/ctrlProp579.xml><?xml version="1.0" encoding="utf-8"?>
<formControlPr xmlns="http://schemas.microsoft.com/office/spreadsheetml/2009/9/main" objectType="CheckBox" checked="Checked" fmlaLink="E14"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5" lockText="1" noThreeD="1"/>
</file>

<file path=xl/ctrlProps/ctrlProp581.xml><?xml version="1.0" encoding="utf-8"?>
<formControlPr xmlns="http://schemas.microsoft.com/office/spreadsheetml/2009/9/main" objectType="CheckBox" checked="Checked" fmlaLink="E16" lockText="1" noThreeD="1"/>
</file>

<file path=xl/ctrlProps/ctrlProp582.xml><?xml version="1.0" encoding="utf-8"?>
<formControlPr xmlns="http://schemas.microsoft.com/office/spreadsheetml/2009/9/main" objectType="CheckBox" checked="Checked" fmlaLink="E17" lockText="1" noThreeD="1"/>
</file>

<file path=xl/ctrlProps/ctrlProp583.xml><?xml version="1.0" encoding="utf-8"?>
<formControlPr xmlns="http://schemas.microsoft.com/office/spreadsheetml/2009/9/main" objectType="CheckBox" checked="Checked" fmlaLink="E18" lockText="1" noThreeD="1"/>
</file>

<file path=xl/ctrlProps/ctrlProp584.xml><?xml version="1.0" encoding="utf-8"?>
<formControlPr xmlns="http://schemas.microsoft.com/office/spreadsheetml/2009/9/main" objectType="CheckBox" checked="Checked" fmlaLink="E19" lockText="1" noThreeD="1"/>
</file>

<file path=xl/ctrlProps/ctrlProp585.xml><?xml version="1.0" encoding="utf-8"?>
<formControlPr xmlns="http://schemas.microsoft.com/office/spreadsheetml/2009/9/main" objectType="CheckBox" checked="Checked" fmlaLink="E20" lockText="1" noThreeD="1"/>
</file>

<file path=xl/ctrlProps/ctrlProp586.xml><?xml version="1.0" encoding="utf-8"?>
<formControlPr xmlns="http://schemas.microsoft.com/office/spreadsheetml/2009/9/main" objectType="CheckBox" checked="Checked" fmlaLink="E21" lockText="1" noThreeD="1"/>
</file>

<file path=xl/ctrlProps/ctrlProp587.xml><?xml version="1.0" encoding="utf-8"?>
<formControlPr xmlns="http://schemas.microsoft.com/office/spreadsheetml/2009/9/main" objectType="CheckBox" checked="Checked" fmlaLink="E22" lockText="1" noThreeD="1"/>
</file>

<file path=xl/ctrlProps/ctrlProp588.xml><?xml version="1.0" encoding="utf-8"?>
<formControlPr xmlns="http://schemas.microsoft.com/office/spreadsheetml/2009/9/main" objectType="CheckBox" checked="Checked" fmlaLink="E23" lockText="1" noThreeD="1"/>
</file>

<file path=xl/ctrlProps/ctrlProp589.xml><?xml version="1.0" encoding="utf-8"?>
<formControlPr xmlns="http://schemas.microsoft.com/office/spreadsheetml/2009/9/main" objectType="CheckBox" checked="Checked" fmlaLink="E24"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30</xdr:row>
          <xdr:rowOff>146050</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146050</xdr:rowOff>
        </xdr:from>
        <xdr:to>
          <xdr:col>5</xdr:col>
          <xdr:colOff>1009650</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1009650</xdr:colOff>
          <xdr:row>15</xdr:row>
          <xdr:rowOff>95250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95250</xdr:rowOff>
        </xdr:from>
        <xdr:to>
          <xdr:col>5</xdr:col>
          <xdr:colOff>1009650</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1009650</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107950</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127000</xdr:rowOff>
        </xdr:from>
        <xdr:to>
          <xdr:col>1</xdr:col>
          <xdr:colOff>904875</xdr:colOff>
          <xdr:row>34</xdr:row>
          <xdr:rowOff>19050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565150</xdr:colOff>
          <xdr:row>77</xdr:row>
          <xdr:rowOff>12700</xdr:rowOff>
        </xdr:from>
        <xdr:to>
          <xdr:col>14</xdr:col>
          <xdr:colOff>1085850</xdr:colOff>
          <xdr:row>78</xdr:row>
          <xdr:rowOff>88900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0</xdr:row>
          <xdr:rowOff>247650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812800</xdr:colOff>
          <xdr:row>74</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133350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133350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1</xdr:row>
          <xdr:rowOff>88900</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812800</xdr:colOff>
          <xdr:row>74</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2</xdr:row>
          <xdr:rowOff>19050</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806450</xdr:colOff>
          <xdr:row>74</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88900</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88900</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88900</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88900</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3</xdr:row>
          <xdr:rowOff>44450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812800</xdr:colOff>
          <xdr:row>74</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89</xdr:row>
          <xdr:rowOff>76200</xdr:rowOff>
        </xdr:from>
        <xdr:to>
          <xdr:col>16</xdr:col>
          <xdr:colOff>38100</xdr:colOff>
          <xdr:row>90</xdr:row>
          <xdr:rowOff>133350</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89</xdr:row>
          <xdr:rowOff>76200</xdr:rowOff>
        </xdr:from>
        <xdr:to>
          <xdr:col>16</xdr:col>
          <xdr:colOff>38100</xdr:colOff>
          <xdr:row>90</xdr:row>
          <xdr:rowOff>133350</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88</xdr:row>
          <xdr:rowOff>76200</xdr:rowOff>
        </xdr:from>
        <xdr:to>
          <xdr:col>16</xdr:col>
          <xdr:colOff>38100</xdr:colOff>
          <xdr:row>89</xdr:row>
          <xdr:rowOff>133350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86</xdr:row>
          <xdr:rowOff>57150</xdr:rowOff>
        </xdr:from>
        <xdr:to>
          <xdr:col>30</xdr:col>
          <xdr:colOff>241300</xdr:colOff>
          <xdr:row>87</xdr:row>
          <xdr:rowOff>133350</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400-000001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81</xdr:row>
          <xdr:rowOff>57150</xdr:rowOff>
        </xdr:from>
        <xdr:to>
          <xdr:col>30</xdr:col>
          <xdr:colOff>241300</xdr:colOff>
          <xdr:row>82</xdr:row>
          <xdr:rowOff>133350</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400-000002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500-000001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500-000002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500-000003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6350</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B961DEE6-0B9C-42C9-BC71-D929DDEB4C8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6350</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5DC283F9-E6F3-4387-81F1-1289CEFA2C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6350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7FCE66CB-A522-4EC9-B298-E6C7B4E09F1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6350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BC55AC7C-5082-418B-AF78-B2497F3AE7D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80</xdr:row>
          <xdr:rowOff>38100</xdr:rowOff>
        </xdr:from>
        <xdr:to>
          <xdr:col>14</xdr:col>
          <xdr:colOff>1123950</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934D8D8E-504A-4FD7-BF42-4EDBA18A219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0</xdr:row>
          <xdr:rowOff>247650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600-000001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68</xdr:row>
          <xdr:rowOff>76200</xdr:rowOff>
        </xdr:from>
        <xdr:to>
          <xdr:col>15</xdr:col>
          <xdr:colOff>812800</xdr:colOff>
          <xdr:row>69</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600-000002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600-000003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600-000004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600-000005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600-000006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0</xdr:row>
          <xdr:rowOff>247650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700-000001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812800</xdr:colOff>
          <xdr:row>74</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700-000002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700-000003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700-000004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700-000005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700-000006F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800-00000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83</xdr:row>
          <xdr:rowOff>76200</xdr:rowOff>
        </xdr:from>
        <xdr:to>
          <xdr:col>16</xdr:col>
          <xdr:colOff>38100</xdr:colOff>
          <xdr:row>84</xdr:row>
          <xdr:rowOff>133350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800-00000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800-00000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800-00000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800-00000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800-00000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800-00000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800-00000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800-00000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800-00000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800-00000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800-00000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800-00000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800-00000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800-00000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800-00001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800-00001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800-00001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800-00001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800-00001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800-00001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800-00001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800-00001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800-00001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800-00001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800-00001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800-00001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800-00001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800-00001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800-00001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800-00001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800-00002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800-00002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800-00002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800-00002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800-00002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800-00002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800-00002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800-00002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800-00002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800-00002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800-00002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800-00002B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800-00002C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800-00002D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800-00002E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800-00002F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800-000030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800-000031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800-000032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800-000033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800-000034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800-000035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800-000036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800-000037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800-000038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800-000039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800-00003AD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900-00000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83</xdr:row>
          <xdr:rowOff>76200</xdr:rowOff>
        </xdr:from>
        <xdr:to>
          <xdr:col>16</xdr:col>
          <xdr:colOff>38100</xdr:colOff>
          <xdr:row>84</xdr:row>
          <xdr:rowOff>133350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900-00000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900-00000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900-00000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900-00000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900-00000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900-00000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900-00000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900-00000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431800</xdr:colOff>
          <xdr:row>1</xdr:row>
          <xdr:rowOff>69850</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900-00000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900-00000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900-00000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900-00000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279400</xdr:colOff>
          <xdr:row>1</xdr:row>
          <xdr:rowOff>69850</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900-00000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900-00000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900-00001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900-00001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127000</xdr:colOff>
          <xdr:row>1</xdr:row>
          <xdr:rowOff>69850</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900-00001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900-00001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900-00001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900-00001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584200</xdr:colOff>
          <xdr:row>1</xdr:row>
          <xdr:rowOff>69850</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900-00001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900-00001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900-00001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900-00001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431800</xdr:colOff>
          <xdr:row>1</xdr:row>
          <xdr:rowOff>69850</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900-00001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900-00001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900-00001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900-00001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279400</xdr:colOff>
          <xdr:row>1</xdr:row>
          <xdr:rowOff>69850</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900-00001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900-00001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900-00002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900-00002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127000</xdr:colOff>
          <xdr:row>1</xdr:row>
          <xdr:rowOff>69850</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900-00002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900-00002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900-00002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900-00002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584200</xdr:colOff>
          <xdr:row>1</xdr:row>
          <xdr:rowOff>69850</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900-00002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900-00002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900-00002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900-00002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431800</xdr:colOff>
          <xdr:row>1</xdr:row>
          <xdr:rowOff>69850</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900-00002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900-00002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900-00002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900-00002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279400</xdr:colOff>
          <xdr:row>1</xdr:row>
          <xdr:rowOff>69850</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900-00002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900-00002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900-00003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900-00003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69850</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900-00003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900-00003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900-00003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900-00003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69850</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900-00003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900-00003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900-00003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900-00003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69850</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900-00003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50800</xdr:rowOff>
        </xdr:from>
        <xdr:to>
          <xdr:col>0</xdr:col>
          <xdr:colOff>552450</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A00-00000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412750</xdr:colOff>
          <xdr:row>82</xdr:row>
          <xdr:rowOff>76200</xdr:rowOff>
        </xdr:from>
        <xdr:to>
          <xdr:col>16</xdr:col>
          <xdr:colOff>38100</xdr:colOff>
          <xdr:row>83</xdr:row>
          <xdr:rowOff>133350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A00-00000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A00-00000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A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A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A00-00000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A00-00000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A00-00000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A00-00000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527050</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A00-00000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A00-00000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A00-00000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A00-00000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374650</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A00-00000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A00-00000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A00-00001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A00-00001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222250</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A00-00001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A00-00001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A00-00001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A00-00001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69850</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A00-00001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A00-00001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A00-00001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A00-00001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527050</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A00-00001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A00-00001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A00-00001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A00-00001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A00-00001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A00-00001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A00-00002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A00-00002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A00-00002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A00-00002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A00-00002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A00-00002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A00-00002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A00-00002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A00-00002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A00-00002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546100</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A00-00002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A00-00002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A00-00002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A00-00002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393700</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A00-00002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A00-00002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A00-00003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A00-00003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241300</xdr:colOff>
          <xdr:row>0</xdr:row>
          <xdr:rowOff>76200</xdr:rowOff>
        </xdr:from>
        <xdr:to>
          <xdr:col>206</xdr:col>
          <xdr:colOff>133350</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A00-00003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A00-00003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A00-00003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A00-00003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88900</xdr:colOff>
          <xdr:row>0</xdr:row>
          <xdr:rowOff>76200</xdr:rowOff>
        </xdr:from>
        <xdr:to>
          <xdr:col>221</xdr:col>
          <xdr:colOff>590550</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A00-00003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A00-00003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A00-00003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A00-00003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546100</xdr:colOff>
          <xdr:row>0</xdr:row>
          <xdr:rowOff>76200</xdr:rowOff>
        </xdr:from>
        <xdr:to>
          <xdr:col>237</xdr:col>
          <xdr:colOff>438150</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A00-00003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1</xdr:row>
          <xdr:rowOff>82550</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6B0623D8-E122-41A2-B3DC-D40FACFAF99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806450</xdr:colOff>
          <xdr:row>74</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D448D92F-1302-4C2C-984D-77580E82F0A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10391FFF-8092-4DCD-8FB3-298923CCB36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86B2DA5-B7FB-4AE5-AA75-7D0E8BE8AF4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94DC913E-4891-48E7-A2D9-A5697ABADD5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2DDF6B57-1E4F-4A3C-B645-46E53E3A6D8F}"/>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2</xdr:row>
          <xdr:rowOff>19050</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D82D1C47-CB32-4290-8DC3-7A932433DA8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806450</xdr:colOff>
          <xdr:row>74</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16BEC676-6842-464B-9B81-E46EE3CA50B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82550</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BFD9B947-8482-4EE3-9833-A1B3CD458BD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82550</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58B1E99F-5971-468B-9EBB-88C3ED4B48B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82550</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3F517F7C-051D-4C61-9068-60F097C169E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2</xdr:row>
          <xdr:rowOff>82550</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2A1EFFF-29E1-4901-8CB5-37A74D0226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3</xdr:row>
          <xdr:rowOff>44450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A419E948-0710-4F31-AB1F-55FDB67A0DD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806450</xdr:colOff>
          <xdr:row>74</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4D53E4AC-8025-4C8D-B500-5F8FC95A06C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D84B4224-808F-443F-B347-093B3E7EBEDD}"/>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91CF7208-15D6-45D0-BF4D-3EA5A51F17FB}"/>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2D21125D-EC24-41AA-BD22-E004D151E96E}"/>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577850</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DEDFAF7D-81D3-4D9D-9CAB-3F28DD195DD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146050</xdr:rowOff>
        </xdr:from>
        <xdr:to>
          <xdr:col>6</xdr:col>
          <xdr:colOff>127000</xdr:colOff>
          <xdr:row>4</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1D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127000</xdr:colOff>
          <xdr:row>5</xdr:row>
          <xdr:rowOff>95250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1D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127000</xdr:rowOff>
        </xdr:from>
        <xdr:to>
          <xdr:col>6</xdr:col>
          <xdr:colOff>127000</xdr:colOff>
          <xdr:row>7</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1D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1D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133350</xdr:rowOff>
        </xdr:from>
        <xdr:to>
          <xdr:col>6</xdr:col>
          <xdr:colOff>127000</xdr:colOff>
          <xdr:row>11</xdr:row>
          <xdr:rowOff>31750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1D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133350</xdr:rowOff>
        </xdr:from>
        <xdr:to>
          <xdr:col>5</xdr:col>
          <xdr:colOff>0</xdr:colOff>
          <xdr:row>12</xdr:row>
          <xdr:rowOff>31750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1D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133350</xdr:rowOff>
        </xdr:from>
        <xdr:to>
          <xdr:col>5</xdr:col>
          <xdr:colOff>0</xdr:colOff>
          <xdr:row>13</xdr:row>
          <xdr:rowOff>31750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1D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133350</xdr:rowOff>
        </xdr:from>
        <xdr:to>
          <xdr:col>5</xdr:col>
          <xdr:colOff>0</xdr:colOff>
          <xdr:row>14</xdr:row>
          <xdr:rowOff>31750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1D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133350</xdr:rowOff>
        </xdr:from>
        <xdr:to>
          <xdr:col>5</xdr:col>
          <xdr:colOff>0</xdr:colOff>
          <xdr:row>15</xdr:row>
          <xdr:rowOff>31750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1D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146050</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1D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133350</xdr:rowOff>
        </xdr:from>
        <xdr:to>
          <xdr:col>5</xdr:col>
          <xdr:colOff>0</xdr:colOff>
          <xdr:row>17</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1D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127000</xdr:rowOff>
        </xdr:from>
        <xdr:to>
          <xdr:col>5</xdr:col>
          <xdr:colOff>0</xdr:colOff>
          <xdr:row>18</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1D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133350</xdr:rowOff>
        </xdr:from>
        <xdr:to>
          <xdr:col>5</xdr:col>
          <xdr:colOff>0</xdr:colOff>
          <xdr:row>19</xdr:row>
          <xdr:rowOff>31750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1D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133350</xdr:rowOff>
        </xdr:from>
        <xdr:to>
          <xdr:col>5</xdr:col>
          <xdr:colOff>0</xdr:colOff>
          <xdr:row>20</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1D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133350</xdr:rowOff>
        </xdr:from>
        <xdr:to>
          <xdr:col>5</xdr:col>
          <xdr:colOff>0</xdr:colOff>
          <xdr:row>21</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1D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133350</xdr:rowOff>
        </xdr:from>
        <xdr:to>
          <xdr:col>5</xdr:col>
          <xdr:colOff>0</xdr:colOff>
          <xdr:row>22</xdr:row>
          <xdr:rowOff>31750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1D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133350</xdr:rowOff>
        </xdr:from>
        <xdr:to>
          <xdr:col>5</xdr:col>
          <xdr:colOff>0</xdr:colOff>
          <xdr:row>23</xdr:row>
          <xdr:rowOff>31750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1D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133350</xdr:rowOff>
        </xdr:from>
        <xdr:to>
          <xdr:col>5</xdr:col>
          <xdr:colOff>0</xdr:colOff>
          <xdr:row>24</xdr:row>
          <xdr:rowOff>31750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1D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133350</xdr:rowOff>
        </xdr:from>
        <xdr:to>
          <xdr:col>5</xdr:col>
          <xdr:colOff>0</xdr:colOff>
          <xdr:row>25</xdr:row>
          <xdr:rowOff>31750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1D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87</xdr:row>
          <xdr:rowOff>57150</xdr:rowOff>
        </xdr:from>
        <xdr:to>
          <xdr:col>30</xdr:col>
          <xdr:colOff>241300</xdr:colOff>
          <xdr:row>88</xdr:row>
          <xdr:rowOff>133350</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78</xdr:row>
          <xdr:rowOff>38100</xdr:rowOff>
        </xdr:from>
        <xdr:to>
          <xdr:col>14</xdr:col>
          <xdr:colOff>1123950</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69850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584200</xdr:colOff>
          <xdr:row>87</xdr:row>
          <xdr:rowOff>57150</xdr:rowOff>
        </xdr:from>
        <xdr:to>
          <xdr:col>30</xdr:col>
          <xdr:colOff>241300</xdr:colOff>
          <xdr:row>88</xdr:row>
          <xdr:rowOff>133350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2</xdr:row>
          <xdr:rowOff>12700</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603250</xdr:colOff>
          <xdr:row>80</xdr:row>
          <xdr:rowOff>38100</xdr:rowOff>
        </xdr:from>
        <xdr:to>
          <xdr:col>14</xdr:col>
          <xdr:colOff>1123950</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0</xdr:row>
          <xdr:rowOff>247650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72</xdr:row>
          <xdr:rowOff>76200</xdr:rowOff>
        </xdr:from>
        <xdr:to>
          <xdr:col>15</xdr:col>
          <xdr:colOff>812800</xdr:colOff>
          <xdr:row>73</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0</xdr:col>
          <xdr:colOff>571500</xdr:colOff>
          <xdr:row>0</xdr:row>
          <xdr:rowOff>247650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73</xdr:row>
          <xdr:rowOff>76200</xdr:rowOff>
        </xdr:from>
        <xdr:to>
          <xdr:col>15</xdr:col>
          <xdr:colOff>812800</xdr:colOff>
          <xdr:row>74</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0</xdr:row>
          <xdr:rowOff>76200</xdr:rowOff>
        </xdr:from>
        <xdr:to>
          <xdr:col>0</xdr:col>
          <xdr:colOff>584200</xdr:colOff>
          <xdr:row>1</xdr:row>
          <xdr:rowOff>57150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7.bin"/><Relationship Id="rId5" Type="http://schemas.openxmlformats.org/officeDocument/2006/relationships/ctrlProp" Target="../ctrlProps/ctrlProp359.xml"/><Relationship Id="rId4" Type="http://schemas.openxmlformats.org/officeDocument/2006/relationships/ctrlProp" Target="../ctrlProps/ctrlProp35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trlProp" Target="../ctrlProps/ctrlProp362.xml"/><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363.xml"/><Relationship Id="rId7" Type="http://schemas.openxmlformats.org/officeDocument/2006/relationships/ctrlProp" Target="../ctrlProps/ctrlProp367.xml"/><Relationship Id="rId2" Type="http://schemas.openxmlformats.org/officeDocument/2006/relationships/vmlDrawing" Target="../drawings/vmlDrawing22.vml"/><Relationship Id="rId1" Type="http://schemas.openxmlformats.org/officeDocument/2006/relationships/drawing" Target="../drawings/drawing22.xml"/><Relationship Id="rId6" Type="http://schemas.openxmlformats.org/officeDocument/2006/relationships/ctrlProp" Target="../ctrlProps/ctrlProp366.xml"/><Relationship Id="rId5" Type="http://schemas.openxmlformats.org/officeDocument/2006/relationships/ctrlProp" Target="../ctrlProps/ctrlProp365.xml"/><Relationship Id="rId4"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2.xml"/><Relationship Id="rId3" Type="http://schemas.openxmlformats.org/officeDocument/2006/relationships/vmlDrawing" Target="../drawings/vmlDrawing23.vml"/><Relationship Id="rId7" Type="http://schemas.openxmlformats.org/officeDocument/2006/relationships/ctrlProp" Target="../ctrlProps/ctrlProp371.x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trlProp" Target="../ctrlProps/ctrlProp370.xml"/><Relationship Id="rId5" Type="http://schemas.openxmlformats.org/officeDocument/2006/relationships/ctrlProp" Target="../ctrlProps/ctrlProp369.xml"/><Relationship Id="rId4" Type="http://schemas.openxmlformats.org/officeDocument/2006/relationships/ctrlProp" Target="../ctrlProps/ctrlProp368.xml"/><Relationship Id="rId9" Type="http://schemas.openxmlformats.org/officeDocument/2006/relationships/ctrlProp" Target="../ctrlProps/ctrlProp37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24.vml"/><Relationship Id="rId7" Type="http://schemas.openxmlformats.org/officeDocument/2006/relationships/ctrlProp" Target="../ctrlProps/ctrlProp377.xml"/><Relationship Id="rId2" Type="http://schemas.openxmlformats.org/officeDocument/2006/relationships/drawing" Target="../drawings/drawing24.xml"/><Relationship Id="rId1" Type="http://schemas.openxmlformats.org/officeDocument/2006/relationships/printerSettings" Target="../printerSettings/printerSettings20.bin"/><Relationship Id="rId6" Type="http://schemas.openxmlformats.org/officeDocument/2006/relationships/ctrlProp" Target="../ctrlProps/ctrlProp376.xml"/><Relationship Id="rId5" Type="http://schemas.openxmlformats.org/officeDocument/2006/relationships/ctrlProp" Target="../ctrlProps/ctrlProp375.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2" Type="http://schemas.openxmlformats.org/officeDocument/2006/relationships/drawing" Target="../drawings/drawing25.xml"/><Relationship Id="rId16" Type="http://schemas.openxmlformats.org/officeDocument/2006/relationships/ctrlProp" Target="../ctrlProps/ctrlProp392.xml"/><Relationship Id="rId29" Type="http://schemas.openxmlformats.org/officeDocument/2006/relationships/ctrlProp" Target="../ctrlProps/ctrlProp405.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trlProp" Target="../ctrlProps/ctrlProp434.xml"/><Relationship Id="rId5" Type="http://schemas.openxmlformats.org/officeDocument/2006/relationships/ctrlProp" Target="../ctrlProps/ctrlProp381.xml"/><Relationship Id="rId61" Type="http://schemas.openxmlformats.org/officeDocument/2006/relationships/ctrlProp" Target="../ctrlProps/ctrlProp437.xml"/><Relationship Id="rId19" Type="http://schemas.openxmlformats.org/officeDocument/2006/relationships/ctrlProp" Target="../ctrlProps/ctrlProp39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25.v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59" Type="http://schemas.openxmlformats.org/officeDocument/2006/relationships/ctrlProp" Target="../ctrlProps/ctrlProp435.xml"/><Relationship Id="rId20" Type="http://schemas.openxmlformats.org/officeDocument/2006/relationships/ctrlProp" Target="../ctrlProps/ctrlProp396.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21.bin"/><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4" Type="http://schemas.openxmlformats.org/officeDocument/2006/relationships/ctrlProp" Target="../ctrlProps/ctrlProp380.xml"/><Relationship Id="rId9" Type="http://schemas.openxmlformats.org/officeDocument/2006/relationships/ctrlProp" Target="../ctrlProps/ctrlProp38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7.xml"/><Relationship Id="rId18" Type="http://schemas.openxmlformats.org/officeDocument/2006/relationships/ctrlProp" Target="../ctrlProps/ctrlProp452.xml"/><Relationship Id="rId26" Type="http://schemas.openxmlformats.org/officeDocument/2006/relationships/ctrlProp" Target="../ctrlProps/ctrlProp460.xml"/><Relationship Id="rId39" Type="http://schemas.openxmlformats.org/officeDocument/2006/relationships/ctrlProp" Target="../ctrlProps/ctrlProp473.xml"/><Relationship Id="rId21" Type="http://schemas.openxmlformats.org/officeDocument/2006/relationships/ctrlProp" Target="../ctrlProps/ctrlProp455.xml"/><Relationship Id="rId34" Type="http://schemas.openxmlformats.org/officeDocument/2006/relationships/ctrlProp" Target="../ctrlProps/ctrlProp468.xml"/><Relationship Id="rId42" Type="http://schemas.openxmlformats.org/officeDocument/2006/relationships/ctrlProp" Target="../ctrlProps/ctrlProp476.xml"/><Relationship Id="rId47" Type="http://schemas.openxmlformats.org/officeDocument/2006/relationships/ctrlProp" Target="../ctrlProps/ctrlProp481.xml"/><Relationship Id="rId50" Type="http://schemas.openxmlformats.org/officeDocument/2006/relationships/ctrlProp" Target="../ctrlProps/ctrlProp484.xml"/><Relationship Id="rId55" Type="http://schemas.openxmlformats.org/officeDocument/2006/relationships/ctrlProp" Target="../ctrlProps/ctrlProp489.xml"/><Relationship Id="rId7" Type="http://schemas.openxmlformats.org/officeDocument/2006/relationships/ctrlProp" Target="../ctrlProps/ctrlProp441.xml"/><Relationship Id="rId2" Type="http://schemas.openxmlformats.org/officeDocument/2006/relationships/drawing" Target="../drawings/drawing26.xml"/><Relationship Id="rId16" Type="http://schemas.openxmlformats.org/officeDocument/2006/relationships/ctrlProp" Target="../ctrlProps/ctrlProp450.xml"/><Relationship Id="rId29" Type="http://schemas.openxmlformats.org/officeDocument/2006/relationships/ctrlProp" Target="../ctrlProps/ctrlProp463.xml"/><Relationship Id="rId11" Type="http://schemas.openxmlformats.org/officeDocument/2006/relationships/ctrlProp" Target="../ctrlProps/ctrlProp445.xml"/><Relationship Id="rId24" Type="http://schemas.openxmlformats.org/officeDocument/2006/relationships/ctrlProp" Target="../ctrlProps/ctrlProp458.xml"/><Relationship Id="rId32" Type="http://schemas.openxmlformats.org/officeDocument/2006/relationships/ctrlProp" Target="../ctrlProps/ctrlProp466.xml"/><Relationship Id="rId37" Type="http://schemas.openxmlformats.org/officeDocument/2006/relationships/ctrlProp" Target="../ctrlProps/ctrlProp471.xml"/><Relationship Id="rId40" Type="http://schemas.openxmlformats.org/officeDocument/2006/relationships/ctrlProp" Target="../ctrlProps/ctrlProp474.xml"/><Relationship Id="rId45" Type="http://schemas.openxmlformats.org/officeDocument/2006/relationships/ctrlProp" Target="../ctrlProps/ctrlProp479.xml"/><Relationship Id="rId53" Type="http://schemas.openxmlformats.org/officeDocument/2006/relationships/ctrlProp" Target="../ctrlProps/ctrlProp487.xml"/><Relationship Id="rId58" Type="http://schemas.openxmlformats.org/officeDocument/2006/relationships/ctrlProp" Target="../ctrlProps/ctrlProp492.xml"/><Relationship Id="rId5" Type="http://schemas.openxmlformats.org/officeDocument/2006/relationships/ctrlProp" Target="../ctrlProps/ctrlProp439.xml"/><Relationship Id="rId61" Type="http://schemas.openxmlformats.org/officeDocument/2006/relationships/ctrlProp" Target="../ctrlProps/ctrlProp495.xml"/><Relationship Id="rId19" Type="http://schemas.openxmlformats.org/officeDocument/2006/relationships/ctrlProp" Target="../ctrlProps/ctrlProp453.xml"/><Relationship Id="rId14" Type="http://schemas.openxmlformats.org/officeDocument/2006/relationships/ctrlProp" Target="../ctrlProps/ctrlProp448.xml"/><Relationship Id="rId22" Type="http://schemas.openxmlformats.org/officeDocument/2006/relationships/ctrlProp" Target="../ctrlProps/ctrlProp456.xml"/><Relationship Id="rId27" Type="http://schemas.openxmlformats.org/officeDocument/2006/relationships/ctrlProp" Target="../ctrlProps/ctrlProp461.xml"/><Relationship Id="rId30" Type="http://schemas.openxmlformats.org/officeDocument/2006/relationships/ctrlProp" Target="../ctrlProps/ctrlProp464.xml"/><Relationship Id="rId35" Type="http://schemas.openxmlformats.org/officeDocument/2006/relationships/ctrlProp" Target="../ctrlProps/ctrlProp469.xml"/><Relationship Id="rId43" Type="http://schemas.openxmlformats.org/officeDocument/2006/relationships/ctrlProp" Target="../ctrlProps/ctrlProp477.xml"/><Relationship Id="rId48" Type="http://schemas.openxmlformats.org/officeDocument/2006/relationships/ctrlProp" Target="../ctrlProps/ctrlProp482.xml"/><Relationship Id="rId56" Type="http://schemas.openxmlformats.org/officeDocument/2006/relationships/ctrlProp" Target="../ctrlProps/ctrlProp490.xml"/><Relationship Id="rId8" Type="http://schemas.openxmlformats.org/officeDocument/2006/relationships/ctrlProp" Target="../ctrlProps/ctrlProp442.xml"/><Relationship Id="rId51" Type="http://schemas.openxmlformats.org/officeDocument/2006/relationships/ctrlProp" Target="../ctrlProps/ctrlProp485.xml"/><Relationship Id="rId3" Type="http://schemas.openxmlformats.org/officeDocument/2006/relationships/vmlDrawing" Target="../drawings/vmlDrawing2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1" Type="http://schemas.openxmlformats.org/officeDocument/2006/relationships/printerSettings" Target="../printerSettings/printerSettings22.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4" Type="http://schemas.openxmlformats.org/officeDocument/2006/relationships/ctrlProp" Target="../ctrlProps/ctrlProp438.xml"/><Relationship Id="rId9" Type="http://schemas.openxmlformats.org/officeDocument/2006/relationships/ctrlProp" Target="../ctrlProps/ctrlProp443.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5.xml"/><Relationship Id="rId18" Type="http://schemas.openxmlformats.org/officeDocument/2006/relationships/ctrlProp" Target="../ctrlProps/ctrlProp510.xml"/><Relationship Id="rId26" Type="http://schemas.openxmlformats.org/officeDocument/2006/relationships/ctrlProp" Target="../ctrlProps/ctrlProp518.xml"/><Relationship Id="rId39" Type="http://schemas.openxmlformats.org/officeDocument/2006/relationships/ctrlProp" Target="../ctrlProps/ctrlProp531.xml"/><Relationship Id="rId21" Type="http://schemas.openxmlformats.org/officeDocument/2006/relationships/ctrlProp" Target="../ctrlProps/ctrlProp513.xml"/><Relationship Id="rId34" Type="http://schemas.openxmlformats.org/officeDocument/2006/relationships/ctrlProp" Target="../ctrlProps/ctrlProp526.xml"/><Relationship Id="rId42" Type="http://schemas.openxmlformats.org/officeDocument/2006/relationships/ctrlProp" Target="../ctrlProps/ctrlProp534.xml"/><Relationship Id="rId47" Type="http://schemas.openxmlformats.org/officeDocument/2006/relationships/ctrlProp" Target="../ctrlProps/ctrlProp539.xml"/><Relationship Id="rId50" Type="http://schemas.openxmlformats.org/officeDocument/2006/relationships/ctrlProp" Target="../ctrlProps/ctrlProp542.xml"/><Relationship Id="rId55" Type="http://schemas.openxmlformats.org/officeDocument/2006/relationships/ctrlProp" Target="../ctrlProps/ctrlProp547.xml"/><Relationship Id="rId7" Type="http://schemas.openxmlformats.org/officeDocument/2006/relationships/ctrlProp" Target="../ctrlProps/ctrlProp499.xml"/><Relationship Id="rId2" Type="http://schemas.openxmlformats.org/officeDocument/2006/relationships/drawing" Target="../drawings/drawing27.xml"/><Relationship Id="rId16" Type="http://schemas.openxmlformats.org/officeDocument/2006/relationships/ctrlProp" Target="../ctrlProps/ctrlProp508.xml"/><Relationship Id="rId29" Type="http://schemas.openxmlformats.org/officeDocument/2006/relationships/ctrlProp" Target="../ctrlProps/ctrlProp521.xml"/><Relationship Id="rId11" Type="http://schemas.openxmlformats.org/officeDocument/2006/relationships/ctrlProp" Target="../ctrlProps/ctrlProp503.xml"/><Relationship Id="rId24" Type="http://schemas.openxmlformats.org/officeDocument/2006/relationships/ctrlProp" Target="../ctrlProps/ctrlProp516.xml"/><Relationship Id="rId32" Type="http://schemas.openxmlformats.org/officeDocument/2006/relationships/ctrlProp" Target="../ctrlProps/ctrlProp524.xml"/><Relationship Id="rId37" Type="http://schemas.openxmlformats.org/officeDocument/2006/relationships/ctrlProp" Target="../ctrlProps/ctrlProp529.xml"/><Relationship Id="rId40" Type="http://schemas.openxmlformats.org/officeDocument/2006/relationships/ctrlProp" Target="../ctrlProps/ctrlProp532.xml"/><Relationship Id="rId45" Type="http://schemas.openxmlformats.org/officeDocument/2006/relationships/ctrlProp" Target="../ctrlProps/ctrlProp537.xml"/><Relationship Id="rId53" Type="http://schemas.openxmlformats.org/officeDocument/2006/relationships/ctrlProp" Target="../ctrlProps/ctrlProp545.xml"/><Relationship Id="rId58" Type="http://schemas.openxmlformats.org/officeDocument/2006/relationships/ctrlProp" Target="../ctrlProps/ctrlProp550.xml"/><Relationship Id="rId5" Type="http://schemas.openxmlformats.org/officeDocument/2006/relationships/ctrlProp" Target="../ctrlProps/ctrlProp497.xml"/><Relationship Id="rId61" Type="http://schemas.openxmlformats.org/officeDocument/2006/relationships/ctrlProp" Target="../ctrlProps/ctrlProp553.xml"/><Relationship Id="rId19" Type="http://schemas.openxmlformats.org/officeDocument/2006/relationships/ctrlProp" Target="../ctrlProps/ctrlProp511.xml"/><Relationship Id="rId14" Type="http://schemas.openxmlformats.org/officeDocument/2006/relationships/ctrlProp" Target="../ctrlProps/ctrlProp506.xml"/><Relationship Id="rId22" Type="http://schemas.openxmlformats.org/officeDocument/2006/relationships/ctrlProp" Target="../ctrlProps/ctrlProp514.xml"/><Relationship Id="rId27" Type="http://schemas.openxmlformats.org/officeDocument/2006/relationships/ctrlProp" Target="../ctrlProps/ctrlProp519.xml"/><Relationship Id="rId30" Type="http://schemas.openxmlformats.org/officeDocument/2006/relationships/ctrlProp" Target="../ctrlProps/ctrlProp522.xml"/><Relationship Id="rId35" Type="http://schemas.openxmlformats.org/officeDocument/2006/relationships/ctrlProp" Target="../ctrlProps/ctrlProp527.xml"/><Relationship Id="rId43" Type="http://schemas.openxmlformats.org/officeDocument/2006/relationships/ctrlProp" Target="../ctrlProps/ctrlProp535.xml"/><Relationship Id="rId48" Type="http://schemas.openxmlformats.org/officeDocument/2006/relationships/ctrlProp" Target="../ctrlProps/ctrlProp540.xml"/><Relationship Id="rId56" Type="http://schemas.openxmlformats.org/officeDocument/2006/relationships/ctrlProp" Target="../ctrlProps/ctrlProp548.xml"/><Relationship Id="rId8" Type="http://schemas.openxmlformats.org/officeDocument/2006/relationships/ctrlProp" Target="../ctrlProps/ctrlProp500.xml"/><Relationship Id="rId51" Type="http://schemas.openxmlformats.org/officeDocument/2006/relationships/ctrlProp" Target="../ctrlProps/ctrlProp543.xml"/><Relationship Id="rId3" Type="http://schemas.openxmlformats.org/officeDocument/2006/relationships/vmlDrawing" Target="../drawings/vmlDrawing27.vml"/><Relationship Id="rId12" Type="http://schemas.openxmlformats.org/officeDocument/2006/relationships/ctrlProp" Target="../ctrlProps/ctrlProp504.xml"/><Relationship Id="rId17" Type="http://schemas.openxmlformats.org/officeDocument/2006/relationships/ctrlProp" Target="../ctrlProps/ctrlProp509.xml"/><Relationship Id="rId25" Type="http://schemas.openxmlformats.org/officeDocument/2006/relationships/ctrlProp" Target="../ctrlProps/ctrlProp517.xml"/><Relationship Id="rId33" Type="http://schemas.openxmlformats.org/officeDocument/2006/relationships/ctrlProp" Target="../ctrlProps/ctrlProp525.xml"/><Relationship Id="rId38" Type="http://schemas.openxmlformats.org/officeDocument/2006/relationships/ctrlProp" Target="../ctrlProps/ctrlProp530.xml"/><Relationship Id="rId46" Type="http://schemas.openxmlformats.org/officeDocument/2006/relationships/ctrlProp" Target="../ctrlProps/ctrlProp538.xml"/><Relationship Id="rId59" Type="http://schemas.openxmlformats.org/officeDocument/2006/relationships/ctrlProp" Target="../ctrlProps/ctrlProp551.xml"/><Relationship Id="rId20" Type="http://schemas.openxmlformats.org/officeDocument/2006/relationships/ctrlProp" Target="../ctrlProps/ctrlProp512.xml"/><Relationship Id="rId41" Type="http://schemas.openxmlformats.org/officeDocument/2006/relationships/ctrlProp" Target="../ctrlProps/ctrlProp533.xml"/><Relationship Id="rId54" Type="http://schemas.openxmlformats.org/officeDocument/2006/relationships/ctrlProp" Target="../ctrlProps/ctrlProp546.xml"/><Relationship Id="rId1" Type="http://schemas.openxmlformats.org/officeDocument/2006/relationships/printerSettings" Target="../printerSettings/printerSettings23.bin"/><Relationship Id="rId6" Type="http://schemas.openxmlformats.org/officeDocument/2006/relationships/ctrlProp" Target="../ctrlProps/ctrlProp498.xml"/><Relationship Id="rId15" Type="http://schemas.openxmlformats.org/officeDocument/2006/relationships/ctrlProp" Target="../ctrlProps/ctrlProp507.xml"/><Relationship Id="rId23" Type="http://schemas.openxmlformats.org/officeDocument/2006/relationships/ctrlProp" Target="../ctrlProps/ctrlProp515.xml"/><Relationship Id="rId28" Type="http://schemas.openxmlformats.org/officeDocument/2006/relationships/ctrlProp" Target="../ctrlProps/ctrlProp520.xml"/><Relationship Id="rId36" Type="http://schemas.openxmlformats.org/officeDocument/2006/relationships/ctrlProp" Target="../ctrlProps/ctrlProp528.xml"/><Relationship Id="rId49" Type="http://schemas.openxmlformats.org/officeDocument/2006/relationships/ctrlProp" Target="../ctrlProps/ctrlProp541.xml"/><Relationship Id="rId57" Type="http://schemas.openxmlformats.org/officeDocument/2006/relationships/ctrlProp" Target="../ctrlProps/ctrlProp549.xml"/><Relationship Id="rId10" Type="http://schemas.openxmlformats.org/officeDocument/2006/relationships/ctrlProp" Target="../ctrlProps/ctrlProp502.xml"/><Relationship Id="rId31" Type="http://schemas.openxmlformats.org/officeDocument/2006/relationships/ctrlProp" Target="../ctrlProps/ctrlProp523.xml"/><Relationship Id="rId44" Type="http://schemas.openxmlformats.org/officeDocument/2006/relationships/ctrlProp" Target="../ctrlProps/ctrlProp536.xml"/><Relationship Id="rId52" Type="http://schemas.openxmlformats.org/officeDocument/2006/relationships/ctrlProp" Target="../ctrlProps/ctrlProp544.xml"/><Relationship Id="rId60" Type="http://schemas.openxmlformats.org/officeDocument/2006/relationships/ctrlProp" Target="../ctrlProps/ctrlProp55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9.xml"/><Relationship Id="rId3" Type="http://schemas.openxmlformats.org/officeDocument/2006/relationships/ctrlProp" Target="../ctrlProps/ctrlProp554.xml"/><Relationship Id="rId7" Type="http://schemas.openxmlformats.org/officeDocument/2006/relationships/ctrlProp" Target="../ctrlProps/ctrlProp558.xml"/><Relationship Id="rId2" Type="http://schemas.openxmlformats.org/officeDocument/2006/relationships/vmlDrawing" Target="../drawings/vmlDrawing28.vml"/><Relationship Id="rId1" Type="http://schemas.openxmlformats.org/officeDocument/2006/relationships/drawing" Target="../drawings/drawing28.xml"/><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5.xml"/><Relationship Id="rId3" Type="http://schemas.openxmlformats.org/officeDocument/2006/relationships/ctrlProp" Target="../ctrlProps/ctrlProp560.xml"/><Relationship Id="rId7" Type="http://schemas.openxmlformats.org/officeDocument/2006/relationships/ctrlProp" Target="../ctrlProps/ctrlProp564.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63.xml"/><Relationship Id="rId5" Type="http://schemas.openxmlformats.org/officeDocument/2006/relationships/ctrlProp" Target="../ctrlProps/ctrlProp562.xml"/><Relationship Id="rId4"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71.xml"/><Relationship Id="rId3" Type="http://schemas.openxmlformats.org/officeDocument/2006/relationships/ctrlProp" Target="../ctrlProps/ctrlProp566.xml"/><Relationship Id="rId7" Type="http://schemas.openxmlformats.org/officeDocument/2006/relationships/ctrlProp" Target="../ctrlProps/ctrlProp570.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76.xml"/><Relationship Id="rId13" Type="http://schemas.openxmlformats.org/officeDocument/2006/relationships/ctrlProp" Target="../ctrlProps/ctrlProp581.xml"/><Relationship Id="rId18" Type="http://schemas.openxmlformats.org/officeDocument/2006/relationships/ctrlProp" Target="../ctrlProps/ctrlProp586.xml"/><Relationship Id="rId3" Type="http://schemas.openxmlformats.org/officeDocument/2006/relationships/vmlDrawing" Target="../drawings/vmlDrawing31.vml"/><Relationship Id="rId21" Type="http://schemas.openxmlformats.org/officeDocument/2006/relationships/ctrlProp" Target="../ctrlProps/ctrlProp589.xml"/><Relationship Id="rId7" Type="http://schemas.openxmlformats.org/officeDocument/2006/relationships/ctrlProp" Target="../ctrlProps/ctrlProp575.xml"/><Relationship Id="rId12" Type="http://schemas.openxmlformats.org/officeDocument/2006/relationships/ctrlProp" Target="../ctrlProps/ctrlProp580.xml"/><Relationship Id="rId17" Type="http://schemas.openxmlformats.org/officeDocument/2006/relationships/ctrlProp" Target="../ctrlProps/ctrlProp585.xml"/><Relationship Id="rId2" Type="http://schemas.openxmlformats.org/officeDocument/2006/relationships/drawing" Target="../drawings/drawing31.xml"/><Relationship Id="rId16" Type="http://schemas.openxmlformats.org/officeDocument/2006/relationships/ctrlProp" Target="../ctrlProps/ctrlProp584.xml"/><Relationship Id="rId20" Type="http://schemas.openxmlformats.org/officeDocument/2006/relationships/ctrlProp" Target="../ctrlProps/ctrlProp588.xml"/><Relationship Id="rId1" Type="http://schemas.openxmlformats.org/officeDocument/2006/relationships/printerSettings" Target="../printerSettings/printerSettings25.bin"/><Relationship Id="rId6" Type="http://schemas.openxmlformats.org/officeDocument/2006/relationships/ctrlProp" Target="../ctrlProps/ctrlProp574.xml"/><Relationship Id="rId11" Type="http://schemas.openxmlformats.org/officeDocument/2006/relationships/ctrlProp" Target="../ctrlProps/ctrlProp579.xml"/><Relationship Id="rId5" Type="http://schemas.openxmlformats.org/officeDocument/2006/relationships/ctrlProp" Target="../ctrlProps/ctrlProp573.xml"/><Relationship Id="rId15" Type="http://schemas.openxmlformats.org/officeDocument/2006/relationships/ctrlProp" Target="../ctrlProps/ctrlProp583.xml"/><Relationship Id="rId10" Type="http://schemas.openxmlformats.org/officeDocument/2006/relationships/ctrlProp" Target="../ctrlProps/ctrlProp578.xml"/><Relationship Id="rId19" Type="http://schemas.openxmlformats.org/officeDocument/2006/relationships/ctrlProp" Target="../ctrlProps/ctrlProp587.xml"/><Relationship Id="rId4" Type="http://schemas.openxmlformats.org/officeDocument/2006/relationships/ctrlProp" Target="../ctrlProps/ctrlProp572.xml"/><Relationship Id="rId9" Type="http://schemas.openxmlformats.org/officeDocument/2006/relationships/ctrlProp" Target="../ctrlProps/ctrlProp577.xml"/><Relationship Id="rId14" Type="http://schemas.openxmlformats.org/officeDocument/2006/relationships/ctrlProp" Target="../ctrlProps/ctrlProp582.xml"/><Relationship Id="rId22" Type="http://schemas.openxmlformats.org/officeDocument/2006/relationships/ctrlProp" Target="../ctrlProps/ctrlProp59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H27" sqref="H27"/>
    </sheetView>
  </sheetViews>
  <sheetFormatPr defaultRowHeight="12.5" x14ac:dyDescent="0.25"/>
  <cols>
    <col min="1" max="1" width="32.1796875" customWidth="1"/>
    <col min="2" max="2" width="15.453125" customWidth="1"/>
    <col min="3" max="4" width="11.54296875" customWidth="1"/>
    <col min="5" max="5" width="16.54296875" customWidth="1"/>
    <col min="6" max="6" width="23.26953125" customWidth="1"/>
    <col min="7" max="12" width="5.54296875" customWidth="1"/>
    <col min="13" max="13" width="13.7265625" customWidth="1"/>
    <col min="14" max="14" width="5.54296875" customWidth="1"/>
    <col min="15" max="15" width="5.453125" customWidth="1"/>
  </cols>
  <sheetData>
    <row r="1" spans="1:15" ht="15.5" x14ac:dyDescent="0.35">
      <c r="A1" s="467" t="s">
        <v>90</v>
      </c>
      <c r="B1" s="468"/>
      <c r="C1" s="468"/>
      <c r="D1" s="468"/>
      <c r="E1" s="468"/>
      <c r="F1" s="468"/>
      <c r="G1" s="4"/>
      <c r="H1" s="4"/>
      <c r="I1" s="4"/>
      <c r="J1" s="4"/>
      <c r="K1" s="4"/>
      <c r="L1" s="4"/>
      <c r="M1" s="4"/>
      <c r="N1" s="4"/>
      <c r="O1" s="4"/>
    </row>
    <row r="2" spans="1:15" ht="13" x14ac:dyDescent="0.3">
      <c r="A2" s="469" t="s">
        <v>279</v>
      </c>
      <c r="B2" s="470"/>
      <c r="C2" s="470"/>
      <c r="D2" s="470"/>
      <c r="E2" s="470"/>
      <c r="F2" s="470"/>
      <c r="G2" s="4" t="s">
        <v>15</v>
      </c>
      <c r="H2" s="4"/>
      <c r="I2" s="4"/>
      <c r="J2" s="4"/>
      <c r="K2" s="4"/>
      <c r="L2" s="4"/>
      <c r="M2" s="4" t="s">
        <v>15</v>
      </c>
      <c r="N2" s="4" t="s">
        <v>15</v>
      </c>
      <c r="O2" s="4" t="s">
        <v>15</v>
      </c>
    </row>
    <row r="3" spans="1:15" ht="13" x14ac:dyDescent="0.3">
      <c r="A3" s="465" t="s">
        <v>24</v>
      </c>
      <c r="B3" s="465"/>
      <c r="C3" s="465"/>
      <c r="D3" s="465"/>
      <c r="E3" s="465"/>
      <c r="F3" s="465"/>
    </row>
    <row r="4" spans="1:15" x14ac:dyDescent="0.25">
      <c r="A4" s="12"/>
      <c r="B4" s="12"/>
      <c r="C4" s="12"/>
      <c r="D4" s="12"/>
      <c r="E4" s="12"/>
      <c r="F4" s="12"/>
    </row>
    <row r="5" spans="1:15" ht="65.25" customHeight="1" x14ac:dyDescent="0.25">
      <c r="A5" s="466" t="s">
        <v>195</v>
      </c>
      <c r="B5" s="466"/>
      <c r="C5" s="466"/>
      <c r="D5" s="466"/>
      <c r="E5" s="466"/>
      <c r="F5" s="466"/>
    </row>
    <row r="6" spans="1:15" x14ac:dyDescent="0.25">
      <c r="A6" s="12"/>
      <c r="B6" s="12"/>
      <c r="C6" s="12"/>
      <c r="D6" s="12"/>
      <c r="E6" s="12"/>
      <c r="F6" s="11"/>
      <c r="O6" t="s">
        <v>15</v>
      </c>
    </row>
    <row r="7" spans="1:15" x14ac:dyDescent="0.25">
      <c r="A7" s="12" t="s">
        <v>2</v>
      </c>
      <c r="B7" s="472"/>
      <c r="C7" s="477"/>
      <c r="D7" s="477"/>
      <c r="E7" s="473"/>
      <c r="F7" s="11"/>
      <c r="G7" s="1"/>
      <c r="H7" s="1"/>
      <c r="I7" s="1"/>
      <c r="J7" s="1"/>
      <c r="K7" s="1"/>
      <c r="L7" s="1"/>
    </row>
    <row r="8" spans="1:15" x14ac:dyDescent="0.25">
      <c r="A8" s="231" t="s">
        <v>249</v>
      </c>
      <c r="B8" s="472"/>
      <c r="C8" s="473"/>
      <c r="D8" s="13"/>
      <c r="E8" s="13"/>
      <c r="F8" s="13"/>
      <c r="G8" s="1"/>
      <c r="H8" s="1"/>
      <c r="I8" s="1"/>
      <c r="J8" s="1"/>
      <c r="K8" s="1"/>
      <c r="L8" s="1"/>
    </row>
    <row r="9" spans="1:15" ht="13" x14ac:dyDescent="0.3">
      <c r="A9" s="231" t="s">
        <v>233</v>
      </c>
      <c r="B9" s="141">
        <v>7</v>
      </c>
      <c r="C9" s="141">
        <v>2024</v>
      </c>
      <c r="D9" s="13"/>
      <c r="E9" s="13"/>
      <c r="F9" s="13"/>
    </row>
    <row r="10" spans="1:15" x14ac:dyDescent="0.25">
      <c r="A10" s="12"/>
      <c r="B10" s="255" t="s">
        <v>101</v>
      </c>
      <c r="C10" s="252" t="s">
        <v>91</v>
      </c>
      <c r="D10" s="224"/>
      <c r="E10" s="140"/>
      <c r="F10" s="13"/>
    </row>
    <row r="11" spans="1:15" ht="13" x14ac:dyDescent="0.3">
      <c r="A11" s="12" t="s">
        <v>35</v>
      </c>
      <c r="B11" s="474" t="s">
        <v>95</v>
      </c>
      <c r="C11" s="475"/>
      <c r="D11" s="475"/>
      <c r="E11" s="475"/>
      <c r="F11" s="476"/>
    </row>
    <row r="12" spans="1:15" x14ac:dyDescent="0.25">
      <c r="A12" s="12"/>
      <c r="B12" s="12"/>
      <c r="C12" s="12"/>
      <c r="D12" s="12"/>
      <c r="E12" s="12"/>
      <c r="F12" s="12"/>
    </row>
    <row r="13" spans="1:15" x14ac:dyDescent="0.25">
      <c r="A13" s="12"/>
      <c r="B13" s="12"/>
      <c r="C13" s="12"/>
      <c r="D13" s="12"/>
      <c r="E13" s="12"/>
      <c r="F13" s="13"/>
    </row>
    <row r="14" spans="1:15" x14ac:dyDescent="0.25">
      <c r="A14" s="231" t="s">
        <v>273</v>
      </c>
      <c r="B14" s="119">
        <v>0</v>
      </c>
      <c r="C14" s="240" t="s">
        <v>45</v>
      </c>
      <c r="D14" s="11"/>
      <c r="E14" s="14"/>
      <c r="F14" s="11" t="s">
        <v>15</v>
      </c>
    </row>
    <row r="15" spans="1:15" x14ac:dyDescent="0.25">
      <c r="A15" s="231" t="s">
        <v>274</v>
      </c>
      <c r="B15" s="119"/>
      <c r="C15" s="240" t="s">
        <v>45</v>
      </c>
      <c r="D15" s="225"/>
      <c r="E15" s="64">
        <v>3</v>
      </c>
      <c r="F15" s="14" t="s">
        <v>15</v>
      </c>
      <c r="G15" s="2"/>
      <c r="H15" s="2"/>
      <c r="I15" s="2"/>
      <c r="J15" s="2"/>
      <c r="K15" s="2"/>
      <c r="L15" s="2"/>
    </row>
    <row r="16" spans="1:15" x14ac:dyDescent="0.25">
      <c r="A16" s="12" t="s">
        <v>130</v>
      </c>
      <c r="B16" s="304"/>
      <c r="C16" s="240" t="s">
        <v>45</v>
      </c>
      <c r="D16" s="225"/>
      <c r="E16" s="64">
        <v>1</v>
      </c>
      <c r="F16" s="14" t="s">
        <v>15</v>
      </c>
      <c r="G16" s="2"/>
      <c r="H16" s="2"/>
      <c r="I16" s="2"/>
      <c r="J16" s="2"/>
      <c r="K16" s="2"/>
      <c r="L16" s="2"/>
    </row>
    <row r="17" spans="1:13" x14ac:dyDescent="0.25">
      <c r="A17" s="12"/>
      <c r="B17" s="14"/>
      <c r="C17" s="14"/>
      <c r="D17" s="14"/>
      <c r="E17" s="64">
        <v>2</v>
      </c>
      <c r="F17" s="14" t="s">
        <v>15</v>
      </c>
      <c r="G17" s="2"/>
      <c r="H17" s="2"/>
      <c r="I17" s="2"/>
      <c r="J17" s="2"/>
      <c r="K17" s="2"/>
      <c r="L17" s="2"/>
    </row>
    <row r="18" spans="1:13" x14ac:dyDescent="0.25">
      <c r="A18" s="216" t="s">
        <v>77</v>
      </c>
      <c r="B18" s="211"/>
      <c r="C18" s="14"/>
      <c r="D18" s="14"/>
      <c r="E18" s="230">
        <f>IF(E16=1,1,IF(E16=2,0.98,1.01))</f>
        <v>1</v>
      </c>
      <c r="F18" s="65" t="s">
        <v>51</v>
      </c>
      <c r="G18" s="2"/>
      <c r="H18" s="2"/>
      <c r="I18" s="2"/>
      <c r="J18" s="2"/>
      <c r="K18" s="2"/>
      <c r="L18" s="2"/>
    </row>
    <row r="19" spans="1:13" x14ac:dyDescent="0.25">
      <c r="A19" s="12" t="s">
        <v>78</v>
      </c>
      <c r="B19" s="211"/>
      <c r="C19" s="14"/>
      <c r="D19" s="14"/>
      <c r="E19" s="64"/>
      <c r="F19" s="14"/>
      <c r="G19" s="2"/>
      <c r="H19" s="2"/>
      <c r="I19" s="2"/>
      <c r="J19" s="2"/>
      <c r="K19" s="2"/>
      <c r="L19" s="2"/>
    </row>
    <row r="20" spans="1:13" x14ac:dyDescent="0.25">
      <c r="A20" s="12"/>
      <c r="B20" s="14"/>
      <c r="C20" s="14"/>
      <c r="D20" s="14"/>
      <c r="E20" s="64"/>
      <c r="F20" s="14"/>
      <c r="G20" s="2"/>
      <c r="H20" s="2"/>
      <c r="I20" s="2"/>
      <c r="J20" s="2"/>
      <c r="K20" s="2"/>
      <c r="L20" s="2"/>
    </row>
    <row r="21" spans="1:13" x14ac:dyDescent="0.25">
      <c r="A21" s="12" t="s">
        <v>88</v>
      </c>
      <c r="B21" s="289"/>
      <c r="C21" s="229" t="s">
        <v>41</v>
      </c>
      <c r="D21" s="14"/>
      <c r="E21" s="64"/>
      <c r="F21" s="14"/>
      <c r="G21" s="2"/>
      <c r="H21" s="2"/>
      <c r="I21" s="2"/>
      <c r="J21" s="2"/>
      <c r="K21" s="2"/>
      <c r="L21" s="2"/>
    </row>
    <row r="22" spans="1:13" x14ac:dyDescent="0.25">
      <c r="A22" s="12" t="s">
        <v>89</v>
      </c>
      <c r="B22" s="119"/>
      <c r="C22" s="229" t="s">
        <v>41</v>
      </c>
      <c r="D22" s="14"/>
      <c r="E22" s="64"/>
      <c r="F22" s="14"/>
      <c r="G22" s="2"/>
      <c r="H22" s="2"/>
      <c r="I22" s="2"/>
      <c r="J22" s="2"/>
      <c r="K22" s="2"/>
      <c r="L22" s="2"/>
    </row>
    <row r="23" spans="1:13" x14ac:dyDescent="0.25">
      <c r="A23" s="231" t="s">
        <v>272</v>
      </c>
      <c r="B23" s="119"/>
      <c r="C23" s="229" t="s">
        <v>41</v>
      </c>
      <c r="D23" s="229"/>
      <c r="E23" s="64"/>
      <c r="F23" s="14"/>
      <c r="G23" s="2"/>
      <c r="H23" s="2"/>
      <c r="I23" s="2"/>
      <c r="J23" s="2"/>
      <c r="K23" s="2"/>
      <c r="L23" s="2"/>
    </row>
    <row r="24" spans="1:13" x14ac:dyDescent="0.25">
      <c r="A24" s="12"/>
      <c r="B24" s="14"/>
      <c r="C24" s="14"/>
      <c r="D24" s="229"/>
      <c r="E24" s="231" t="s">
        <v>15</v>
      </c>
      <c r="F24" s="216"/>
      <c r="G24" s="2"/>
      <c r="H24" s="2"/>
      <c r="I24" s="2"/>
      <c r="J24" s="2"/>
      <c r="K24" s="2"/>
      <c r="L24" s="2"/>
      <c r="M24" s="217"/>
    </row>
    <row r="25" spans="1:13" x14ac:dyDescent="0.25">
      <c r="A25" s="12"/>
      <c r="B25" s="14"/>
      <c r="C25" s="14"/>
      <c r="D25" s="229"/>
      <c r="E25" s="219"/>
      <c r="F25" s="216"/>
    </row>
    <row r="26" spans="1:13" x14ac:dyDescent="0.25">
      <c r="A26" s="12" t="s">
        <v>127</v>
      </c>
      <c r="B26" s="122"/>
      <c r="C26" s="229" t="s">
        <v>126</v>
      </c>
      <c r="D26" s="229"/>
      <c r="E26" s="236"/>
      <c r="F26" s="218"/>
      <c r="G26" s="2"/>
      <c r="H26" s="2"/>
      <c r="I26" s="2"/>
      <c r="J26" s="2"/>
      <c r="K26" s="2"/>
      <c r="L26" s="2"/>
    </row>
    <row r="27" spans="1:13" x14ac:dyDescent="0.25">
      <c r="A27" s="12" t="s">
        <v>53</v>
      </c>
      <c r="B27" s="119">
        <v>0</v>
      </c>
      <c r="C27" s="229" t="s">
        <v>46</v>
      </c>
      <c r="D27" s="229"/>
      <c r="E27" s="231"/>
      <c r="F27" s="14" t="s">
        <v>15</v>
      </c>
      <c r="G27" s="2"/>
      <c r="H27" s="2"/>
      <c r="I27" s="2"/>
      <c r="J27" s="2"/>
      <c r="K27" s="2"/>
      <c r="L27" s="2"/>
    </row>
    <row r="28" spans="1:13" x14ac:dyDescent="0.25">
      <c r="A28" s="12"/>
      <c r="B28" s="14"/>
      <c r="C28" s="14"/>
      <c r="D28" s="229"/>
      <c r="E28" s="231"/>
      <c r="F28" s="14" t="s">
        <v>15</v>
      </c>
      <c r="G28" s="2"/>
      <c r="H28" s="2"/>
      <c r="I28" s="2"/>
      <c r="J28" s="2"/>
      <c r="K28" s="2"/>
      <c r="L28" s="2"/>
    </row>
    <row r="29" spans="1:13" ht="13" x14ac:dyDescent="0.3">
      <c r="A29" s="12" t="s">
        <v>0</v>
      </c>
      <c r="B29" s="57"/>
      <c r="C29" s="232" t="s">
        <v>131</v>
      </c>
      <c r="D29" s="233">
        <f>IF(ISNUMBER(B29),B29,IF(ISNUMBER(B27),(IF(ABS(B21+B22)&gt;0,ROUND(COS(ATAN(B27/(B21+B22))),3),1)),1))</f>
        <v>1</v>
      </c>
      <c r="E29" s="231"/>
      <c r="F29" s="14" t="s">
        <v>15</v>
      </c>
      <c r="G29" s="2"/>
      <c r="H29" s="2"/>
      <c r="I29" s="2"/>
      <c r="J29" s="2"/>
      <c r="K29" s="2"/>
      <c r="L29" s="2"/>
    </row>
    <row r="30" spans="1:13" x14ac:dyDescent="0.25">
      <c r="A30" s="12"/>
      <c r="B30" s="14"/>
      <c r="C30" s="14"/>
      <c r="D30" s="234">
        <f>IF(D29&lt;&gt;0,SIGN(D29)*ROUND(1/D29,3),0)</f>
        <v>1</v>
      </c>
      <c r="E30" s="12"/>
      <c r="F30" s="65"/>
      <c r="G30" s="2"/>
      <c r="H30" s="2"/>
      <c r="I30" s="2"/>
      <c r="J30" s="2"/>
      <c r="K30" s="2"/>
      <c r="L30" s="2"/>
    </row>
    <row r="31" spans="1:13" ht="12" customHeight="1" x14ac:dyDescent="0.25">
      <c r="A31" s="62"/>
      <c r="B31" s="213"/>
      <c r="C31" s="248"/>
      <c r="D31" s="235"/>
      <c r="E31" s="12" t="s">
        <v>15</v>
      </c>
      <c r="F31" s="216"/>
      <c r="G31" s="2"/>
      <c r="H31" s="2"/>
      <c r="I31" s="2"/>
      <c r="J31" s="2"/>
      <c r="K31" s="2"/>
      <c r="L31" s="2"/>
    </row>
    <row r="32" spans="1:13" ht="12.75" customHeight="1" x14ac:dyDescent="0.25">
      <c r="A32" s="63" t="s">
        <v>125</v>
      </c>
      <c r="B32" s="213"/>
      <c r="C32" s="248" t="b">
        <v>0</v>
      </c>
      <c r="D32" s="235"/>
      <c r="E32" s="231"/>
      <c r="F32" s="231"/>
    </row>
    <row r="33" spans="1:6" ht="12" customHeight="1" x14ac:dyDescent="0.25">
      <c r="A33" s="63" t="s">
        <v>128</v>
      </c>
      <c r="B33" s="214"/>
      <c r="C33" s="248" t="b">
        <v>0</v>
      </c>
      <c r="D33" s="235"/>
      <c r="E33" s="231"/>
      <c r="F33" s="231"/>
    </row>
    <row r="34" spans="1:6" x14ac:dyDescent="0.25">
      <c r="A34" s="256" t="s">
        <v>217</v>
      </c>
      <c r="B34" s="214"/>
      <c r="C34" s="257" t="b">
        <v>0</v>
      </c>
      <c r="D34" s="215"/>
      <c r="E34" s="12"/>
      <c r="F34" s="216"/>
    </row>
    <row r="35" spans="1:6" ht="12" customHeight="1" x14ac:dyDescent="0.25">
      <c r="A35" s="63"/>
      <c r="B35" s="74"/>
      <c r="C35" s="215"/>
      <c r="D35" s="215"/>
      <c r="E35" s="12"/>
      <c r="F35" s="216"/>
    </row>
    <row r="36" spans="1:6" x14ac:dyDescent="0.25">
      <c r="A36" s="471" t="s">
        <v>25</v>
      </c>
      <c r="B36" s="471"/>
      <c r="C36" s="471"/>
      <c r="D36" s="223"/>
      <c r="E36" s="231"/>
      <c r="F36" s="286" t="s">
        <v>319</v>
      </c>
    </row>
    <row r="37" spans="1:6" x14ac:dyDescent="0.25">
      <c r="A37" s="12"/>
      <c r="B37" s="12"/>
      <c r="C37" s="12"/>
      <c r="D37" s="12"/>
      <c r="E37" s="12"/>
      <c r="F37" s="244"/>
    </row>
    <row r="39" spans="1:6" x14ac:dyDescent="0.25">
      <c r="B39" s="3"/>
    </row>
  </sheetData>
  <sheetProtection algorithmName="SHA-512" hashValue="h7e+hpms17vKzoXy5nW6vht//3ubvou2uULMOEO9SrgKx9vKOrzLBaFVskiuo9aq/xAV/+ZE4tp7J5SBHH7QwA==" saltValue="xgbcEESFniXcHH/GOTurMQ==" spinCount="100000" sheet="1" objects="1" scenarios="1"/>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19050</xdr:colOff>
                    <xdr:row>30</xdr:row>
                    <xdr:rowOff>146050</xdr:rowOff>
                  </from>
                  <to>
                    <xdr:col>1</xdr:col>
                    <xdr:colOff>685800</xdr:colOff>
                    <xdr:row>32</xdr:row>
                    <xdr:rowOff>50800</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146050</xdr:rowOff>
                  </from>
                  <to>
                    <xdr:col>5</xdr:col>
                    <xdr:colOff>1009650</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1009650</xdr:colOff>
                    <xdr:row>15</xdr:row>
                    <xdr:rowOff>95250</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95250</xdr:rowOff>
                  </from>
                  <to>
                    <xdr:col>5</xdr:col>
                    <xdr:colOff>1009650</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1009650</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19050</xdr:colOff>
                    <xdr:row>31</xdr:row>
                    <xdr:rowOff>107950</xdr:rowOff>
                  </from>
                  <to>
                    <xdr:col>2</xdr:col>
                    <xdr:colOff>165100</xdr:colOff>
                    <xdr:row>33</xdr:row>
                    <xdr:rowOff>69850</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19050</xdr:colOff>
                    <xdr:row>32</xdr:row>
                    <xdr:rowOff>127000</xdr:rowOff>
                  </from>
                  <to>
                    <xdr:col>1</xdr:col>
                    <xdr:colOff>908050</xdr:colOff>
                    <xdr:row>34</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6"/>
  <sheetViews>
    <sheetView showGridLines="0" topLeftCell="A15" zoomScale="80" zoomScaleNormal="80" workbookViewId="0">
      <selection activeCell="M69" sqref="M69"/>
    </sheetView>
  </sheetViews>
  <sheetFormatPr defaultRowHeight="12.5" x14ac:dyDescent="0.25"/>
  <cols>
    <col min="1" max="1" width="31" customWidth="1"/>
    <col min="2" max="2" width="2.1796875" customWidth="1"/>
    <col min="3" max="3" width="21.1796875" customWidth="1"/>
    <col min="4" max="4" width="15.26953125" customWidth="1"/>
    <col min="5" max="5" width="10.1796875" customWidth="1"/>
    <col min="6" max="6" width="5.54296875" customWidth="1"/>
    <col min="7" max="8" width="13.26953125" customWidth="1"/>
    <col min="9" max="9" width="14.54296875" customWidth="1"/>
    <col min="10" max="10" width="13.26953125" customWidth="1"/>
    <col min="11" max="11" width="7" customWidth="1"/>
    <col min="12" max="12" width="15.1796875" customWidth="1"/>
    <col min="13" max="13" width="17.26953125" bestFit="1" customWidth="1"/>
    <col min="14" max="14" width="16.7265625" customWidth="1"/>
    <col min="15" max="15" width="19.1796875" bestFit="1" customWidth="1"/>
    <col min="16" max="16" width="12.81640625" bestFit="1" customWidth="1"/>
    <col min="18" max="18" width="9.17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84</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row>
    <row r="6" spans="1:30" x14ac:dyDescent="0.25">
      <c r="A6" s="76">
        <f ca="1">TODAY()</f>
        <v>45476</v>
      </c>
      <c r="B6" s="210" t="s">
        <v>230</v>
      </c>
      <c r="C6" s="76"/>
      <c r="D6" s="76"/>
      <c r="E6" s="76"/>
      <c r="F6" s="76"/>
      <c r="G6" s="76"/>
      <c r="H6" s="76"/>
      <c r="I6" s="76"/>
    </row>
    <row r="7" spans="1:30" ht="25" x14ac:dyDescent="0.5">
      <c r="A7" s="506"/>
      <c r="B7" s="506"/>
      <c r="C7" s="506"/>
      <c r="D7" s="506"/>
      <c r="E7" s="506"/>
      <c r="F7" s="506"/>
      <c r="G7" s="506"/>
      <c r="H7" s="506"/>
      <c r="I7" s="506"/>
      <c r="J7" s="506"/>
      <c r="K7" s="506"/>
      <c r="L7" s="506"/>
      <c r="M7" s="506"/>
      <c r="N7" s="506"/>
      <c r="O7" s="506"/>
      <c r="P7" s="506"/>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226</v>
      </c>
      <c r="B16" s="31"/>
      <c r="C16" s="32">
        <f>'Customer Info'!B21</f>
        <v>0</v>
      </c>
      <c r="D16" s="31" t="s">
        <v>41</v>
      </c>
      <c r="E16" s="31"/>
      <c r="F16" s="33"/>
      <c r="G16" s="23" t="s">
        <v>15</v>
      </c>
      <c r="H16" s="31"/>
    </row>
    <row r="17" spans="1:221" ht="13" x14ac:dyDescent="0.3">
      <c r="A17" s="31" t="s">
        <v>227</v>
      </c>
      <c r="B17" s="31"/>
      <c r="C17" s="32">
        <f>'Customer Info'!B22</f>
        <v>0</v>
      </c>
      <c r="D17" s="262" t="s">
        <v>41</v>
      </c>
      <c r="E17" s="33"/>
      <c r="F17" s="33"/>
      <c r="G17" s="23" t="s">
        <v>15</v>
      </c>
      <c r="H17" s="31"/>
      <c r="I17" s="52" t="s">
        <v>15</v>
      </c>
    </row>
    <row r="19" spans="1:221" ht="13" x14ac:dyDescent="0.3">
      <c r="A19" s="28" t="s">
        <v>31</v>
      </c>
      <c r="B19" s="22"/>
      <c r="C19" s="22"/>
      <c r="D19" s="22"/>
      <c r="E19" s="22"/>
      <c r="F19" s="22"/>
      <c r="G19" s="490" t="s">
        <v>68</v>
      </c>
      <c r="H19" s="491"/>
      <c r="I19" s="491"/>
      <c r="J19" s="492"/>
      <c r="K19" s="22"/>
      <c r="L19" s="493" t="s">
        <v>69</v>
      </c>
      <c r="M19" s="493"/>
      <c r="N19" s="493"/>
      <c r="O19" s="493"/>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160</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238</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187</v>
      </c>
      <c r="B34" s="78"/>
      <c r="C34" s="78"/>
      <c r="D34" s="100">
        <f>'GS-TOU Bundled'!C16+'GS-TOU Bundled'!C17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163</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220</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194</v>
      </c>
      <c r="B37" s="78"/>
      <c r="C37" s="78"/>
      <c r="D37" s="100">
        <f>C16+C17</f>
        <v>0</v>
      </c>
      <c r="E37" s="101" t="s">
        <v>41</v>
      </c>
      <c r="F37" s="102" t="s">
        <v>8</v>
      </c>
      <c r="G37" s="103">
        <f>'Rider Rates'!$B$45</f>
        <v>-3.1569999999999998E-4</v>
      </c>
      <c r="H37" s="103"/>
      <c r="I37" s="103"/>
      <c r="J37" s="237">
        <f>SUM(G37:H37)</f>
        <v>-3.1569999999999998E-4</v>
      </c>
      <c r="K37" s="104" t="s">
        <v>42</v>
      </c>
      <c r="L37" s="105">
        <f>ROUND(D37*G37,2)</f>
        <v>0</v>
      </c>
      <c r="M37" s="105"/>
      <c r="N37" s="105"/>
      <c r="O37" s="105">
        <f t="shared" si="2"/>
        <v>0</v>
      </c>
      <c r="P37" s="245">
        <f>'Rider Rates'!$D$45</f>
        <v>45383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211</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190</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Rates'!$B$68+'Rider Rates'!$C$68</f>
        <v>0</v>
      </c>
      <c r="J40" s="103">
        <f t="shared" si="0"/>
        <v>0</v>
      </c>
      <c r="K40" s="104" t="s">
        <v>42</v>
      </c>
      <c r="L40" s="105"/>
      <c r="M40" s="105"/>
      <c r="N40" s="105">
        <f>ROUND($D$40*'Rider Rates'!$B$68,2)+ROUND($D$40*'Rider Rates'!$C$68,2)</f>
        <v>0</v>
      </c>
      <c r="O40" s="105">
        <f t="shared" si="2"/>
        <v>0</v>
      </c>
      <c r="P40" s="245">
        <f>'Rider Rates'!$D$68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Rates'!$B$75</f>
        <v>0</v>
      </c>
      <c r="J41" s="196">
        <f>IF('Customer Info'!C34=TRUE,0,SUM(G41:I41))</f>
        <v>0</v>
      </c>
      <c r="K41" s="104"/>
      <c r="L41" s="105"/>
      <c r="M41" s="105"/>
      <c r="N41" s="105">
        <f>J41</f>
        <v>0</v>
      </c>
      <c r="O41" s="105">
        <f>SUM(L41:N41)</f>
        <v>0</v>
      </c>
      <c r="P41" s="245">
        <f>'Rider Rates'!$D$75</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Rates'!$B$83</f>
        <v>2.9347000000000002E-2</v>
      </c>
      <c r="J42" s="120">
        <f t="shared" si="0"/>
        <v>2.9347000000000002E-2</v>
      </c>
      <c r="K42" s="104"/>
      <c r="L42" s="105"/>
      <c r="M42" s="105"/>
      <c r="N42" s="105">
        <f>ROUND(D42*I42,2)</f>
        <v>0.28000000000000003</v>
      </c>
      <c r="O42" s="105">
        <f t="shared" si="2"/>
        <v>0.28000000000000003</v>
      </c>
      <c r="P42" s="245">
        <f>'Rider Rates'!$D$83</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Rates'!$B$85</f>
        <v>6.6985699999999995E-2</v>
      </c>
      <c r="J43" s="120">
        <f t="shared" si="0"/>
        <v>6.6985699999999995E-2</v>
      </c>
      <c r="K43" s="104"/>
      <c r="L43" s="105"/>
      <c r="M43" s="105"/>
      <c r="N43" s="105">
        <f>ROUND(D43*I43,2)</f>
        <v>0.63</v>
      </c>
      <c r="O43" s="105">
        <f t="shared" si="2"/>
        <v>0.63</v>
      </c>
      <c r="P43" s="245">
        <f>'Rider Rates'!$D$85</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207</v>
      </c>
      <c r="B44" s="78"/>
      <c r="C44" s="78"/>
      <c r="D44" s="195"/>
      <c r="E44" s="113" t="s">
        <v>115</v>
      </c>
      <c r="F44" s="106"/>
      <c r="G44" s="114"/>
      <c r="H44" s="115"/>
      <c r="I44" s="196">
        <f>'Rider Rates'!$B$89</f>
        <v>11.97</v>
      </c>
      <c r="J44" s="196">
        <f t="shared" si="0"/>
        <v>11.97</v>
      </c>
      <c r="K44" s="104"/>
      <c r="L44" s="105"/>
      <c r="M44" s="105"/>
      <c r="N44" s="105">
        <f>I44</f>
        <v>11.97</v>
      </c>
      <c r="O44" s="105">
        <f t="shared" si="2"/>
        <v>11.97</v>
      </c>
      <c r="P44" s="245">
        <f>'Rider Rates'!$D$89</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240</v>
      </c>
      <c r="B45" s="78"/>
      <c r="C45" s="78"/>
      <c r="D45" s="100">
        <f>IF($C$15&lt;0,0,$C$15)</f>
        <v>0</v>
      </c>
      <c r="E45" s="101" t="s">
        <v>41</v>
      </c>
      <c r="F45" s="102" t="s">
        <v>8</v>
      </c>
      <c r="G45" s="103"/>
      <c r="H45" s="103"/>
      <c r="I45" s="103"/>
      <c r="J45" s="103">
        <f>'Rider Rates'!$B$93</f>
        <v>0</v>
      </c>
      <c r="K45" s="104" t="s">
        <v>42</v>
      </c>
      <c r="L45" s="105"/>
      <c r="M45" s="105"/>
      <c r="N45" s="105"/>
      <c r="O45" s="105">
        <f>ROUND($D45*('Rider Rates'!B$93),2)</f>
        <v>0</v>
      </c>
      <c r="P45" s="245">
        <f>'Rider Rates'!$D$93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157</v>
      </c>
      <c r="B46" s="78"/>
      <c r="C46" s="78"/>
      <c r="D46" s="195">
        <f>$N$23</f>
        <v>9.4</v>
      </c>
      <c r="E46" s="101" t="s">
        <v>122</v>
      </c>
      <c r="F46" s="102" t="s">
        <v>8</v>
      </c>
      <c r="G46" s="114"/>
      <c r="H46" s="115"/>
      <c r="I46" s="120">
        <f>'Rider Rates'!$B$103</f>
        <v>0.21398439999999999</v>
      </c>
      <c r="J46" s="120">
        <f t="shared" si="0"/>
        <v>0.21398439999999999</v>
      </c>
      <c r="K46" s="104"/>
      <c r="L46" s="105"/>
      <c r="M46" s="105"/>
      <c r="N46" s="105">
        <f>ROUND(D46*I46,2)</f>
        <v>2.0099999999999998</v>
      </c>
      <c r="O46" s="105">
        <f t="shared" si="2"/>
        <v>2.0099999999999998</v>
      </c>
      <c r="P46" s="245">
        <f>'Rider Rates'!$D$103</f>
        <v>45351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210</v>
      </c>
      <c r="B47" s="78"/>
      <c r="C47" s="78"/>
      <c r="D47" s="195"/>
      <c r="E47" s="113" t="s">
        <v>115</v>
      </c>
      <c r="F47" s="106"/>
      <c r="G47" s="114"/>
      <c r="H47" s="115"/>
      <c r="I47" s="196">
        <f>'Rider Rates'!$B$107</f>
        <v>0</v>
      </c>
      <c r="J47" s="196">
        <f t="shared" si="0"/>
        <v>0</v>
      </c>
      <c r="K47" s="104"/>
      <c r="L47" s="105"/>
      <c r="M47" s="105"/>
      <c r="N47" s="105">
        <f>I47</f>
        <v>0</v>
      </c>
      <c r="O47" s="105">
        <f t="shared" si="2"/>
        <v>0</v>
      </c>
      <c r="P47" s="245">
        <f>'Rider Rates'!$D$107</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218</v>
      </c>
      <c r="B48" s="78"/>
      <c r="C48" s="78"/>
      <c r="D48" s="195"/>
      <c r="E48" s="113" t="s">
        <v>115</v>
      </c>
      <c r="F48" s="106"/>
      <c r="G48" s="114"/>
      <c r="H48" s="115"/>
      <c r="I48" s="258">
        <f>'Rider Rates'!B120</f>
        <v>5.83</v>
      </c>
      <c r="J48" s="196">
        <f t="shared" si="0"/>
        <v>5.83</v>
      </c>
      <c r="K48" s="104"/>
      <c r="L48" s="105"/>
      <c r="M48" s="105"/>
      <c r="N48" s="260">
        <f>I48</f>
        <v>5.83</v>
      </c>
      <c r="O48" s="105">
        <f t="shared" si="2"/>
        <v>5.83</v>
      </c>
      <c r="P48" s="245">
        <f>'Rider Rates'!D120</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158</v>
      </c>
      <c r="B49" s="78"/>
      <c r="C49" s="78"/>
      <c r="D49" s="100">
        <f>C16+C17</f>
        <v>0</v>
      </c>
      <c r="E49" s="101" t="s">
        <v>41</v>
      </c>
      <c r="F49" s="102" t="s">
        <v>8</v>
      </c>
      <c r="G49" s="103">
        <f>'Rider Rates'!$B$110</f>
        <v>3.8972999999999998E-3</v>
      </c>
      <c r="H49" s="103"/>
      <c r="I49" s="120"/>
      <c r="J49" s="237">
        <f>SUM(G49:H49)</f>
        <v>3.8972999999999998E-3</v>
      </c>
      <c r="K49" s="104" t="s">
        <v>42</v>
      </c>
      <c r="L49" s="105">
        <f>ROUND(D49*G49,2)</f>
        <v>0</v>
      </c>
      <c r="M49" s="105"/>
      <c r="N49" s="105"/>
      <c r="O49" s="105">
        <f t="shared" si="2"/>
        <v>0</v>
      </c>
      <c r="P49" s="245">
        <f>'Rider Rates'!$D$110</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209</v>
      </c>
      <c r="B50" s="78"/>
      <c r="C50" s="78"/>
      <c r="D50" s="100">
        <f>IF($C$15&lt;1,0,$C$15)</f>
        <v>0</v>
      </c>
      <c r="E50" s="101" t="s">
        <v>41</v>
      </c>
      <c r="F50" s="249" t="s">
        <v>8</v>
      </c>
      <c r="G50" s="165"/>
      <c r="H50" s="165"/>
      <c r="I50" s="251">
        <f>'Rider Rates'!B116</f>
        <v>-6.2E-4</v>
      </c>
      <c r="J50" s="251">
        <f>SUM(G50:I50)</f>
        <v>-6.2E-4</v>
      </c>
      <c r="K50" s="104" t="s">
        <v>42</v>
      </c>
      <c r="L50" s="105"/>
      <c r="M50" s="105"/>
      <c r="N50" s="105">
        <f>D50*J50</f>
        <v>0</v>
      </c>
      <c r="O50" s="105">
        <f>SUM(L50:N50)</f>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00">
        <f>IF(C15&lt;0,0,IF(C15&gt;833000,833000,C15))</f>
        <v>0</v>
      </c>
      <c r="E51" s="101" t="s">
        <v>41</v>
      </c>
      <c r="F51" s="102" t="s">
        <v>8</v>
      </c>
      <c r="G51" s="265"/>
      <c r="H51" s="265"/>
      <c r="I51" s="265">
        <f>'Rider Rates'!$B$124</f>
        <v>2.9050000000000001E-4</v>
      </c>
      <c r="J51" s="265">
        <f>SUM(G51:I51)</f>
        <v>2.9050000000000001E-4</v>
      </c>
      <c r="K51" s="104" t="s">
        <v>42</v>
      </c>
      <c r="L51" s="266"/>
      <c r="M51" s="266"/>
      <c r="N51" s="266">
        <f>IF(D51*J51&gt;'Rider Rates'!$C$124,'Rider Rates'!$C$124,D51*J51)</f>
        <v>0</v>
      </c>
      <c r="O51" s="266">
        <f>SUM(L51:N51)</f>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235</v>
      </c>
      <c r="B52" s="78"/>
      <c r="C52" s="78"/>
      <c r="D52" s="123">
        <f>IF(C15&gt;833000,C15-833000,0)</f>
        <v>0</v>
      </c>
      <c r="E52" s="101" t="s">
        <v>41</v>
      </c>
      <c r="F52" s="102" t="s">
        <v>8</v>
      </c>
      <c r="G52" s="265"/>
      <c r="H52" s="265"/>
      <c r="I52" s="265">
        <f>'Rider Rates'!$B$125</f>
        <v>0</v>
      </c>
      <c r="J52" s="265">
        <f>SUM(G52:I52)</f>
        <v>0</v>
      </c>
      <c r="K52" s="104" t="s">
        <v>42</v>
      </c>
      <c r="L52" s="266"/>
      <c r="M52" s="266"/>
      <c r="N52" s="266">
        <f>D52*J52</f>
        <v>0</v>
      </c>
      <c r="O52" s="266">
        <f>SUM(L52:N52)</f>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f>C15</f>
        <v>0</v>
      </c>
      <c r="E53" s="101" t="s">
        <v>41</v>
      </c>
      <c r="F53" s="249" t="s">
        <v>8</v>
      </c>
      <c r="G53" s="103"/>
      <c r="H53" s="103"/>
      <c r="I53" s="103">
        <f>'Rider Rates'!$B$129</f>
        <v>0</v>
      </c>
      <c r="J53" s="237">
        <f>SUM(G53:I53)</f>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242</v>
      </c>
      <c r="B54" s="78"/>
      <c r="C54" s="78"/>
      <c r="D54" s="100"/>
      <c r="E54" s="101" t="s">
        <v>115</v>
      </c>
      <c r="F54" s="102" t="s">
        <v>8</v>
      </c>
      <c r="G54" s="263"/>
      <c r="H54" s="263"/>
      <c r="I54" s="263">
        <f>'Rider Rates'!$B$136</f>
        <v>0</v>
      </c>
      <c r="J54" s="263">
        <f>SUM(G54:I54)</f>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79" t="s">
        <v>71</v>
      </c>
      <c r="B56" s="148"/>
      <c r="C56" s="148"/>
      <c r="D56" s="180"/>
      <c r="E56" s="181"/>
      <c r="F56" s="182"/>
      <c r="G56" s="182"/>
      <c r="H56" s="182"/>
      <c r="I56" s="182"/>
      <c r="J56" s="182"/>
      <c r="K56" s="183"/>
      <c r="L56" s="169">
        <f>SUM(L27:L55)</f>
        <v>0</v>
      </c>
      <c r="M56" s="169">
        <f t="shared" ref="M56:O56" si="3">SUM(M27:M55)</f>
        <v>0</v>
      </c>
      <c r="N56" s="169">
        <f t="shared" si="3"/>
        <v>20.72</v>
      </c>
      <c r="O56" s="169">
        <f t="shared" si="3"/>
        <v>20.72</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85" t="s">
        <v>94</v>
      </c>
      <c r="B58" s="170"/>
      <c r="C58" s="170"/>
      <c r="D58" s="170"/>
      <c r="E58" s="170"/>
      <c r="F58" s="170"/>
      <c r="G58" s="170"/>
      <c r="H58" s="170"/>
      <c r="I58" s="170"/>
      <c r="J58" s="170"/>
      <c r="K58" s="170"/>
      <c r="L58" s="186">
        <f>L23+L56</f>
        <v>0</v>
      </c>
      <c r="M58" s="186">
        <f>M23+M56</f>
        <v>0</v>
      </c>
      <c r="N58" s="186">
        <f>N23+N56</f>
        <v>30.119999999999997</v>
      </c>
      <c r="O58" s="187">
        <f>O23+O56</f>
        <v>30.119999999999997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93</v>
      </c>
      <c r="B61" s="78"/>
      <c r="C61" s="78"/>
      <c r="D61" s="78"/>
      <c r="E61" s="78"/>
      <c r="F61" s="78"/>
      <c r="G61" s="78"/>
      <c r="H61" s="78"/>
      <c r="I61" s="78"/>
      <c r="J61" s="78"/>
      <c r="K61" s="78"/>
      <c r="L61" s="78"/>
      <c r="M61" s="78"/>
      <c r="N61" s="78"/>
      <c r="O61" s="109">
        <f>O21+O56</f>
        <v>30.119999999999997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3" x14ac:dyDescent="0.3">
      <c r="A63" s="148" t="s">
        <v>117</v>
      </c>
      <c r="B63" s="151"/>
      <c r="C63" s="151"/>
      <c r="D63" s="151"/>
      <c r="E63" s="151"/>
      <c r="F63" s="151"/>
      <c r="G63" s="151"/>
      <c r="H63" s="151"/>
      <c r="I63" s="151"/>
      <c r="J63" s="151"/>
      <c r="K63" s="151"/>
      <c r="L63" s="151"/>
      <c r="M63" s="151"/>
      <c r="N63" s="151"/>
      <c r="O63" s="190">
        <f>IF($D$17&lt;0,O58,IF(O58&gt;O61,O58,O61))</f>
        <v>30.119999999999997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3">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ht="13" x14ac:dyDescent="0.3">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ht="13" x14ac:dyDescent="0.3">
      <c r="B66" s="78"/>
      <c r="C66" s="78"/>
      <c r="D66" s="78"/>
      <c r="E66" s="78"/>
      <c r="F66" s="78"/>
      <c r="G66" s="78"/>
      <c r="H66" s="192"/>
      <c r="I66" s="242" t="s">
        <v>191</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y6w9QxuYBj2expW71aA3G1FrsR1nxGesHecmc2YQFwiv4Vmw+wOyYXsixEOhRfzU+E/ET+6zqQuJWsOHEelPmQ==" saltValue="bcTK6fsbtWnnW03V9ZDAd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57150</xdr:colOff>
                    <xdr:row>0</xdr:row>
                    <xdr:rowOff>38100</xdr:rowOff>
                  </from>
                  <to>
                    <xdr:col>0</xdr:col>
                    <xdr:colOff>571500</xdr:colOff>
                    <xdr:row>0</xdr:row>
                    <xdr:rowOff>247650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1"/>
  <sheetViews>
    <sheetView showGridLines="0" topLeftCell="A10" zoomScale="80" zoomScaleNormal="80" workbookViewId="0">
      <selection activeCell="K60" sqref="K60"/>
    </sheetView>
  </sheetViews>
  <sheetFormatPr defaultRowHeight="12.5" x14ac:dyDescent="0.25"/>
  <cols>
    <col min="1" max="1" width="37.54296875" customWidth="1"/>
    <col min="2" max="2" width="2.1796875" customWidth="1"/>
    <col min="3" max="3" width="14.54296875" customWidth="1"/>
    <col min="4" max="4" width="16.26953125" bestFit="1" customWidth="1"/>
    <col min="5" max="5" width="9.81640625" customWidth="1"/>
    <col min="6" max="6" width="5.54296875" customWidth="1"/>
    <col min="7" max="8" width="13.26953125" customWidth="1"/>
    <col min="9" max="9" width="14.54296875" customWidth="1"/>
    <col min="10" max="10" width="13.26953125" customWidth="1"/>
    <col min="11" max="11" width="7" customWidth="1"/>
    <col min="12" max="12" width="15" customWidth="1"/>
    <col min="13" max="13" width="16" customWidth="1"/>
    <col min="14" max="14" width="15.1796875" bestFit="1" customWidth="1"/>
    <col min="15" max="15" width="17.26953125" bestFit="1" customWidth="1"/>
    <col min="16" max="16" width="12.81640625" bestFit="1" customWidth="1"/>
    <col min="18" max="18" width="13"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254</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6">
        <f ca="1">TODAY()</f>
        <v>45476</v>
      </c>
      <c r="B5" s="75"/>
      <c r="C5" s="75"/>
      <c r="D5" s="75"/>
      <c r="E5" s="75"/>
      <c r="F5" s="75"/>
      <c r="G5" s="75"/>
      <c r="H5" s="75"/>
      <c r="I5" s="75"/>
      <c r="J5" s="75"/>
      <c r="K5" s="75"/>
      <c r="L5" s="75"/>
      <c r="M5" s="75"/>
      <c r="N5" s="75"/>
      <c r="O5" s="75"/>
      <c r="P5" s="75"/>
    </row>
    <row r="6" spans="1:30" x14ac:dyDescent="0.25">
      <c r="A6" s="507" t="s">
        <v>251</v>
      </c>
      <c r="B6" s="507"/>
      <c r="C6" s="507"/>
      <c r="D6" s="507"/>
      <c r="E6" s="507"/>
      <c r="F6" s="507"/>
      <c r="G6" s="507"/>
      <c r="H6" s="507"/>
      <c r="I6" s="507"/>
      <c r="J6" s="507"/>
      <c r="K6" s="507"/>
      <c r="L6" s="507"/>
      <c r="M6" s="507"/>
      <c r="N6" s="507"/>
      <c r="O6" s="507"/>
      <c r="P6" s="507"/>
      <c r="Q6" s="507"/>
    </row>
    <row r="7" spans="1:30" x14ac:dyDescent="0.25">
      <c r="A7" s="479" t="s">
        <v>15</v>
      </c>
      <c r="B7" s="479"/>
      <c r="C7" s="479"/>
      <c r="D7" s="479"/>
      <c r="E7" s="479"/>
      <c r="F7" s="479"/>
      <c r="G7" s="479"/>
      <c r="H7" s="479"/>
      <c r="I7" s="479"/>
      <c r="J7" s="479"/>
      <c r="K7" s="47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97" t="s">
        <v>27</v>
      </c>
      <c r="B13" s="18"/>
      <c r="C13" s="18"/>
      <c r="D13" s="18"/>
      <c r="E13" s="18"/>
      <c r="F13" s="18"/>
      <c r="G13" s="18"/>
      <c r="H13" s="18"/>
      <c r="I13" s="18"/>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5">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ht="13" x14ac:dyDescent="0.3">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ht="13" x14ac:dyDescent="0.3">
      <c r="A17" s="28" t="s">
        <v>76</v>
      </c>
      <c r="B17" s="22"/>
      <c r="C17" s="22"/>
      <c r="D17" s="22"/>
      <c r="E17" s="22"/>
      <c r="F17" s="22"/>
      <c r="G17" s="490" t="s">
        <v>68</v>
      </c>
      <c r="H17" s="491"/>
      <c r="I17" s="491"/>
      <c r="J17" s="492"/>
      <c r="K17" s="22"/>
      <c r="L17" s="493" t="s">
        <v>69</v>
      </c>
      <c r="M17" s="493"/>
      <c r="N17" s="493"/>
      <c r="O17" s="493"/>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9.4</v>
      </c>
      <c r="J19" s="125">
        <f>SUM(G19:I19)</f>
        <v>9.4</v>
      </c>
      <c r="L19" s="125"/>
      <c r="M19" s="125"/>
      <c r="N19" s="125">
        <f>I19</f>
        <v>9.4</v>
      </c>
      <c r="O19" s="105">
        <f>+SUM(L19:N19)</f>
        <v>9.4</v>
      </c>
      <c r="P19" s="245">
        <v>44531</v>
      </c>
    </row>
    <row r="20" spans="1:221" x14ac:dyDescent="0.25">
      <c r="A20" t="s">
        <v>298</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ht="13" x14ac:dyDescent="0.3">
      <c r="A21" s="96" t="s">
        <v>75</v>
      </c>
      <c r="B21" s="37"/>
      <c r="C21" s="37"/>
      <c r="D21" s="38"/>
      <c r="E21" s="38"/>
      <c r="F21" s="37"/>
      <c r="G21" s="37"/>
      <c r="I21" s="40"/>
      <c r="K21" s="39"/>
      <c r="L21" s="95"/>
      <c r="M21" s="54"/>
      <c r="N21" s="95">
        <f>SUM(N19:N20)</f>
        <v>9.4</v>
      </c>
      <c r="O21" s="95">
        <f>SUM(O19:O20)</f>
        <v>9.4</v>
      </c>
    </row>
    <row r="22" spans="1:221" ht="13" x14ac:dyDescent="0.3">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ROUND(D25*I25,2)</f>
        <v>0</v>
      </c>
      <c r="O25" s="105">
        <f>SUM(L25:N25)</f>
        <v>0</v>
      </c>
      <c r="P25" s="245">
        <f>'Rider Rates'!$D$4</f>
        <v>45293</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45293</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210" t="s">
        <v>238</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187</v>
      </c>
      <c r="B31" s="78"/>
      <c r="C31" s="78"/>
      <c r="D31" s="100">
        <f>'Customer Info'!$B$21+'Customer Info'!$B$22</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163</v>
      </c>
      <c r="B32" s="78"/>
      <c r="C32" s="78"/>
      <c r="D32" s="1">
        <f>'Customer Info'!$B$21</f>
        <v>0</v>
      </c>
      <c r="E32" s="101" t="s">
        <v>41</v>
      </c>
      <c r="F32" s="102" t="s">
        <v>8</v>
      </c>
      <c r="G32" s="103">
        <f>'Rider Rates'!B39</f>
        <v>4.4729000000000001E-3</v>
      </c>
      <c r="H32" s="103"/>
      <c r="I32" s="103"/>
      <c r="J32" s="237">
        <f>SUM(G32:H32)</f>
        <v>4.4729000000000001E-3</v>
      </c>
      <c r="K32" s="104" t="s">
        <v>42</v>
      </c>
      <c r="L32" s="105">
        <f>ROUND(D32*G32,2)</f>
        <v>0</v>
      </c>
      <c r="M32" s="105"/>
      <c r="N32" s="105"/>
      <c r="O32" s="105">
        <f t="shared" si="1"/>
        <v>0</v>
      </c>
      <c r="P32" s="245">
        <f>'Rider Rates'!D29</f>
        <v>45444</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220</v>
      </c>
      <c r="B33" s="78"/>
      <c r="C33" s="78"/>
      <c r="D33" s="1">
        <f>'Customer Info'!$B$22</f>
        <v>0</v>
      </c>
      <c r="E33" s="101" t="s">
        <v>41</v>
      </c>
      <c r="F33" s="102" t="s">
        <v>8</v>
      </c>
      <c r="G33" s="103">
        <f>'Rider Rates'!B40</f>
        <v>1.5407999999999999E-3</v>
      </c>
      <c r="H33" s="103"/>
      <c r="I33" s="103"/>
      <c r="J33" s="237">
        <f>SUM(G33:H33)</f>
        <v>1.5407999999999999E-3</v>
      </c>
      <c r="K33" s="104" t="s">
        <v>42</v>
      </c>
      <c r="L33" s="105">
        <f>ROUND(D33*G33,2)</f>
        <v>0</v>
      </c>
      <c r="M33" s="105"/>
      <c r="N33" s="105"/>
      <c r="O33" s="105">
        <f t="shared" si="1"/>
        <v>0</v>
      </c>
      <c r="P33" s="245">
        <f>'Rider Rates'!D30</f>
        <v>45444</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194</v>
      </c>
      <c r="B34" s="78"/>
      <c r="C34" s="78"/>
      <c r="D34" s="100">
        <f>'Customer Info'!$B$21+'Customer Info'!$B$22</f>
        <v>0</v>
      </c>
      <c r="E34" s="101" t="s">
        <v>41</v>
      </c>
      <c r="F34" s="102" t="s">
        <v>8</v>
      </c>
      <c r="G34" s="103">
        <f>'Rider Rates'!$B$45</f>
        <v>-3.1569999999999998E-4</v>
      </c>
      <c r="H34" s="103"/>
      <c r="I34" s="103"/>
      <c r="J34" s="237">
        <f>SUM(G34:H34)</f>
        <v>-3.1569999999999998E-4</v>
      </c>
      <c r="K34" s="104" t="s">
        <v>42</v>
      </c>
      <c r="L34" s="105">
        <f>ROUND(D34*G34,2)</f>
        <v>0</v>
      </c>
      <c r="M34" s="105"/>
      <c r="N34" s="105"/>
      <c r="O34" s="105">
        <f t="shared" si="1"/>
        <v>0</v>
      </c>
      <c r="P34" s="245">
        <f>'Rider Rates'!$D$45</f>
        <v>45383</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211</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1"/>
        <v>0</v>
      </c>
      <c r="P35" s="245">
        <f>'Rider Rates'!E49</f>
        <v>45474</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190</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1"/>
        <v>0</v>
      </c>
      <c r="P36" s="245">
        <f>'Rider Rates'!$D$56</f>
        <v>45383</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Rates'!$B$70+'Rider Rates'!$C$70</f>
        <v>0</v>
      </c>
      <c r="J37" s="103">
        <f>SUM(G37:I37)</f>
        <v>0</v>
      </c>
      <c r="K37" s="104" t="s">
        <v>42</v>
      </c>
      <c r="L37" s="105"/>
      <c r="M37" s="105"/>
      <c r="N37" s="87">
        <f>ROUND($D$37*'Rider Rates'!$B$70,2)+ROUND($D$37*'Rider Rates'!$C$70,2)</f>
        <v>0</v>
      </c>
      <c r="O37" s="105">
        <f>SUM(L37:N37)</f>
        <v>0</v>
      </c>
      <c r="P37" s="245">
        <f>'Rider Rates'!$D$70</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Rates'!$B$76</f>
        <v>0</v>
      </c>
      <c r="J38" s="196">
        <f>IF('Customer Info'!C34=TRUE,0,SUM(G38:I38))</f>
        <v>0</v>
      </c>
      <c r="K38" s="104"/>
      <c r="L38" s="105"/>
      <c r="M38" s="105"/>
      <c r="N38" s="105">
        <f>J38</f>
        <v>0</v>
      </c>
      <c r="O38" s="105">
        <f>SUM(L38:N38)</f>
        <v>0</v>
      </c>
      <c r="P38" s="245">
        <f>'Rider Rates'!$D$76</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81</v>
      </c>
      <c r="B39" s="78"/>
      <c r="C39" s="78"/>
      <c r="D39" s="195">
        <f>$N$21</f>
        <v>9.4</v>
      </c>
      <c r="E39" s="101" t="s">
        <v>122</v>
      </c>
      <c r="F39" s="102" t="s">
        <v>8</v>
      </c>
      <c r="G39" s="111"/>
      <c r="H39" s="112"/>
      <c r="I39" s="120">
        <f>'Rider Rates'!$B$83</f>
        <v>2.9347000000000002E-2</v>
      </c>
      <c r="J39" s="120">
        <f t="shared" si="0"/>
        <v>2.9347000000000002E-2</v>
      </c>
      <c r="K39" s="104"/>
      <c r="L39" s="105"/>
      <c r="M39" s="105"/>
      <c r="N39" s="105">
        <f>ROUND(D39*I39,2)</f>
        <v>0.28000000000000003</v>
      </c>
      <c r="O39" s="105">
        <f>SUM(L39:N39)</f>
        <v>0.28000000000000003</v>
      </c>
      <c r="P39" s="245">
        <f>'Rider Rates'!$D$83</f>
        <v>45383</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82</v>
      </c>
      <c r="B40" s="78"/>
      <c r="C40" s="78"/>
      <c r="D40" s="195">
        <f>$N$21</f>
        <v>9.4</v>
      </c>
      <c r="E40" s="101" t="s">
        <v>122</v>
      </c>
      <c r="F40" s="102" t="s">
        <v>8</v>
      </c>
      <c r="G40" s="114"/>
      <c r="H40" s="115"/>
      <c r="I40" s="120">
        <f>'Rider Rates'!$B$85</f>
        <v>6.6985699999999995E-2</v>
      </c>
      <c r="J40" s="120">
        <f t="shared" si="0"/>
        <v>6.6985699999999995E-2</v>
      </c>
      <c r="K40" s="104"/>
      <c r="L40" s="105"/>
      <c r="M40" s="105"/>
      <c r="N40" s="105">
        <f>ROUND(D40*I40,2)</f>
        <v>0.63</v>
      </c>
      <c r="O40" s="105">
        <f>SUM(L40:N40)</f>
        <v>0.63</v>
      </c>
      <c r="P40" s="245">
        <f>'Rider Rates'!$D$85</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207</v>
      </c>
      <c r="B41" s="78"/>
      <c r="C41" s="78"/>
      <c r="D41" s="195"/>
      <c r="E41" s="113" t="s">
        <v>115</v>
      </c>
      <c r="F41" s="106"/>
      <c r="G41" s="114"/>
      <c r="H41" s="115"/>
      <c r="I41" s="196">
        <f>'Rider Rates'!$B$89</f>
        <v>11.97</v>
      </c>
      <c r="J41" s="196">
        <f t="shared" si="0"/>
        <v>11.97</v>
      </c>
      <c r="K41" s="104"/>
      <c r="L41" s="105"/>
      <c r="M41" s="105"/>
      <c r="N41" s="105">
        <f>I41</f>
        <v>11.97</v>
      </c>
      <c r="O41" s="105">
        <f>SUM(L41:N41)</f>
        <v>11.97</v>
      </c>
      <c r="P41" s="245">
        <f>'Rider Rates'!$D$89</f>
        <v>45442</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252</v>
      </c>
      <c r="B42" s="78"/>
      <c r="C42" s="78"/>
      <c r="D42" s="100">
        <f>$D$25</f>
        <v>0</v>
      </c>
      <c r="E42" s="101" t="s">
        <v>41</v>
      </c>
      <c r="F42" s="102" t="s">
        <v>8</v>
      </c>
      <c r="G42" s="103"/>
      <c r="H42" s="103"/>
      <c r="I42" s="103"/>
      <c r="J42" s="103">
        <f>'Rider Rates'!$B$96</f>
        <v>0</v>
      </c>
      <c r="K42" s="104" t="s">
        <v>42</v>
      </c>
      <c r="L42" s="105"/>
      <c r="M42" s="105"/>
      <c r="N42" s="105"/>
      <c r="O42" s="105">
        <f>ROUND($D42*('Rider Rates'!B$96),2)</f>
        <v>0</v>
      </c>
      <c r="P42" s="245">
        <f>'Rider Rates'!$D$96</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253</v>
      </c>
      <c r="B43" s="78"/>
      <c r="C43" s="78"/>
      <c r="D43" s="100">
        <f>$D$26</f>
        <v>0</v>
      </c>
      <c r="E43" s="101"/>
      <c r="F43" s="102"/>
      <c r="G43" s="103"/>
      <c r="H43" s="103"/>
      <c r="I43" s="103"/>
      <c r="J43" s="103">
        <f>'Rider Rates'!$B$97</f>
        <v>0</v>
      </c>
      <c r="K43" s="104" t="s">
        <v>42</v>
      </c>
      <c r="L43" s="105"/>
      <c r="M43" s="105"/>
      <c r="N43" s="105"/>
      <c r="O43" s="105">
        <f>ROUND($D43*('Rider Rates'!B$97),2)</f>
        <v>0</v>
      </c>
      <c r="P43" s="245">
        <f>'Rider Rates'!$D$97</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99" t="s">
        <v>157</v>
      </c>
      <c r="B44" s="78"/>
      <c r="C44" s="78"/>
      <c r="D44" s="195">
        <f>$N$21</f>
        <v>9.4</v>
      </c>
      <c r="E44" s="101" t="s">
        <v>122</v>
      </c>
      <c r="F44" s="102" t="s">
        <v>8</v>
      </c>
      <c r="G44" s="114"/>
      <c r="H44" s="115"/>
      <c r="I44" s="120">
        <f>'Rider Rates'!$B$103</f>
        <v>0.21398439999999999</v>
      </c>
      <c r="J44" s="120">
        <f t="shared" si="0"/>
        <v>0.21398439999999999</v>
      </c>
      <c r="K44" s="104"/>
      <c r="L44" s="105"/>
      <c r="M44" s="105"/>
      <c r="N44" s="105">
        <f>ROUND(D44*I44,2)</f>
        <v>2.0099999999999998</v>
      </c>
      <c r="O44" s="105">
        <f t="shared" ref="O44:O50" si="2">SUM(L44:N44)</f>
        <v>2.0099999999999998</v>
      </c>
      <c r="P44" s="245">
        <f>'Rider Rates'!$D$103</f>
        <v>45351</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210</v>
      </c>
      <c r="B45" s="78"/>
      <c r="C45" s="78"/>
      <c r="D45" s="195"/>
      <c r="E45" s="113" t="s">
        <v>115</v>
      </c>
      <c r="F45" s="106"/>
      <c r="G45" s="114"/>
      <c r="H45" s="115"/>
      <c r="I45" s="196">
        <f>'Rider Rates'!$B$107</f>
        <v>0</v>
      </c>
      <c r="J45" s="196">
        <f t="shared" si="0"/>
        <v>0</v>
      </c>
      <c r="K45" s="104"/>
      <c r="L45" s="105"/>
      <c r="M45" s="105"/>
      <c r="N45" s="105">
        <f>I45</f>
        <v>0</v>
      </c>
      <c r="O45" s="105">
        <f t="shared" si="2"/>
        <v>0</v>
      </c>
      <c r="P45" s="245">
        <f>'Rider Rates'!$D$107</f>
        <v>44894</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219</v>
      </c>
      <c r="B46" s="78"/>
      <c r="C46" s="78"/>
      <c r="D46" s="195"/>
      <c r="E46" s="113" t="s">
        <v>115</v>
      </c>
      <c r="F46" s="106"/>
      <c r="G46" s="114"/>
      <c r="H46" s="115"/>
      <c r="I46" s="258">
        <f>'Rider Rates'!B120</f>
        <v>5.83</v>
      </c>
      <c r="J46" s="196">
        <f t="shared" si="0"/>
        <v>5.83</v>
      </c>
      <c r="K46" s="104"/>
      <c r="L46" s="105"/>
      <c r="M46" s="105"/>
      <c r="N46" s="260">
        <f>'Rider Rates'!B120</f>
        <v>5.83</v>
      </c>
      <c r="O46" s="105">
        <f t="shared" si="2"/>
        <v>5.83</v>
      </c>
      <c r="P46" s="245">
        <f>'Rider Rates'!D120</f>
        <v>45226</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158</v>
      </c>
      <c r="B47" s="78"/>
      <c r="C47" s="78"/>
      <c r="D47" s="100">
        <f>'Customer Info'!$B$21+'Customer Info'!$B$22</f>
        <v>0</v>
      </c>
      <c r="E47" s="101" t="s">
        <v>41</v>
      </c>
      <c r="F47" s="102" t="s">
        <v>8</v>
      </c>
      <c r="G47" s="103">
        <f>'Rider Rates'!$B$110</f>
        <v>3.8972999999999998E-3</v>
      </c>
      <c r="H47" s="103"/>
      <c r="I47" s="120"/>
      <c r="J47" s="237">
        <f>SUM(G47:H47)</f>
        <v>3.8972999999999998E-3</v>
      </c>
      <c r="K47" s="104" t="s">
        <v>42</v>
      </c>
      <c r="L47" s="105">
        <f>ROUND(D47*G47,2)</f>
        <v>0</v>
      </c>
      <c r="M47" s="105"/>
      <c r="N47" s="105"/>
      <c r="O47" s="105">
        <f t="shared" si="2"/>
        <v>0</v>
      </c>
      <c r="P47" s="245">
        <f>'Rider Rates'!$D$110</f>
        <v>44531</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209</v>
      </c>
      <c r="B48" s="78"/>
      <c r="C48" s="78"/>
      <c r="D48" s="100">
        <f>IF($C$15&lt;1,0,$C$15)</f>
        <v>0</v>
      </c>
      <c r="E48" s="101" t="s">
        <v>41</v>
      </c>
      <c r="F48" s="249" t="s">
        <v>8</v>
      </c>
      <c r="G48" s="165"/>
      <c r="H48" s="165"/>
      <c r="I48" s="251">
        <f>'Rider Rates'!B116</f>
        <v>-6.2E-4</v>
      </c>
      <c r="J48" s="251">
        <f>SUM(G48:I48)</f>
        <v>-6.2E-4</v>
      </c>
      <c r="K48" s="104" t="s">
        <v>42</v>
      </c>
      <c r="L48" s="105"/>
      <c r="M48" s="105"/>
      <c r="N48" s="105">
        <f>D48*J48</f>
        <v>0</v>
      </c>
      <c r="O48" s="105">
        <f t="shared" si="2"/>
        <v>0</v>
      </c>
      <c r="P48" s="245">
        <f>'Rider Rates'!D116</f>
        <v>44531</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78" t="s">
        <v>234</v>
      </c>
      <c r="B49" s="78"/>
      <c r="C49" s="78"/>
      <c r="D49" s="100">
        <f>IF(C15&lt;0,0,IF(C15&gt;833000,833000,C15))</f>
        <v>0</v>
      </c>
      <c r="E49" s="101" t="s">
        <v>41</v>
      </c>
      <c r="F49" s="102" t="s">
        <v>8</v>
      </c>
      <c r="G49" s="265"/>
      <c r="H49" s="265"/>
      <c r="I49" s="265">
        <f>'Rider Rates'!$B$124</f>
        <v>2.9050000000000001E-4</v>
      </c>
      <c r="J49" s="265">
        <f>SUM(G49:I49)</f>
        <v>2.9050000000000001E-4</v>
      </c>
      <c r="K49" s="104" t="s">
        <v>42</v>
      </c>
      <c r="L49" s="266"/>
      <c r="M49" s="266"/>
      <c r="N49" s="266">
        <f>IF(D49*J49&gt;'Rider Rates'!$C$124,'Rider Rates'!$C$124,D49*J49)</f>
        <v>0</v>
      </c>
      <c r="O49" s="266">
        <f t="shared" si="2"/>
        <v>0</v>
      </c>
      <c r="P49" s="264">
        <f>'Rider Rates'!$E$124</f>
        <v>45292</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235</v>
      </c>
      <c r="B50" s="78"/>
      <c r="C50" s="78"/>
      <c r="D50" s="123">
        <f>IF(C15&gt;833000,C15-833000,0)</f>
        <v>0</v>
      </c>
      <c r="E50" s="101" t="s">
        <v>41</v>
      </c>
      <c r="F50" s="102" t="s">
        <v>8</v>
      </c>
      <c r="G50" s="265"/>
      <c r="H50" s="265"/>
      <c r="I50" s="265">
        <f>'Rider Rates'!$B$125</f>
        <v>0</v>
      </c>
      <c r="J50" s="265">
        <f>SUM(G50:I50)</f>
        <v>0</v>
      </c>
      <c r="K50" s="104" t="s">
        <v>42</v>
      </c>
      <c r="L50" s="266"/>
      <c r="M50" s="266"/>
      <c r="N50" s="266">
        <f>D50*J50</f>
        <v>0</v>
      </c>
      <c r="O50" s="266">
        <f t="shared" si="2"/>
        <v>0</v>
      </c>
      <c r="P50" s="264">
        <f>'Rider Rates'!$E$125</f>
        <v>44927</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243</v>
      </c>
      <c r="B51" s="78"/>
      <c r="C51" s="78"/>
      <c r="D51" s="100">
        <f>C14</f>
        <v>0</v>
      </c>
      <c r="E51" s="101" t="s">
        <v>41</v>
      </c>
      <c r="F51" s="249" t="s">
        <v>8</v>
      </c>
      <c r="G51" s="103"/>
      <c r="H51" s="103"/>
      <c r="I51" s="103">
        <f>'Rider Rates'!$B$129</f>
        <v>0</v>
      </c>
      <c r="J51" s="237">
        <f>SUM(G51:I51)</f>
        <v>0</v>
      </c>
      <c r="K51" s="104" t="s">
        <v>42</v>
      </c>
      <c r="L51" s="105"/>
      <c r="M51" s="105"/>
      <c r="N51" s="105">
        <f>D51*J51</f>
        <v>0</v>
      </c>
      <c r="O51" s="105">
        <f>SUM(L51:N51)</f>
        <v>0</v>
      </c>
      <c r="P51" s="245">
        <f>'Rider Rates'!$D$129</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242</v>
      </c>
      <c r="B52" s="78"/>
      <c r="C52" s="78"/>
      <c r="D52" s="100"/>
      <c r="E52" s="101" t="s">
        <v>115</v>
      </c>
      <c r="F52" s="102" t="s">
        <v>8</v>
      </c>
      <c r="G52" s="263"/>
      <c r="H52" s="263"/>
      <c r="I52" s="263">
        <f>'Rider Rates'!$B$136</f>
        <v>0</v>
      </c>
      <c r="J52" s="263">
        <f>SUM(G52:I52)</f>
        <v>0</v>
      </c>
      <c r="K52" s="104"/>
      <c r="L52" s="209"/>
      <c r="M52" s="209"/>
      <c r="N52" s="209">
        <f>J52</f>
        <v>0</v>
      </c>
      <c r="O52" s="209">
        <f>SUM(L52:N52)</f>
        <v>0</v>
      </c>
      <c r="P52" s="264">
        <f>'Rider Rates'!$D$136</f>
        <v>44531</v>
      </c>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244</v>
      </c>
      <c r="B53" s="78"/>
      <c r="C53" s="78"/>
      <c r="D53" s="100"/>
      <c r="E53" s="101"/>
      <c r="F53" s="102"/>
      <c r="G53" s="263"/>
      <c r="H53" s="263"/>
      <c r="I53" s="263"/>
      <c r="J53" s="263"/>
      <c r="K53" s="104"/>
      <c r="L53" s="209"/>
      <c r="M53" s="209"/>
      <c r="N53" s="209"/>
      <c r="O53" s="209"/>
      <c r="P53" s="264"/>
      <c r="Q53" s="253"/>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179" t="s">
        <v>71</v>
      </c>
      <c r="B54" s="148"/>
      <c r="C54" s="148"/>
      <c r="D54" s="180"/>
      <c r="E54" s="181"/>
      <c r="F54" s="182"/>
      <c r="G54" s="182"/>
      <c r="H54" s="182"/>
      <c r="I54" s="182"/>
      <c r="J54" s="182"/>
      <c r="K54" s="183"/>
      <c r="L54" s="169">
        <f>SUM(L25:L53)</f>
        <v>0</v>
      </c>
      <c r="M54" s="169">
        <f t="shared" ref="M54:O54" si="3">SUM(M25:M53)</f>
        <v>0</v>
      </c>
      <c r="N54" s="169">
        <f t="shared" si="3"/>
        <v>20.72</v>
      </c>
      <c r="O54" s="169">
        <f t="shared" si="3"/>
        <v>20.72</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78"/>
      <c r="B55" s="78"/>
      <c r="C55" s="78"/>
      <c r="D55" s="100"/>
      <c r="E55" s="113"/>
      <c r="F55" s="106"/>
      <c r="G55" s="106"/>
      <c r="H55" s="106"/>
      <c r="I55" s="106"/>
      <c r="J55" s="107"/>
      <c r="K55" s="104"/>
      <c r="L55" s="106"/>
      <c r="M55" s="169"/>
      <c r="N55" s="106"/>
      <c r="O55" s="106"/>
      <c r="P55" s="164"/>
      <c r="Q55" s="106"/>
      <c r="R55" s="188"/>
      <c r="S55" s="108"/>
      <c r="T55" s="109"/>
      <c r="U55" s="78"/>
      <c r="V55" s="10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81" t="s">
        <v>72</v>
      </c>
      <c r="B56" s="170"/>
      <c r="C56" s="170"/>
      <c r="D56" s="170"/>
      <c r="E56" s="170"/>
      <c r="F56" s="170"/>
      <c r="G56" s="170"/>
      <c r="H56" s="170"/>
      <c r="I56" s="170"/>
      <c r="J56" s="170"/>
      <c r="K56" s="170"/>
      <c r="L56" s="186">
        <f>L21+L54</f>
        <v>0</v>
      </c>
      <c r="M56" s="186">
        <f>M21+M54</f>
        <v>0</v>
      </c>
      <c r="N56" s="186">
        <f>N21+N54</f>
        <v>30.119999999999997</v>
      </c>
      <c r="O56" s="187">
        <f>O21+O54</f>
        <v>30.119999999999997</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204"/>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47"/>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66" t="s">
        <v>93</v>
      </c>
      <c r="B59" s="78"/>
      <c r="C59" s="78"/>
      <c r="D59" s="166"/>
      <c r="E59" s="78"/>
      <c r="F59" s="78"/>
      <c r="G59" s="78"/>
      <c r="H59" s="78"/>
      <c r="I59" s="78"/>
      <c r="J59" s="78"/>
      <c r="K59" s="78"/>
      <c r="L59" s="78"/>
      <c r="M59" s="78"/>
      <c r="N59" s="78"/>
      <c r="O59" s="109">
        <f>O19+O54</f>
        <v>30.119999999999997</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47"/>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48" t="s">
        <v>117</v>
      </c>
      <c r="B61" s="151"/>
      <c r="C61" s="151"/>
      <c r="D61" s="151"/>
      <c r="E61" s="151"/>
      <c r="F61" s="151"/>
      <c r="G61" s="151"/>
      <c r="H61" s="151"/>
      <c r="I61" s="151"/>
      <c r="J61" s="151"/>
      <c r="K61" s="151"/>
      <c r="L61" s="151"/>
      <c r="M61" s="151"/>
      <c r="N61" s="151"/>
      <c r="O61" s="190">
        <f>IF($C$15&lt;0,O56,IF(O56&gt;O59,O56,O59))</f>
        <v>30.119999999999997</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47"/>
    </row>
    <row r="63" spans="1:221" ht="13" x14ac:dyDescent="0.3">
      <c r="A63" s="147"/>
      <c r="I63" s="166" t="s">
        <v>121</v>
      </c>
      <c r="J63" s="166"/>
      <c r="K63" s="166"/>
      <c r="L63" s="191"/>
      <c r="M63" s="191"/>
      <c r="N63" s="191"/>
      <c r="O63" s="191">
        <f>ROUND(IF($C$15&lt;1,0,O56/($C$15*100)*10000),2)</f>
        <v>0</v>
      </c>
      <c r="P63" s="37" t="s">
        <v>87</v>
      </c>
    </row>
    <row r="64" spans="1:221" ht="13" x14ac:dyDescent="0.3">
      <c r="A64" s="147"/>
      <c r="I64" s="242"/>
      <c r="J64" s="78"/>
      <c r="K64" s="78"/>
      <c r="L64" s="78"/>
      <c r="M64" s="78"/>
      <c r="N64" s="78"/>
      <c r="O64" s="243"/>
      <c r="P64" s="25"/>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row r="71" spans="1:1" x14ac:dyDescent="0.25">
      <c r="A71" s="147"/>
    </row>
  </sheetData>
  <sheetProtection algorithmName="SHA-512" hashValue="27ZV2gC/wHeMbSxP7N8WV769fX8ps3i+bRntEJy7ChRZwPJo4WQfsGSdrZrlXf0xX//xDfZ0lM4pDXM2qmnwZQ==" saltValue="h9erxfIk09d32A8kxD1ApQ=="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565150</xdr:colOff>
                    <xdr:row>77</xdr:row>
                    <xdr:rowOff>12700</xdr:rowOff>
                  </from>
                  <to>
                    <xdr:col>14</xdr:col>
                    <xdr:colOff>1085850</xdr:colOff>
                    <xdr:row>78</xdr:row>
                    <xdr:rowOff>88900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6"/>
  <sheetViews>
    <sheetView showGridLines="0" topLeftCell="A13" zoomScale="80" zoomScaleNormal="80" workbookViewId="0">
      <selection activeCell="AN47" sqref="AN47"/>
    </sheetView>
  </sheetViews>
  <sheetFormatPr defaultRowHeight="12.5" x14ac:dyDescent="0.25"/>
  <cols>
    <col min="1" max="1" width="31" customWidth="1"/>
    <col min="2" max="2" width="2.1796875" customWidth="1"/>
    <col min="3" max="3" width="21.1796875" customWidth="1"/>
    <col min="4" max="4" width="15.26953125" customWidth="1"/>
    <col min="5" max="5" width="10.1796875" customWidth="1"/>
    <col min="6" max="6" width="5.54296875" customWidth="1"/>
    <col min="7" max="8" width="13.26953125" customWidth="1"/>
    <col min="9" max="9" width="14.54296875" customWidth="1"/>
    <col min="10" max="10" width="13.26953125" customWidth="1"/>
    <col min="11" max="11" width="7" customWidth="1"/>
    <col min="12" max="12" width="15.1796875" customWidth="1"/>
    <col min="13" max="13" width="17.26953125" bestFit="1" customWidth="1"/>
    <col min="14" max="14" width="16.7265625" customWidth="1"/>
    <col min="15" max="15" width="19.1796875" bestFit="1" customWidth="1"/>
    <col min="16" max="16" width="12.81640625" bestFit="1" customWidth="1"/>
    <col min="18" max="18" width="9.17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84</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row>
    <row r="6" spans="1:30" x14ac:dyDescent="0.25">
      <c r="A6" s="329">
        <f ca="1">TODAY()</f>
        <v>45476</v>
      </c>
      <c r="B6" s="210" t="s">
        <v>230</v>
      </c>
      <c r="C6" s="329"/>
      <c r="D6" s="329"/>
      <c r="E6" s="329"/>
      <c r="F6" s="329"/>
      <c r="G6" s="329"/>
      <c r="H6" s="329"/>
      <c r="I6" s="329"/>
    </row>
    <row r="7" spans="1:30" ht="25" x14ac:dyDescent="0.5">
      <c r="A7" s="506"/>
      <c r="B7" s="506"/>
      <c r="C7" s="506"/>
      <c r="D7" s="506"/>
      <c r="E7" s="506"/>
      <c r="F7" s="506"/>
      <c r="G7" s="506"/>
      <c r="H7" s="506"/>
      <c r="I7" s="506"/>
      <c r="J7" s="506"/>
      <c r="K7" s="506"/>
      <c r="L7" s="506"/>
      <c r="M7" s="506"/>
      <c r="N7" s="506"/>
      <c r="O7" s="506"/>
      <c r="P7" s="506"/>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226</v>
      </c>
      <c r="B16" s="31"/>
      <c r="C16" s="32">
        <f>'Customer Info'!B21</f>
        <v>0</v>
      </c>
      <c r="D16" s="31" t="s">
        <v>41</v>
      </c>
      <c r="E16" s="31"/>
      <c r="F16" s="33"/>
      <c r="G16" s="23" t="s">
        <v>15</v>
      </c>
      <c r="H16" s="31"/>
    </row>
    <row r="17" spans="1:221" ht="13" x14ac:dyDescent="0.3">
      <c r="A17" s="31" t="s">
        <v>227</v>
      </c>
      <c r="B17" s="31"/>
      <c r="C17" s="32">
        <f>'Customer Info'!B22</f>
        <v>0</v>
      </c>
      <c r="D17" s="262" t="s">
        <v>41</v>
      </c>
      <c r="E17" s="33"/>
      <c r="F17" s="33"/>
      <c r="G17" s="23" t="s">
        <v>15</v>
      </c>
      <c r="H17" s="31"/>
      <c r="I17" s="52" t="s">
        <v>15</v>
      </c>
    </row>
    <row r="19" spans="1:221" ht="13" x14ac:dyDescent="0.3">
      <c r="A19" s="28" t="s">
        <v>31</v>
      </c>
      <c r="B19" s="22"/>
      <c r="C19" s="22"/>
      <c r="D19" s="22"/>
      <c r="E19" s="22"/>
      <c r="F19" s="22"/>
      <c r="G19" s="490" t="s">
        <v>68</v>
      </c>
      <c r="H19" s="491"/>
      <c r="I19" s="491"/>
      <c r="J19" s="492"/>
      <c r="K19" s="22"/>
      <c r="L19" s="493" t="s">
        <v>69</v>
      </c>
      <c r="M19" s="493"/>
      <c r="N19" s="493"/>
      <c r="O19" s="493"/>
    </row>
    <row r="20" spans="1:221" ht="13" x14ac:dyDescent="0.3">
      <c r="A20" s="18"/>
      <c r="B20" s="18"/>
      <c r="C20" s="18"/>
      <c r="D20" s="18"/>
      <c r="E20" s="18"/>
      <c r="F20" s="18"/>
      <c r="G20" s="8" t="s">
        <v>65</v>
      </c>
      <c r="H20" s="8" t="s">
        <v>66</v>
      </c>
      <c r="I20" s="8" t="s">
        <v>67</v>
      </c>
      <c r="J20" s="112" t="s">
        <v>34</v>
      </c>
      <c r="K20" s="18"/>
      <c r="L20" s="330" t="s">
        <v>65</v>
      </c>
      <c r="M20" s="330" t="s">
        <v>66</v>
      </c>
      <c r="N20" s="330"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160</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238</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187</v>
      </c>
      <c r="B34" s="78"/>
      <c r="C34" s="78"/>
      <c r="D34" s="100">
        <f>'GS-Pilot PEV'!C16+'GS-Pilot PEV'!C17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163</v>
      </c>
      <c r="B35" s="78"/>
      <c r="C35" s="78"/>
      <c r="D35" s="100">
        <f>C16</f>
        <v>0</v>
      </c>
      <c r="E35" s="101" t="s">
        <v>41</v>
      </c>
      <c r="F35" s="102" t="s">
        <v>8</v>
      </c>
      <c r="G35" s="103">
        <f>'Rider Rates'!B35</f>
        <v>2.28907E-2</v>
      </c>
      <c r="H35" s="103"/>
      <c r="I35" s="103"/>
      <c r="J35" s="237">
        <f>SUM(G35:H35)</f>
        <v>2.28907E-2</v>
      </c>
      <c r="K35" s="104" t="s">
        <v>42</v>
      </c>
      <c r="L35" s="105">
        <f>ROUND(D35*G35,2)</f>
        <v>0</v>
      </c>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220</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194</v>
      </c>
      <c r="B37" s="78"/>
      <c r="C37" s="78"/>
      <c r="D37" s="100">
        <f>C16+C17</f>
        <v>0</v>
      </c>
      <c r="E37" s="101" t="s">
        <v>41</v>
      </c>
      <c r="F37" s="102" t="s">
        <v>8</v>
      </c>
      <c r="G37" s="103">
        <f>'Rider Rates'!$B$45</f>
        <v>-3.1569999999999998E-4</v>
      </c>
      <c r="H37" s="103"/>
      <c r="I37" s="103"/>
      <c r="J37" s="237">
        <f>SUM(G37:H37)</f>
        <v>-3.1569999999999998E-4</v>
      </c>
      <c r="K37" s="104" t="s">
        <v>42</v>
      </c>
      <c r="L37" s="105">
        <f>ROUND(D37*G37,2)</f>
        <v>0</v>
      </c>
      <c r="M37" s="105"/>
      <c r="N37" s="105"/>
      <c r="O37" s="105">
        <f t="shared" si="2"/>
        <v>0</v>
      </c>
      <c r="P37" s="245">
        <f>'Rider Rates'!$D$45</f>
        <v>45383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211</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190</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Rates'!$B$68+'Rider Rates'!$C$68</f>
        <v>0</v>
      </c>
      <c r="J40" s="103">
        <f t="shared" si="0"/>
        <v>0</v>
      </c>
      <c r="K40" s="104" t="s">
        <v>42</v>
      </c>
      <c r="L40" s="105"/>
      <c r="M40" s="105"/>
      <c r="N40" s="105">
        <f>ROUND($D$40*'Rider Rates'!$B$68,2)+ROUND($D$40*'Rider Rates'!$C$68,2)</f>
        <v>0</v>
      </c>
      <c r="O40" s="105">
        <f t="shared" si="2"/>
        <v>0</v>
      </c>
      <c r="P40" s="245">
        <f>'Rider Rates'!$D$68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Rates'!$B$75</f>
        <v>0</v>
      </c>
      <c r="J41" s="196">
        <f>IF('Customer Info'!C34=TRUE,0,SUM(G41:I41))</f>
        <v>0</v>
      </c>
      <c r="K41" s="104"/>
      <c r="L41" s="105"/>
      <c r="M41" s="105"/>
      <c r="N41" s="105">
        <f>J41</f>
        <v>0</v>
      </c>
      <c r="O41" s="105">
        <f>SUM(L41:N41)</f>
        <v>0</v>
      </c>
      <c r="P41" s="245">
        <f>'Rider Rates'!$D$75</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Rates'!$B$83</f>
        <v>2.9347000000000002E-2</v>
      </c>
      <c r="J42" s="120">
        <f t="shared" si="0"/>
        <v>2.9347000000000002E-2</v>
      </c>
      <c r="K42" s="104"/>
      <c r="L42" s="105"/>
      <c r="M42" s="105"/>
      <c r="N42" s="105">
        <f>ROUND(D42*I42,2)</f>
        <v>0.28000000000000003</v>
      </c>
      <c r="O42" s="105">
        <f t="shared" si="2"/>
        <v>0.28000000000000003</v>
      </c>
      <c r="P42" s="245">
        <f>'Rider Rates'!$D$83</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Rates'!$B$85</f>
        <v>6.6985699999999995E-2</v>
      </c>
      <c r="J43" s="120">
        <f t="shared" si="0"/>
        <v>6.6985699999999995E-2</v>
      </c>
      <c r="K43" s="104"/>
      <c r="L43" s="105"/>
      <c r="M43" s="105"/>
      <c r="N43" s="105">
        <f>ROUND(D43*I43,2)</f>
        <v>0.63</v>
      </c>
      <c r="O43" s="105">
        <f t="shared" si="2"/>
        <v>0.63</v>
      </c>
      <c r="P43" s="245">
        <f>'Rider Rates'!$D$85</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207</v>
      </c>
      <c r="B44" s="78"/>
      <c r="C44" s="78"/>
      <c r="D44" s="195"/>
      <c r="E44" s="113" t="s">
        <v>115</v>
      </c>
      <c r="F44" s="106"/>
      <c r="G44" s="114"/>
      <c r="H44" s="115"/>
      <c r="I44" s="196">
        <f>'Rider Rates'!$B$89</f>
        <v>11.97</v>
      </c>
      <c r="J44" s="196">
        <f t="shared" si="0"/>
        <v>11.97</v>
      </c>
      <c r="K44" s="104"/>
      <c r="L44" s="105"/>
      <c r="M44" s="105"/>
      <c r="N44" s="105">
        <f>I44</f>
        <v>11.97</v>
      </c>
      <c r="O44" s="105">
        <f t="shared" si="2"/>
        <v>11.97</v>
      </c>
      <c r="P44" s="245">
        <f>'Rider Rates'!$D$89</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240</v>
      </c>
      <c r="B45" s="78"/>
      <c r="C45" s="78"/>
      <c r="D45" s="100">
        <f>IF($C$15&lt;0,0,$C$15)</f>
        <v>0</v>
      </c>
      <c r="E45" s="101" t="s">
        <v>41</v>
      </c>
      <c r="F45" s="102" t="s">
        <v>8</v>
      </c>
      <c r="G45" s="103"/>
      <c r="H45" s="103"/>
      <c r="I45" s="103"/>
      <c r="J45" s="103">
        <f>'Rider Rates'!$B$93</f>
        <v>0</v>
      </c>
      <c r="K45" s="104" t="s">
        <v>42</v>
      </c>
      <c r="L45" s="105"/>
      <c r="M45" s="105"/>
      <c r="N45" s="105"/>
      <c r="O45" s="105">
        <f>ROUND($D45*('Rider Rates'!B$93),2)</f>
        <v>0</v>
      </c>
      <c r="P45" s="245">
        <f>'Rider Rates'!$D$93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157</v>
      </c>
      <c r="B46" s="78"/>
      <c r="C46" s="78"/>
      <c r="D46" s="195">
        <f>$N$23</f>
        <v>9.4</v>
      </c>
      <c r="E46" s="101" t="s">
        <v>122</v>
      </c>
      <c r="F46" s="102" t="s">
        <v>8</v>
      </c>
      <c r="G46" s="114"/>
      <c r="H46" s="115"/>
      <c r="I46" s="120">
        <f>'Rider Rates'!$B$103</f>
        <v>0.21398439999999999</v>
      </c>
      <c r="J46" s="120">
        <f t="shared" si="0"/>
        <v>0.21398439999999999</v>
      </c>
      <c r="K46" s="104"/>
      <c r="L46" s="105"/>
      <c r="M46" s="105"/>
      <c r="N46" s="105">
        <f>ROUND(D46*I46,2)</f>
        <v>2.0099999999999998</v>
      </c>
      <c r="O46" s="105">
        <f t="shared" si="2"/>
        <v>2.0099999999999998</v>
      </c>
      <c r="P46" s="245">
        <f>'Rider Rates'!$D$103</f>
        <v>45351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210</v>
      </c>
      <c r="B47" s="78"/>
      <c r="C47" s="78"/>
      <c r="D47" s="195"/>
      <c r="E47" s="113" t="s">
        <v>115</v>
      </c>
      <c r="F47" s="106"/>
      <c r="G47" s="114"/>
      <c r="H47" s="115"/>
      <c r="I47" s="196">
        <f>'Rider Rates'!$B$107</f>
        <v>0</v>
      </c>
      <c r="J47" s="196">
        <f t="shared" si="0"/>
        <v>0</v>
      </c>
      <c r="K47" s="104"/>
      <c r="L47" s="105"/>
      <c r="M47" s="105"/>
      <c r="N47" s="105">
        <f>I47</f>
        <v>0</v>
      </c>
      <c r="O47" s="105">
        <f t="shared" si="2"/>
        <v>0</v>
      </c>
      <c r="P47" s="245">
        <f>'Rider Rates'!$D$107</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218</v>
      </c>
      <c r="B48" s="78"/>
      <c r="C48" s="78"/>
      <c r="D48" s="195"/>
      <c r="E48" s="113" t="s">
        <v>115</v>
      </c>
      <c r="F48" s="106"/>
      <c r="G48" s="114"/>
      <c r="H48" s="115"/>
      <c r="I48" s="258">
        <f>'Rider Rates'!B120</f>
        <v>5.83</v>
      </c>
      <c r="J48" s="196">
        <f t="shared" si="0"/>
        <v>5.83</v>
      </c>
      <c r="K48" s="104"/>
      <c r="L48" s="105"/>
      <c r="M48" s="105"/>
      <c r="N48" s="260">
        <f>I48</f>
        <v>5.83</v>
      </c>
      <c r="O48" s="105">
        <f t="shared" si="2"/>
        <v>5.83</v>
      </c>
      <c r="P48" s="245">
        <f>'Rider Rates'!D120</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158</v>
      </c>
      <c r="B49" s="78"/>
      <c r="C49" s="78"/>
      <c r="D49" s="100">
        <f>C16+C17</f>
        <v>0</v>
      </c>
      <c r="E49" s="101" t="s">
        <v>41</v>
      </c>
      <c r="F49" s="102" t="s">
        <v>8</v>
      </c>
      <c r="G49" s="103">
        <f>'Rider Rates'!$B$110</f>
        <v>3.8972999999999998E-3</v>
      </c>
      <c r="H49" s="103"/>
      <c r="I49" s="120"/>
      <c r="J49" s="237">
        <f>SUM(G49:H49)</f>
        <v>3.8972999999999998E-3</v>
      </c>
      <c r="K49" s="104" t="s">
        <v>42</v>
      </c>
      <c r="L49" s="105">
        <f>ROUND(D49*G49,2)</f>
        <v>0</v>
      </c>
      <c r="M49" s="105"/>
      <c r="N49" s="105"/>
      <c r="O49" s="105">
        <f t="shared" si="2"/>
        <v>0</v>
      </c>
      <c r="P49" s="245">
        <f>'Rider Rates'!$D$110</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209</v>
      </c>
      <c r="B50" s="78"/>
      <c r="C50" s="78"/>
      <c r="D50" s="100">
        <f>IF($C$15&lt;1,0,$C$15)</f>
        <v>0</v>
      </c>
      <c r="E50" s="101" t="s">
        <v>41</v>
      </c>
      <c r="F50" s="249" t="s">
        <v>8</v>
      </c>
      <c r="G50" s="165"/>
      <c r="H50" s="165"/>
      <c r="I50" s="251">
        <f>'Rider Rates'!B116</f>
        <v>-6.2E-4</v>
      </c>
      <c r="J50" s="251">
        <f>SUM(G50:I50)</f>
        <v>-6.2E-4</v>
      </c>
      <c r="K50" s="104" t="s">
        <v>42</v>
      </c>
      <c r="L50" s="105"/>
      <c r="M50" s="105"/>
      <c r="N50" s="105">
        <f>D50*J50</f>
        <v>0</v>
      </c>
      <c r="O50" s="105">
        <f>SUM(L50:N50)</f>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00">
        <f>IF(C15&lt;0,0,IF(C15&gt;833000,833000,C15))</f>
        <v>0</v>
      </c>
      <c r="E51" s="101" t="s">
        <v>41</v>
      </c>
      <c r="F51" s="102" t="s">
        <v>8</v>
      </c>
      <c r="G51" s="265"/>
      <c r="H51" s="265"/>
      <c r="I51" s="265">
        <f>'Rider Rates'!$B$124</f>
        <v>2.9050000000000001E-4</v>
      </c>
      <c r="J51" s="265">
        <f>SUM(G51:I51)</f>
        <v>2.9050000000000001E-4</v>
      </c>
      <c r="K51" s="104" t="s">
        <v>42</v>
      </c>
      <c r="L51" s="266"/>
      <c r="M51" s="266"/>
      <c r="N51" s="266">
        <f>IF(D51*J51&gt;'Rider Rates'!$C$124,'Rider Rates'!$C$124,D51*J51)</f>
        <v>0</v>
      </c>
      <c r="O51" s="266">
        <f>SUM(L51:N51)</f>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235</v>
      </c>
      <c r="B52" s="78"/>
      <c r="C52" s="78"/>
      <c r="D52" s="123">
        <f>IF(C15&gt;833000,C15-833000,0)</f>
        <v>0</v>
      </c>
      <c r="E52" s="101" t="s">
        <v>41</v>
      </c>
      <c r="F52" s="102" t="s">
        <v>8</v>
      </c>
      <c r="G52" s="265"/>
      <c r="H52" s="265"/>
      <c r="I52" s="265">
        <f>'Rider Rates'!$B$125</f>
        <v>0</v>
      </c>
      <c r="J52" s="265">
        <f>SUM(G52:I52)</f>
        <v>0</v>
      </c>
      <c r="K52" s="104" t="s">
        <v>42</v>
      </c>
      <c r="L52" s="266"/>
      <c r="M52" s="266"/>
      <c r="N52" s="266">
        <f>D52*J52</f>
        <v>0</v>
      </c>
      <c r="O52" s="266">
        <f>SUM(L52:N52)</f>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f>C15</f>
        <v>0</v>
      </c>
      <c r="E53" s="101" t="s">
        <v>41</v>
      </c>
      <c r="F53" s="249" t="s">
        <v>8</v>
      </c>
      <c r="G53" s="103"/>
      <c r="H53" s="103"/>
      <c r="I53" s="103">
        <f>'Rider Rates'!$B$129</f>
        <v>0</v>
      </c>
      <c r="J53" s="237">
        <f>SUM(G53:I53)</f>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242</v>
      </c>
      <c r="B54" s="78"/>
      <c r="C54" s="78"/>
      <c r="D54" s="100"/>
      <c r="E54" s="101" t="s">
        <v>115</v>
      </c>
      <c r="F54" s="102" t="s">
        <v>8</v>
      </c>
      <c r="G54" s="263"/>
      <c r="H54" s="263"/>
      <c r="I54" s="263">
        <f>'Rider Rates'!$B$136</f>
        <v>0</v>
      </c>
      <c r="J54" s="263">
        <f>SUM(G54:I54)</f>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79" t="s">
        <v>71</v>
      </c>
      <c r="B56" s="148"/>
      <c r="C56" s="148"/>
      <c r="D56" s="180"/>
      <c r="E56" s="181"/>
      <c r="F56" s="182"/>
      <c r="G56" s="182"/>
      <c r="H56" s="182"/>
      <c r="I56" s="182"/>
      <c r="J56" s="182"/>
      <c r="K56" s="183"/>
      <c r="L56" s="169">
        <f>SUM(L27:L55)</f>
        <v>0</v>
      </c>
      <c r="M56" s="169">
        <f t="shared" ref="M56:O56" si="3">SUM(M27:M55)</f>
        <v>0</v>
      </c>
      <c r="N56" s="169">
        <f t="shared" si="3"/>
        <v>20.72</v>
      </c>
      <c r="O56" s="169">
        <f t="shared" si="3"/>
        <v>20.72</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85" t="s">
        <v>94</v>
      </c>
      <c r="B58" s="170"/>
      <c r="C58" s="170"/>
      <c r="D58" s="170"/>
      <c r="E58" s="170"/>
      <c r="F58" s="170"/>
      <c r="G58" s="170"/>
      <c r="H58" s="170"/>
      <c r="I58" s="170"/>
      <c r="J58" s="170"/>
      <c r="K58" s="170"/>
      <c r="L58" s="186">
        <f>L23+L56</f>
        <v>0</v>
      </c>
      <c r="M58" s="186">
        <f>M23+M56</f>
        <v>0</v>
      </c>
      <c r="N58" s="186">
        <f>N23+N56</f>
        <v>30.119999999999997</v>
      </c>
      <c r="O58" s="187">
        <f>O23+O56</f>
        <v>30.119999999999997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93</v>
      </c>
      <c r="B61" s="78"/>
      <c r="C61" s="78"/>
      <c r="D61" s="78"/>
      <c r="E61" s="78"/>
      <c r="F61" s="78"/>
      <c r="G61" s="78"/>
      <c r="H61" s="78"/>
      <c r="I61" s="78"/>
      <c r="J61" s="78"/>
      <c r="K61" s="78"/>
      <c r="L61" s="78"/>
      <c r="M61" s="78"/>
      <c r="N61" s="78"/>
      <c r="O61" s="109">
        <f>O21+O56</f>
        <v>30.119999999999997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3" x14ac:dyDescent="0.3">
      <c r="A63" s="148" t="s">
        <v>117</v>
      </c>
      <c r="B63" s="151"/>
      <c r="C63" s="151"/>
      <c r="D63" s="151"/>
      <c r="E63" s="151"/>
      <c r="F63" s="151"/>
      <c r="G63" s="151"/>
      <c r="H63" s="151"/>
      <c r="I63" s="151"/>
      <c r="J63" s="151"/>
      <c r="K63" s="151"/>
      <c r="L63" s="151"/>
      <c r="M63" s="151"/>
      <c r="N63" s="151"/>
      <c r="O63" s="190">
        <f>IF($D$17&lt;0,O58,IF(O58&gt;O61,O58,O61))</f>
        <v>30.119999999999997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3">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ht="13" x14ac:dyDescent="0.3">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ht="13" x14ac:dyDescent="0.3">
      <c r="B66" s="78"/>
      <c r="C66" s="78"/>
      <c r="D66" s="78"/>
      <c r="E66" s="78"/>
      <c r="F66" s="78"/>
      <c r="G66" s="78"/>
      <c r="H66" s="192"/>
      <c r="I66" s="242" t="s">
        <v>191</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y6w9QxuYBj2expW71aA3G1FrsR1nxGesHecmc2YQFwiv4Vmw+wOyYXsixEOhRfzU+E/ET+6zqQuJWsOHEelPmQ==" saltValue="bcTK6fsbtWnnW03V9ZDAd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57150</xdr:colOff>
                    <xdr:row>0</xdr:row>
                    <xdr:rowOff>38100</xdr:rowOff>
                  </from>
                  <to>
                    <xdr:col>0</xdr:col>
                    <xdr:colOff>571500</xdr:colOff>
                    <xdr:row>0</xdr:row>
                    <xdr:rowOff>247650</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8"/>
  <sheetViews>
    <sheetView showGridLines="0" topLeftCell="A11" zoomScale="80" zoomScaleNormal="80" workbookViewId="0">
      <selection activeCell="P23" sqref="P23"/>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276</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267">
        <f ca="1">TODAY()</f>
        <v>45476</v>
      </c>
      <c r="B6" s="210" t="s">
        <v>275</v>
      </c>
      <c r="C6" s="267"/>
      <c r="D6" s="267"/>
      <c r="E6" s="267"/>
      <c r="F6" s="267"/>
      <c r="G6" s="267"/>
      <c r="H6" s="267"/>
      <c r="I6" s="267"/>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ht="13" x14ac:dyDescent="0.3">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8" t="s">
        <v>15</v>
      </c>
      <c r="E18" s="508"/>
      <c r="F18" s="508"/>
      <c r="G18" s="508"/>
      <c r="H18" s="508"/>
      <c r="K18" s="31"/>
      <c r="L18" s="31"/>
      <c r="M18" s="31"/>
      <c r="N18" s="31"/>
      <c r="O18" s="50"/>
    </row>
    <row r="19" spans="1:30" ht="13" x14ac:dyDescent="0.3">
      <c r="A19" s="31" t="s">
        <v>15</v>
      </c>
      <c r="B19" s="31"/>
      <c r="C19" s="82" t="s">
        <v>15</v>
      </c>
      <c r="D19" s="508" t="s">
        <v>15</v>
      </c>
      <c r="E19" s="508"/>
      <c r="F19" s="508"/>
      <c r="G19" s="508"/>
      <c r="H19" s="508"/>
      <c r="I19" s="23"/>
      <c r="J19" s="23"/>
      <c r="K19" s="31"/>
      <c r="L19" s="31"/>
      <c r="M19" s="31"/>
      <c r="N19" s="31"/>
      <c r="O19" s="50"/>
    </row>
    <row r="20" spans="1:30" ht="13" x14ac:dyDescent="0.3">
      <c r="A20" s="31"/>
      <c r="B20" s="31"/>
      <c r="C20" s="33"/>
      <c r="D20" s="33"/>
      <c r="E20" s="33"/>
      <c r="F20" s="33"/>
      <c r="G20" s="23"/>
      <c r="H20" s="23"/>
      <c r="I20" s="23"/>
      <c r="J20" s="23"/>
      <c r="K20" s="31"/>
      <c r="L20" s="31"/>
      <c r="M20" s="31"/>
      <c r="N20" s="31"/>
      <c r="O20" s="31"/>
    </row>
    <row r="21" spans="1:30" ht="13" x14ac:dyDescent="0.3">
      <c r="A21" s="28" t="s">
        <v>31</v>
      </c>
      <c r="B21" s="22"/>
      <c r="C21" s="22"/>
      <c r="D21" s="22"/>
      <c r="E21" s="22"/>
      <c r="F21" s="22"/>
      <c r="G21" s="490" t="s">
        <v>68</v>
      </c>
      <c r="H21" s="491"/>
      <c r="I21" s="491"/>
      <c r="J21" s="492"/>
      <c r="K21" s="22"/>
      <c r="L21" s="493" t="s">
        <v>69</v>
      </c>
      <c r="M21" s="493"/>
      <c r="N21" s="493"/>
      <c r="O21" s="493"/>
    </row>
    <row r="22" spans="1:30" ht="13" x14ac:dyDescent="0.3">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9.4</v>
      </c>
      <c r="J23" s="86">
        <f>SUM(G23:I23)</f>
        <v>9.4</v>
      </c>
      <c r="L23" s="88"/>
      <c r="M23" s="88"/>
      <c r="N23" s="88">
        <f>I23</f>
        <v>9.4</v>
      </c>
      <c r="O23" s="209">
        <f>SUM(L23:N23)</f>
        <v>9.4</v>
      </c>
      <c r="P23" s="245">
        <v>44531</v>
      </c>
    </row>
    <row r="24" spans="1:30" x14ac:dyDescent="0.25">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ht="13" x14ac:dyDescent="0.3">
      <c r="A25" s="37" t="s">
        <v>50</v>
      </c>
      <c r="B25" s="37"/>
      <c r="C25" s="37"/>
      <c r="D25" s="38"/>
      <c r="E25" s="38"/>
      <c r="F25" s="37"/>
      <c r="G25" s="37"/>
      <c r="H25" s="37"/>
      <c r="I25" s="37"/>
      <c r="J25" s="37"/>
      <c r="K25" s="39"/>
      <c r="L25" s="40"/>
      <c r="M25" s="40"/>
      <c r="N25" s="40">
        <f>SUM(N23:N24)</f>
        <v>9.4</v>
      </c>
      <c r="O25" s="40">
        <f>SUM(O23:O24)</f>
        <v>9.4</v>
      </c>
    </row>
    <row r="26" spans="1:30" ht="13" x14ac:dyDescent="0.3">
      <c r="A26" s="89"/>
      <c r="B26" s="89"/>
      <c r="C26" s="90"/>
      <c r="D26" s="90"/>
      <c r="E26" s="90"/>
      <c r="F26" s="90"/>
      <c r="G26" s="91"/>
      <c r="H26" s="91"/>
      <c r="I26" s="91"/>
      <c r="J26" s="91"/>
      <c r="K26" s="89"/>
      <c r="L26" s="89"/>
      <c r="M26" s="89"/>
      <c r="N26" s="89"/>
      <c r="O26" s="89"/>
      <c r="P26" s="89"/>
    </row>
    <row r="27" spans="1:30" ht="13" x14ac:dyDescent="0.3">
      <c r="A27" s="41" t="s">
        <v>70</v>
      </c>
      <c r="D27" s="1"/>
      <c r="E27" s="1"/>
      <c r="K27" s="36"/>
      <c r="L27" s="36"/>
      <c r="M27" s="36"/>
      <c r="N27" s="36"/>
      <c r="O27" s="34"/>
      <c r="P27" s="34"/>
    </row>
    <row r="28" spans="1:30" ht="13" x14ac:dyDescent="0.3">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ht="13" x14ac:dyDescent="0.3">
      <c r="A34" s="241" t="s">
        <v>238</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187</v>
      </c>
      <c r="B35" s="78"/>
      <c r="C35" s="78"/>
      <c r="D35" s="100">
        <f>'Customer Info'!$B$21+'Customer Info'!$B$22-'Customer Info'!$B$23</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5">
      <c r="A36" s="241" t="s">
        <v>162</v>
      </c>
      <c r="B36" s="78"/>
      <c r="C36" s="78"/>
      <c r="D36" s="100">
        <f>'Customer Info'!$B$21+'Customer Info'!$B$22-'Customer Info'!$B$23</f>
        <v>0</v>
      </c>
      <c r="E36" s="101" t="s">
        <v>41</v>
      </c>
      <c r="F36" s="102" t="s">
        <v>8</v>
      </c>
      <c r="G36" s="103">
        <f>'Rider Rates'!B34</f>
        <v>2.65E-3</v>
      </c>
      <c r="H36" s="103"/>
      <c r="I36" s="103"/>
      <c r="J36" s="237">
        <f>SUM(G36:H36)</f>
        <v>2.65E-3</v>
      </c>
      <c r="K36" s="104" t="s">
        <v>42</v>
      </c>
      <c r="L36" s="105">
        <f>ROUND(D36*G36,2)</f>
        <v>0</v>
      </c>
      <c r="M36" s="105"/>
      <c r="N36" s="105"/>
      <c r="O36" s="105">
        <f t="shared" si="0"/>
        <v>0</v>
      </c>
      <c r="P36" s="245">
        <f>'Rider Rates'!$D$34</f>
        <v>45444</v>
      </c>
    </row>
    <row r="37" spans="1:221" x14ac:dyDescent="0.25">
      <c r="A37" s="210" t="s">
        <v>194</v>
      </c>
      <c r="B37" s="78"/>
      <c r="C37" s="78"/>
      <c r="D37" s="100">
        <f>'Customer Info'!$B$21+'Customer Info'!$B$22-'Customer Info'!$B$23</f>
        <v>0</v>
      </c>
      <c r="E37" s="101" t="s">
        <v>41</v>
      </c>
      <c r="F37" s="102" t="s">
        <v>8</v>
      </c>
      <c r="G37" s="103">
        <f>'Rider Rates'!$B$45</f>
        <v>-3.1569999999999998E-4</v>
      </c>
      <c r="H37" s="103"/>
      <c r="I37" s="103"/>
      <c r="J37" s="237">
        <f>SUM(G37:H37)</f>
        <v>-3.1569999999999998E-4</v>
      </c>
      <c r="K37" s="104" t="s">
        <v>42</v>
      </c>
      <c r="L37" s="105">
        <f>ROUND(D37*G37,2)</f>
        <v>0</v>
      </c>
      <c r="M37" s="105"/>
      <c r="N37" s="105"/>
      <c r="O37" s="105">
        <f t="shared" si="0"/>
        <v>0</v>
      </c>
      <c r="P37" s="245">
        <f>'Rider Rates'!$D$45</f>
        <v>45383</v>
      </c>
    </row>
    <row r="38" spans="1:221" x14ac:dyDescent="0.25">
      <c r="A38" s="241" t="s">
        <v>211</v>
      </c>
      <c r="B38" s="78"/>
      <c r="C38" s="78"/>
      <c r="D38" s="1">
        <f>IF($C$16&lt;0,0,IF($C$16&gt;833000,833000,$C$16))</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45474</v>
      </c>
    </row>
    <row r="39" spans="1:221" x14ac:dyDescent="0.25">
      <c r="A39" s="210" t="s">
        <v>190</v>
      </c>
      <c r="B39" s="78"/>
      <c r="C39" s="78"/>
      <c r="D39" s="1">
        <f>IF($C$16&lt;0,0,$C$16)</f>
        <v>0</v>
      </c>
      <c r="E39" s="113" t="s">
        <v>41</v>
      </c>
      <c r="F39" s="102" t="s">
        <v>8</v>
      </c>
      <c r="G39" s="103"/>
      <c r="H39" s="103">
        <f>'Rider Rates'!G55</f>
        <v>2.3467399999999999E-2</v>
      </c>
      <c r="I39" s="103"/>
      <c r="J39" s="103">
        <f>SUM(G39:I39)</f>
        <v>2.3467399999999999E-2</v>
      </c>
      <c r="K39" s="104" t="s">
        <v>42</v>
      </c>
      <c r="L39" s="105"/>
      <c r="M39" s="105">
        <f>ROUND(D39*H39,2)</f>
        <v>0</v>
      </c>
      <c r="N39" s="205"/>
      <c r="O39" s="105">
        <f t="shared" si="0"/>
        <v>0</v>
      </c>
      <c r="P39" s="245">
        <f>'Rider Rates'!H55</f>
        <v>45383</v>
      </c>
    </row>
    <row r="40" spans="1:221" x14ac:dyDescent="0.25">
      <c r="A40" s="99" t="s">
        <v>83</v>
      </c>
      <c r="B40" s="78"/>
      <c r="C40" s="78"/>
      <c r="D40" s="1">
        <f>IF('Customer Info'!C34=TRUE,0,IF($C$16&lt;0,0,$C$16))</f>
        <v>0</v>
      </c>
      <c r="E40" s="101" t="s">
        <v>41</v>
      </c>
      <c r="F40" s="102" t="s">
        <v>8</v>
      </c>
      <c r="G40" s="103"/>
      <c r="H40" s="103"/>
      <c r="I40" s="103">
        <f>'Rider Rates'!$B$69+'Rider Rates'!$C$69</f>
        <v>0</v>
      </c>
      <c r="J40" s="103">
        <f>SUM(G40:I40)</f>
        <v>0</v>
      </c>
      <c r="K40" s="104" t="s">
        <v>42</v>
      </c>
      <c r="L40" s="105"/>
      <c r="M40" s="105"/>
      <c r="N40" s="87">
        <f>ROUND($D$40*'Rider Rates'!$B$69,2)+ROUND($D$40*'Rider Rates'!$C$69,2)</f>
        <v>0</v>
      </c>
      <c r="O40" s="209">
        <f t="shared" si="0"/>
        <v>0</v>
      </c>
      <c r="P40" s="245">
        <f>'Rider Rates'!$D$69</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ht="13" x14ac:dyDescent="0.3">
      <c r="A41" s="99" t="s">
        <v>81</v>
      </c>
      <c r="B41" s="78"/>
      <c r="C41" s="78"/>
      <c r="D41" s="208">
        <f>$N$25</f>
        <v>9.4</v>
      </c>
      <c r="E41" s="101" t="s">
        <v>122</v>
      </c>
      <c r="F41" s="102" t="s">
        <v>8</v>
      </c>
      <c r="G41" s="111"/>
      <c r="H41" s="112"/>
      <c r="I41" s="120">
        <f>'Rider Rates'!$B$83</f>
        <v>2.9347000000000002E-2</v>
      </c>
      <c r="J41" s="120">
        <f>SUM(H41:I41)</f>
        <v>2.9347000000000002E-2</v>
      </c>
      <c r="K41" s="104"/>
      <c r="L41" s="105"/>
      <c r="M41" s="105"/>
      <c r="N41" s="105">
        <f>ROUND(N$25*I41,2)</f>
        <v>0.28000000000000003</v>
      </c>
      <c r="O41" s="209">
        <f t="shared" si="0"/>
        <v>0.28000000000000003</v>
      </c>
      <c r="P41" s="245">
        <f>'Rider Rates'!$D$83</f>
        <v>45383</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ht="13" x14ac:dyDescent="0.3">
      <c r="A42" s="99" t="s">
        <v>82</v>
      </c>
      <c r="B42" s="78"/>
      <c r="C42" s="78"/>
      <c r="D42" s="208">
        <f>$N$25</f>
        <v>9.4</v>
      </c>
      <c r="E42" s="101" t="s">
        <v>122</v>
      </c>
      <c r="F42" s="102" t="s">
        <v>8</v>
      </c>
      <c r="G42" s="114"/>
      <c r="H42" s="115"/>
      <c r="I42" s="120">
        <f>'Rider Rates'!$B$85</f>
        <v>6.6985699999999995E-2</v>
      </c>
      <c r="J42" s="120">
        <f>SUM(H42:I42)</f>
        <v>6.6985699999999995E-2</v>
      </c>
      <c r="K42" s="104"/>
      <c r="L42" s="105"/>
      <c r="M42" s="105"/>
      <c r="N42" s="105">
        <f>ROUND(N$25*I42,2)</f>
        <v>0.63</v>
      </c>
      <c r="O42" s="209">
        <f t="shared" si="0"/>
        <v>0.63</v>
      </c>
      <c r="P42" s="245">
        <f>'Rider Rates'!$D$85</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ht="13" x14ac:dyDescent="0.3">
      <c r="A43" s="210" t="s">
        <v>207</v>
      </c>
      <c r="B43" s="78"/>
      <c r="C43" s="78"/>
      <c r="D43" s="195"/>
      <c r="E43" s="113" t="s">
        <v>115</v>
      </c>
      <c r="F43" s="106"/>
      <c r="G43" s="114"/>
      <c r="H43" s="115"/>
      <c r="I43" s="196">
        <f>'Rider Rates'!$B$89</f>
        <v>11.97</v>
      </c>
      <c r="J43" s="196">
        <f>SUM(G43:I43)</f>
        <v>11.97</v>
      </c>
      <c r="K43" s="104"/>
      <c r="L43" s="105"/>
      <c r="M43" s="105"/>
      <c r="N43" s="105">
        <f>I43</f>
        <v>11.97</v>
      </c>
      <c r="O43" s="105">
        <f>SUM(L43:N43)</f>
        <v>11.97</v>
      </c>
      <c r="P43" s="245">
        <f>'Rider Rates'!$D$89</f>
        <v>45442</v>
      </c>
    </row>
    <row r="44" spans="1:221" x14ac:dyDescent="0.25">
      <c r="A44" s="241" t="s">
        <v>252</v>
      </c>
      <c r="B44" s="78"/>
      <c r="C44" s="78"/>
      <c r="D44" s="1">
        <f>$D$29</f>
        <v>0</v>
      </c>
      <c r="E44" s="101" t="s">
        <v>41</v>
      </c>
      <c r="F44" s="102" t="s">
        <v>8</v>
      </c>
      <c r="G44" s="103"/>
      <c r="H44" s="103"/>
      <c r="I44" s="103"/>
      <c r="J44" s="103">
        <f>'Rider Rates'!$B$94</f>
        <v>0</v>
      </c>
      <c r="K44" s="104" t="s">
        <v>42</v>
      </c>
      <c r="L44" s="105"/>
      <c r="M44" s="105"/>
      <c r="N44" s="87"/>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253</v>
      </c>
      <c r="B45" s="78"/>
      <c r="C45" s="78"/>
      <c r="D45" s="1">
        <f>$D$30</f>
        <v>0</v>
      </c>
      <c r="E45" s="101" t="s">
        <v>41</v>
      </c>
      <c r="F45" s="102" t="s">
        <v>8</v>
      </c>
      <c r="G45" s="103"/>
      <c r="H45" s="103"/>
      <c r="I45" s="103"/>
      <c r="J45" s="103">
        <f>'Rider Rates'!$B$95</f>
        <v>0</v>
      </c>
      <c r="K45" s="104" t="s">
        <v>42</v>
      </c>
      <c r="L45" s="105"/>
      <c r="M45" s="105"/>
      <c r="N45" s="87"/>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157</v>
      </c>
      <c r="B46" s="78"/>
      <c r="C46" s="78"/>
      <c r="D46" s="208">
        <f>$N$25</f>
        <v>9.4</v>
      </c>
      <c r="E46" s="101" t="s">
        <v>122</v>
      </c>
      <c r="F46" s="102" t="s">
        <v>8</v>
      </c>
      <c r="G46" s="114"/>
      <c r="H46" s="115"/>
      <c r="I46" s="120">
        <f>'Rider Rates'!$B$103</f>
        <v>0.21398439999999999</v>
      </c>
      <c r="J46" s="120">
        <f>SUM(H46:I46)</f>
        <v>0.21398439999999999</v>
      </c>
      <c r="K46" s="104"/>
      <c r="L46" s="105"/>
      <c r="M46" s="105"/>
      <c r="N46" s="105">
        <f>ROUND(N$25*I46,2)</f>
        <v>2.0099999999999998</v>
      </c>
      <c r="O46" s="105">
        <f t="shared" si="0"/>
        <v>2.0099999999999998</v>
      </c>
      <c r="P46" s="245">
        <f>'Rider Rates'!$D$103</f>
        <v>45351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210</v>
      </c>
      <c r="B47" s="78"/>
      <c r="C47" s="78"/>
      <c r="D47" s="195"/>
      <c r="E47" s="113" t="s">
        <v>115</v>
      </c>
      <c r="F47" s="106"/>
      <c r="G47" s="114"/>
      <c r="H47" s="115"/>
      <c r="I47" s="196">
        <f>'Rider Rates'!$B$107</f>
        <v>0</v>
      </c>
      <c r="J47" s="196">
        <f>SUM(G47:I47)</f>
        <v>0</v>
      </c>
      <c r="K47" s="104"/>
      <c r="L47" s="105"/>
      <c r="M47" s="105"/>
      <c r="N47" s="105">
        <f>I47</f>
        <v>0</v>
      </c>
      <c r="O47" s="105">
        <f t="shared" ref="O47:O52" si="1">SUM(L47:N47)</f>
        <v>0</v>
      </c>
      <c r="P47" s="245">
        <f>'Rider Rates'!$D$107</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218</v>
      </c>
      <c r="B48" s="78"/>
      <c r="C48" s="78"/>
      <c r="D48" s="195"/>
      <c r="E48" s="113" t="s">
        <v>115</v>
      </c>
      <c r="F48" s="106"/>
      <c r="G48" s="114"/>
      <c r="H48" s="115"/>
      <c r="I48" s="258">
        <f>'Rider Rates'!B120</f>
        <v>5.83</v>
      </c>
      <c r="J48" s="196">
        <f>SUM(G48:I48)</f>
        <v>5.83</v>
      </c>
      <c r="K48" s="104"/>
      <c r="L48" s="105"/>
      <c r="M48" s="105"/>
      <c r="N48" s="260">
        <f>I48</f>
        <v>5.83</v>
      </c>
      <c r="O48" s="105">
        <f t="shared" si="1"/>
        <v>5.83</v>
      </c>
      <c r="P48" s="245">
        <f>'Rider Rates'!D120</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158</v>
      </c>
      <c r="B49" s="78"/>
      <c r="C49" s="78"/>
      <c r="D49" s="100">
        <f>'Customer Info'!$B$21+'Customer Info'!$B$22-'Customer Info'!$B$23</f>
        <v>0</v>
      </c>
      <c r="E49" s="101" t="s">
        <v>41</v>
      </c>
      <c r="F49" s="102" t="s">
        <v>8</v>
      </c>
      <c r="G49" s="103">
        <f>'Rider Rates'!$B$110</f>
        <v>3.8972999999999998E-3</v>
      </c>
      <c r="H49" s="103"/>
      <c r="I49" s="120"/>
      <c r="J49" s="237">
        <f>SUM(G49:H49)</f>
        <v>3.8972999999999998E-3</v>
      </c>
      <c r="K49" s="104" t="s">
        <v>42</v>
      </c>
      <c r="L49" s="105">
        <f>ROUND(D49*G49,2)</f>
        <v>0</v>
      </c>
      <c r="M49" s="105"/>
      <c r="N49" s="105"/>
      <c r="O49" s="105">
        <f t="shared" si="1"/>
        <v>0</v>
      </c>
      <c r="P49" s="245">
        <f>'Rider Rates'!$D$110</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209</v>
      </c>
      <c r="B50" s="78"/>
      <c r="C50" s="78"/>
      <c r="D50" s="1">
        <f>IF($C$16&lt;1,0,$C$16)</f>
        <v>0</v>
      </c>
      <c r="E50" s="101" t="s">
        <v>41</v>
      </c>
      <c r="F50" s="249" t="s">
        <v>8</v>
      </c>
      <c r="G50" s="165"/>
      <c r="H50" s="165"/>
      <c r="I50" s="251">
        <f>'Rider Rates'!B116</f>
        <v>-6.2E-4</v>
      </c>
      <c r="J50" s="251">
        <f>SUM(G50:I50)</f>
        <v>-6.2E-4</v>
      </c>
      <c r="K50" s="104" t="s">
        <v>42</v>
      </c>
      <c r="L50" s="105"/>
      <c r="M50" s="105"/>
      <c r="N50" s="105">
        <f>D50*I50</f>
        <v>0</v>
      </c>
      <c r="O50" s="105">
        <f t="shared" si="1"/>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00">
        <f>IF(C16&lt;0,0,IF(C16&gt;833000,833000,C16))</f>
        <v>0</v>
      </c>
      <c r="E51" s="101" t="s">
        <v>41</v>
      </c>
      <c r="F51" s="102" t="s">
        <v>8</v>
      </c>
      <c r="G51" s="265"/>
      <c r="H51" s="265"/>
      <c r="I51" s="265">
        <f>'Rider Rates'!$B$124</f>
        <v>2.9050000000000001E-4</v>
      </c>
      <c r="J51" s="265">
        <f>SUM(G51:I51)</f>
        <v>2.9050000000000001E-4</v>
      </c>
      <c r="K51" s="104" t="s">
        <v>42</v>
      </c>
      <c r="L51" s="266"/>
      <c r="M51" s="266"/>
      <c r="N51" s="266">
        <f>IF(D51*J51&gt;'Rider Rates'!$C$124,'Rider Rates'!$C$124,D51*J51)</f>
        <v>0</v>
      </c>
      <c r="O51" s="266">
        <f t="shared" si="1"/>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235</v>
      </c>
      <c r="B52" s="78"/>
      <c r="C52" s="78"/>
      <c r="D52" s="123">
        <f>IF(C16&gt;833000,C16-833000,0)</f>
        <v>0</v>
      </c>
      <c r="E52" s="101" t="s">
        <v>41</v>
      </c>
      <c r="F52" s="102" t="s">
        <v>8</v>
      </c>
      <c r="G52" s="265"/>
      <c r="H52" s="265"/>
      <c r="I52" s="265">
        <f>'Rider Rates'!$B$125</f>
        <v>0</v>
      </c>
      <c r="J52" s="265">
        <f>SUM(G52:I52)</f>
        <v>0</v>
      </c>
      <c r="K52" s="104" t="s">
        <v>42</v>
      </c>
      <c r="L52" s="266"/>
      <c r="M52" s="266"/>
      <c r="N52" s="266">
        <f>D52*J52</f>
        <v>0</v>
      </c>
      <c r="O52" s="266">
        <f t="shared" si="1"/>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243</v>
      </c>
      <c r="B53" s="78"/>
      <c r="C53" s="78"/>
      <c r="D53" s="100">
        <f>D16</f>
        <v>0</v>
      </c>
      <c r="E53" s="101" t="s">
        <v>41</v>
      </c>
      <c r="F53" s="249" t="s">
        <v>8</v>
      </c>
      <c r="G53" s="103"/>
      <c r="H53" s="103"/>
      <c r="I53" s="103">
        <f>'Rider Rates'!$B$129</f>
        <v>0</v>
      </c>
      <c r="J53" s="237">
        <f>SUM(G53:I53)</f>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242</v>
      </c>
      <c r="B54" s="78"/>
      <c r="C54" s="78"/>
      <c r="D54" s="100"/>
      <c r="E54" s="101" t="s">
        <v>115</v>
      </c>
      <c r="F54" s="102" t="s">
        <v>8</v>
      </c>
      <c r="G54" s="263"/>
      <c r="H54" s="263"/>
      <c r="I54" s="263">
        <f>'Rider Rates'!$B$136</f>
        <v>0</v>
      </c>
      <c r="J54" s="263">
        <f>SUM(G54:I54)</f>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SUM(L29:L55)</f>
        <v>0</v>
      </c>
      <c r="M56" s="169">
        <f t="shared" ref="M56:O56" si="2">SUM(M29:M55)</f>
        <v>0</v>
      </c>
      <c r="N56" s="169">
        <f t="shared" si="2"/>
        <v>20.72</v>
      </c>
      <c r="O56" s="169">
        <f t="shared" si="2"/>
        <v>20.72</v>
      </c>
      <c r="P56" s="184"/>
    </row>
    <row r="57" spans="1:221" ht="13" x14ac:dyDescent="0.3">
      <c r="A57" s="37"/>
      <c r="D57" s="1"/>
      <c r="E57" s="35"/>
      <c r="F57" s="4"/>
      <c r="G57" s="42"/>
      <c r="H57" s="42"/>
      <c r="I57" s="42"/>
      <c r="J57" s="42"/>
      <c r="K57" s="36"/>
      <c r="L57" s="36"/>
      <c r="M57" s="36"/>
      <c r="N57" s="36"/>
      <c r="O57" s="34"/>
      <c r="P57" s="36"/>
    </row>
    <row r="58" spans="1:221" ht="13" x14ac:dyDescent="0.3">
      <c r="A58" s="269" t="s">
        <v>72</v>
      </c>
      <c r="B58" s="92"/>
      <c r="C58" s="92"/>
      <c r="D58" s="92"/>
      <c r="E58" s="92"/>
      <c r="F58" s="92"/>
      <c r="G58" s="92"/>
      <c r="H58" s="92"/>
      <c r="I58" s="92"/>
      <c r="J58" s="92"/>
      <c r="K58" s="92"/>
      <c r="L58" s="98">
        <f>L25+L56</f>
        <v>0</v>
      </c>
      <c r="M58" s="98">
        <f>M25+M56</f>
        <v>0</v>
      </c>
      <c r="N58" s="98">
        <f>N25+N56</f>
        <v>30.119999999999997</v>
      </c>
      <c r="O58" s="98">
        <f>O25+O56</f>
        <v>30.119999999999997</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O23+O56</f>
        <v>30.119999999999997</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30.119999999999997</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191</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78"/>
    </row>
    <row r="75" spans="1:16" x14ac:dyDescent="0.25">
      <c r="A75" s="478"/>
    </row>
    <row r="76" spans="1:16" x14ac:dyDescent="0.25">
      <c r="A76" s="478"/>
    </row>
    <row r="77" spans="1:16" x14ac:dyDescent="0.25">
      <c r="A77" s="478"/>
    </row>
    <row r="78" spans="1:16" x14ac:dyDescent="0.25">
      <c r="A78" s="478"/>
    </row>
    <row r="79" spans="1:16" x14ac:dyDescent="0.25">
      <c r="A79" s="478"/>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sheetData>
  <sheetProtection algorithmName="SHA-512" hashValue="mv1Zcwu7iOmGTqoDpUTz1Wr8Qm+SMFTFhAFTzDWe2poykJOJz3+JlfjJO9pFmhGUUVjAbWU5p+TbD23Teu22jA==" saltValue="kQe6uaqOU6fOtuD+n7Htx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412750</xdr:colOff>
                    <xdr:row>82</xdr:row>
                    <xdr:rowOff>76200</xdr:rowOff>
                  </from>
                  <to>
                    <xdr:col>16</xdr:col>
                    <xdr:colOff>38100</xdr:colOff>
                    <xdr:row>83</xdr:row>
                    <xdr:rowOff>133350</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8"/>
  <sheetViews>
    <sheetView showGridLines="0" topLeftCell="A8" zoomScale="80" zoomScaleNormal="80" workbookViewId="0">
      <selection activeCell="D14" sqref="D14"/>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263</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267">
        <f ca="1">TODAY()</f>
        <v>45476</v>
      </c>
      <c r="B6" s="210" t="s">
        <v>262</v>
      </c>
      <c r="C6" s="274"/>
      <c r="D6" s="274"/>
      <c r="E6" s="274"/>
      <c r="F6" s="274"/>
      <c r="G6" s="274"/>
      <c r="H6" s="274"/>
      <c r="I6" s="274"/>
      <c r="J6" s="274"/>
      <c r="K6" s="274"/>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ROUND(C14*C17,1)</f>
        <v>0</v>
      </c>
      <c r="E14" s="29" t="s">
        <v>45</v>
      </c>
      <c r="F14" s="30"/>
      <c r="G14" s="29" t="s">
        <v>15</v>
      </c>
      <c r="I14" s="53" t="s">
        <v>15</v>
      </c>
      <c r="J14" s="29"/>
      <c r="K14" s="29"/>
      <c r="L14" s="29"/>
      <c r="M14" s="29"/>
      <c r="N14" s="29"/>
    </row>
    <row r="15" spans="1:256" x14ac:dyDescent="0.25">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ht="13" x14ac:dyDescent="0.3">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08" t="s">
        <v>15</v>
      </c>
      <c r="E18" s="508"/>
      <c r="F18" s="508"/>
      <c r="G18" s="508"/>
      <c r="H18" s="508"/>
      <c r="K18" s="31"/>
      <c r="L18" s="31"/>
      <c r="M18" s="31"/>
      <c r="N18" s="31"/>
      <c r="O18" s="50"/>
    </row>
    <row r="19" spans="1:30" ht="13" x14ac:dyDescent="0.3">
      <c r="A19" s="31" t="s">
        <v>15</v>
      </c>
      <c r="B19" s="31"/>
      <c r="C19" s="82" t="s">
        <v>15</v>
      </c>
      <c r="D19" s="508" t="s">
        <v>15</v>
      </c>
      <c r="E19" s="508"/>
      <c r="F19" s="508"/>
      <c r="G19" s="508"/>
      <c r="H19" s="508"/>
      <c r="I19" s="23"/>
      <c r="J19" s="23"/>
      <c r="K19" s="31"/>
      <c r="L19" s="31"/>
      <c r="M19" s="31"/>
      <c r="N19" s="31"/>
      <c r="O19" s="50"/>
    </row>
    <row r="20" spans="1:30" ht="13" x14ac:dyDescent="0.3">
      <c r="A20" s="31"/>
      <c r="B20" s="31"/>
      <c r="C20" s="33"/>
      <c r="D20" s="33"/>
      <c r="E20" s="33"/>
      <c r="F20" s="33"/>
      <c r="G20" s="23"/>
      <c r="H20" s="23"/>
      <c r="I20" s="23"/>
      <c r="J20" s="23"/>
      <c r="K20" s="31"/>
      <c r="L20" s="31"/>
      <c r="M20" s="31"/>
      <c r="N20" s="31"/>
      <c r="O20" s="31"/>
    </row>
    <row r="21" spans="1:30" ht="13" x14ac:dyDescent="0.3">
      <c r="A21" s="28" t="s">
        <v>31</v>
      </c>
      <c r="B21" s="22"/>
      <c r="C21" s="22"/>
      <c r="D21" s="22"/>
      <c r="E21" s="22"/>
      <c r="F21" s="22"/>
      <c r="G21" s="490" t="s">
        <v>68</v>
      </c>
      <c r="H21" s="491"/>
      <c r="I21" s="491"/>
      <c r="J21" s="492"/>
      <c r="K21" s="22"/>
      <c r="L21" s="493" t="s">
        <v>69</v>
      </c>
      <c r="M21" s="493"/>
      <c r="N21" s="493"/>
      <c r="O21" s="493"/>
    </row>
    <row r="22" spans="1:30" ht="13" x14ac:dyDescent="0.3">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5">
      <c r="A23" t="s">
        <v>32</v>
      </c>
      <c r="G23" s="86"/>
      <c r="H23" s="86"/>
      <c r="I23" s="86">
        <v>138.5</v>
      </c>
      <c r="J23" s="86">
        <f>SUM(G23:I23)</f>
        <v>138.5</v>
      </c>
      <c r="L23" s="88"/>
      <c r="M23" s="88"/>
      <c r="N23" s="88">
        <f>I23</f>
        <v>138.5</v>
      </c>
      <c r="O23" s="209">
        <f>SUM(L23:N23)</f>
        <v>138.5</v>
      </c>
      <c r="P23" s="245">
        <v>44531</v>
      </c>
    </row>
    <row r="24" spans="1:30" x14ac:dyDescent="0.25">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ht="13" x14ac:dyDescent="0.3">
      <c r="A25" s="37" t="s">
        <v>50</v>
      </c>
      <c r="B25" s="37"/>
      <c r="C25" s="37"/>
      <c r="D25" s="38"/>
      <c r="E25" s="38"/>
      <c r="F25" s="37"/>
      <c r="G25" s="37"/>
      <c r="H25" s="37"/>
      <c r="I25" s="37"/>
      <c r="J25" s="37"/>
      <c r="K25" s="39"/>
      <c r="L25" s="40"/>
      <c r="M25" s="40"/>
      <c r="N25" s="40">
        <f>SUM(N23:N24)</f>
        <v>138.5</v>
      </c>
      <c r="O25" s="40">
        <f>SUM(O23:O24)</f>
        <v>138.5</v>
      </c>
    </row>
    <row r="26" spans="1:30" ht="13" x14ac:dyDescent="0.3">
      <c r="A26" s="89"/>
      <c r="B26" s="89"/>
      <c r="C26" s="90"/>
      <c r="D26" s="90"/>
      <c r="E26" s="90"/>
      <c r="F26" s="90"/>
      <c r="G26" s="91"/>
      <c r="H26" s="91"/>
      <c r="I26" s="91"/>
      <c r="J26" s="91"/>
      <c r="K26" s="89"/>
      <c r="L26" s="89"/>
      <c r="M26" s="89"/>
      <c r="N26" s="89"/>
      <c r="O26" s="89"/>
      <c r="P26" s="89"/>
    </row>
    <row r="27" spans="1:30" ht="13" x14ac:dyDescent="0.3">
      <c r="A27" s="41" t="s">
        <v>70</v>
      </c>
      <c r="D27" s="1"/>
      <c r="E27" s="1"/>
      <c r="K27" s="36"/>
      <c r="L27" s="36"/>
      <c r="M27" s="36"/>
      <c r="N27" s="36"/>
      <c r="O27" s="34"/>
      <c r="P27" s="34"/>
    </row>
    <row r="28" spans="1:30" ht="13" x14ac:dyDescent="0.3">
      <c r="A28" s="37"/>
      <c r="D28" s="1"/>
      <c r="E28" s="1"/>
      <c r="K28" s="36"/>
      <c r="L28" s="36"/>
      <c r="M28" s="36"/>
      <c r="N28" s="36"/>
      <c r="O28" s="34"/>
    </row>
    <row r="29" spans="1:30" x14ac:dyDescent="0.25">
      <c r="A29" s="78" t="s">
        <v>79</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5">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5">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ht="13" x14ac:dyDescent="0.3">
      <c r="A34" s="241" t="s">
        <v>238</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187</v>
      </c>
      <c r="B35" s="78"/>
      <c r="C35" s="78"/>
      <c r="D35" s="100">
        <f>'Customer Info'!$B$21+'Customer Info'!$B$22-'Customer Info'!$B$23</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5">
      <c r="A36" s="241" t="s">
        <v>162</v>
      </c>
      <c r="B36" s="78"/>
      <c r="C36" s="78"/>
      <c r="D36" s="100">
        <f>'Customer Info'!$B$21+'Customer Info'!$B$22-'Customer Info'!$B$23</f>
        <v>0</v>
      </c>
      <c r="E36" s="101" t="s">
        <v>41</v>
      </c>
      <c r="F36" s="102" t="s">
        <v>8</v>
      </c>
      <c r="G36" s="103">
        <f>'Rider Rates'!$B$37</f>
        <v>2.14E-3</v>
      </c>
      <c r="H36" s="103"/>
      <c r="I36" s="103"/>
      <c r="J36" s="237">
        <f>SUM(G36:H36)</f>
        <v>2.14E-3</v>
      </c>
      <c r="K36" s="104" t="s">
        <v>42</v>
      </c>
      <c r="L36" s="105">
        <f>ROUND(D36*G36,2)</f>
        <v>0</v>
      </c>
      <c r="M36" s="105"/>
      <c r="N36" s="105"/>
      <c r="O36" s="105">
        <f t="shared" si="0"/>
        <v>0</v>
      </c>
      <c r="P36" s="245">
        <f>'Rider Rates'!$D$37</f>
        <v>45444</v>
      </c>
    </row>
    <row r="37" spans="1:221" x14ac:dyDescent="0.25">
      <c r="A37" s="210" t="s">
        <v>194</v>
      </c>
      <c r="B37" s="78"/>
      <c r="C37" s="78"/>
      <c r="D37" s="100">
        <f>'Customer Info'!$B$21+'Customer Info'!$B$22-'Customer Info'!$B$23</f>
        <v>0</v>
      </c>
      <c r="E37" s="101" t="s">
        <v>41</v>
      </c>
      <c r="F37" s="102" t="s">
        <v>8</v>
      </c>
      <c r="G37" s="103">
        <f>'Rider Rates'!$B$45</f>
        <v>-3.1569999999999998E-4</v>
      </c>
      <c r="H37" s="103"/>
      <c r="I37" s="103"/>
      <c r="J37" s="237">
        <f>SUM(G37:H37)</f>
        <v>-3.1569999999999998E-4</v>
      </c>
      <c r="K37" s="104" t="s">
        <v>42</v>
      </c>
      <c r="L37" s="105">
        <f>ROUND(D37*G37,2)</f>
        <v>0</v>
      </c>
      <c r="M37" s="105"/>
      <c r="N37" s="105"/>
      <c r="O37" s="105">
        <f t="shared" si="0"/>
        <v>0</v>
      </c>
      <c r="P37" s="245">
        <f>'Rider Rates'!$D$45</f>
        <v>45383</v>
      </c>
    </row>
    <row r="38" spans="1:221" x14ac:dyDescent="0.25">
      <c r="A38" s="241" t="s">
        <v>211</v>
      </c>
      <c r="B38" s="78"/>
      <c r="C38" s="78"/>
      <c r="D38" s="100">
        <f>'Customer Info'!$B$21+'Customer Info'!$B$22-'Customer Info'!$B$23</f>
        <v>0</v>
      </c>
      <c r="E38" s="101" t="s">
        <v>41</v>
      </c>
      <c r="F38" s="102" t="s">
        <v>8</v>
      </c>
      <c r="G38" s="103"/>
      <c r="H38" s="103"/>
      <c r="I38" s="103">
        <f>'Rider Rates'!D49</f>
        <v>1.8006999999999999E-3</v>
      </c>
      <c r="J38" s="103">
        <f>SUM(G38:I38)</f>
        <v>1.8006999999999999E-3</v>
      </c>
      <c r="K38" s="104" t="s">
        <v>42</v>
      </c>
      <c r="L38" s="105"/>
      <c r="M38" s="105"/>
      <c r="N38" s="87">
        <f>D38*J38</f>
        <v>0</v>
      </c>
      <c r="O38" s="105">
        <f t="shared" si="0"/>
        <v>0</v>
      </c>
      <c r="P38" s="245">
        <f>'Rider Rates'!E49</f>
        <v>45474</v>
      </c>
    </row>
    <row r="39" spans="1:221" x14ac:dyDescent="0.25">
      <c r="A39" s="210" t="s">
        <v>190</v>
      </c>
      <c r="B39" s="78"/>
      <c r="C39" s="78"/>
      <c r="D39" s="1">
        <f>IF($C$16&lt;0,0,$C$16)</f>
        <v>0</v>
      </c>
      <c r="E39" s="113" t="s">
        <v>41</v>
      </c>
      <c r="F39" s="102" t="s">
        <v>8</v>
      </c>
      <c r="G39" s="103"/>
      <c r="H39" s="103">
        <f>'Rider Rates'!G56</f>
        <v>3.2698999999999999E-2</v>
      </c>
      <c r="I39" s="103"/>
      <c r="J39" s="103">
        <f>SUM(G39:I39)</f>
        <v>3.2698999999999999E-2</v>
      </c>
      <c r="K39" s="104" t="s">
        <v>42</v>
      </c>
      <c r="L39" s="105"/>
      <c r="M39" s="105">
        <f>ROUND(D39*H39,2)</f>
        <v>0</v>
      </c>
      <c r="N39" s="205"/>
      <c r="O39" s="105">
        <f t="shared" si="0"/>
        <v>0</v>
      </c>
      <c r="P39" s="245">
        <f>'Rider Rates'!H56</f>
        <v>45383</v>
      </c>
    </row>
    <row r="40" spans="1:221" x14ac:dyDescent="0.25">
      <c r="A40" s="99" t="s">
        <v>83</v>
      </c>
      <c r="B40" s="78"/>
      <c r="C40" s="78"/>
      <c r="D40" s="1">
        <f>IF('Customer Info'!C34=TRUE,0,IF($C$16&lt;0,0,$C$16))</f>
        <v>0</v>
      </c>
      <c r="E40" s="101" t="s">
        <v>41</v>
      </c>
      <c r="F40" s="102" t="s">
        <v>8</v>
      </c>
      <c r="G40" s="103"/>
      <c r="H40" s="103"/>
      <c r="I40" s="103">
        <f>'Rider Rates'!$B$69+'Rider Rates'!$C$69</f>
        <v>0</v>
      </c>
      <c r="J40" s="103">
        <f>SUM(G40:I40)</f>
        <v>0</v>
      </c>
      <c r="K40" s="104" t="s">
        <v>42</v>
      </c>
      <c r="L40" s="105"/>
      <c r="M40" s="105"/>
      <c r="N40" s="87">
        <f>ROUND($D$40*'Rider Rates'!$B$69,2)+ROUND($D$40*'Rider Rates'!$C$69,2)</f>
        <v>0</v>
      </c>
      <c r="O40" s="209">
        <f t="shared" si="0"/>
        <v>0</v>
      </c>
      <c r="P40" s="245">
        <f>'Rider Rates'!$D$69</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ht="13" x14ac:dyDescent="0.3">
      <c r="A41" s="99" t="s">
        <v>81</v>
      </c>
      <c r="B41" s="78"/>
      <c r="C41" s="78"/>
      <c r="D41" s="208">
        <f>$N$25</f>
        <v>138.5</v>
      </c>
      <c r="E41" s="101" t="s">
        <v>122</v>
      </c>
      <c r="F41" s="102" t="s">
        <v>8</v>
      </c>
      <c r="G41" s="111"/>
      <c r="H41" s="112"/>
      <c r="I41" s="120">
        <f>'Rider Rates'!$B$83</f>
        <v>2.9347000000000002E-2</v>
      </c>
      <c r="J41" s="120">
        <f>SUM(H41:I41)</f>
        <v>2.9347000000000002E-2</v>
      </c>
      <c r="K41" s="104"/>
      <c r="L41" s="105"/>
      <c r="M41" s="105"/>
      <c r="N41" s="105">
        <f>ROUND(N$25*I41,2)</f>
        <v>4.0599999999999996</v>
      </c>
      <c r="O41" s="209">
        <f t="shared" si="0"/>
        <v>4.0599999999999996</v>
      </c>
      <c r="P41" s="245">
        <f>'Rider Rates'!$D$83</f>
        <v>45383</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ht="13" x14ac:dyDescent="0.3">
      <c r="A42" s="99" t="s">
        <v>82</v>
      </c>
      <c r="B42" s="78"/>
      <c r="C42" s="78"/>
      <c r="D42" s="208">
        <f>$N$25</f>
        <v>138.5</v>
      </c>
      <c r="E42" s="101" t="s">
        <v>122</v>
      </c>
      <c r="F42" s="102" t="s">
        <v>8</v>
      </c>
      <c r="G42" s="114"/>
      <c r="H42" s="115"/>
      <c r="I42" s="120">
        <f>'Rider Rates'!$B$85</f>
        <v>6.6985699999999995E-2</v>
      </c>
      <c r="J42" s="120">
        <f>SUM(H42:I42)</f>
        <v>6.6985699999999995E-2</v>
      </c>
      <c r="K42" s="104"/>
      <c r="L42" s="105"/>
      <c r="M42" s="105"/>
      <c r="N42" s="105">
        <f>ROUND(N$25*I42,2)</f>
        <v>9.2799999999999994</v>
      </c>
      <c r="O42" s="209">
        <f t="shared" si="0"/>
        <v>9.2799999999999994</v>
      </c>
      <c r="P42" s="245">
        <f>'Rider Rates'!$D$85</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ht="13" x14ac:dyDescent="0.3">
      <c r="A43" s="210" t="s">
        <v>207</v>
      </c>
      <c r="B43" s="78"/>
      <c r="C43" s="78"/>
      <c r="D43" s="195"/>
      <c r="E43" s="113" t="s">
        <v>115</v>
      </c>
      <c r="F43" s="106"/>
      <c r="G43" s="114"/>
      <c r="H43" s="115"/>
      <c r="I43" s="196">
        <f>'Rider Rates'!$B$89</f>
        <v>11.97</v>
      </c>
      <c r="J43" s="196">
        <f>SUM(G43:I43)</f>
        <v>11.97</v>
      </c>
      <c r="K43" s="104"/>
      <c r="L43" s="105"/>
      <c r="M43" s="105"/>
      <c r="N43" s="105">
        <f>I43</f>
        <v>11.97</v>
      </c>
      <c r="O43" s="105">
        <f>SUM(L43:N43)</f>
        <v>11.97</v>
      </c>
      <c r="P43" s="245">
        <f>'Rider Rates'!$D$89</f>
        <v>45442</v>
      </c>
    </row>
    <row r="44" spans="1:221" x14ac:dyDescent="0.25">
      <c r="A44" s="241" t="s">
        <v>252</v>
      </c>
      <c r="B44" s="78"/>
      <c r="C44" s="78"/>
      <c r="D44" s="1">
        <f>$D$29</f>
        <v>0</v>
      </c>
      <c r="E44" s="101" t="s">
        <v>41</v>
      </c>
      <c r="F44" s="102" t="s">
        <v>8</v>
      </c>
      <c r="G44" s="103"/>
      <c r="H44" s="103"/>
      <c r="I44" s="103"/>
      <c r="J44" s="103">
        <f>'Rider Rates'!$B$94</f>
        <v>0</v>
      </c>
      <c r="K44" s="104" t="s">
        <v>42</v>
      </c>
      <c r="L44" s="105"/>
      <c r="M44" s="105"/>
      <c r="N44" s="87"/>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253</v>
      </c>
      <c r="B45" s="78"/>
      <c r="C45" s="78"/>
      <c r="D45" s="1">
        <f>$D$30</f>
        <v>0</v>
      </c>
      <c r="E45" s="101" t="s">
        <v>41</v>
      </c>
      <c r="F45" s="102" t="s">
        <v>8</v>
      </c>
      <c r="G45" s="103"/>
      <c r="H45" s="103"/>
      <c r="I45" s="103"/>
      <c r="J45" s="103">
        <f>'Rider Rates'!$B$95</f>
        <v>0</v>
      </c>
      <c r="K45" s="104" t="s">
        <v>42</v>
      </c>
      <c r="L45" s="105"/>
      <c r="M45" s="105"/>
      <c r="N45" s="87"/>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157</v>
      </c>
      <c r="B46" s="78"/>
      <c r="C46" s="78"/>
      <c r="D46" s="208">
        <f>$N$25</f>
        <v>138.5</v>
      </c>
      <c r="E46" s="101" t="s">
        <v>122</v>
      </c>
      <c r="F46" s="102" t="s">
        <v>8</v>
      </c>
      <c r="G46" s="114"/>
      <c r="H46" s="115"/>
      <c r="I46" s="120">
        <f>'Rider Rates'!$B$103</f>
        <v>0.21398439999999999</v>
      </c>
      <c r="J46" s="120">
        <f>SUM(H46:I46)</f>
        <v>0.21398439999999999</v>
      </c>
      <c r="K46" s="104"/>
      <c r="L46" s="105"/>
      <c r="M46" s="105"/>
      <c r="N46" s="105">
        <f>ROUND(N$25*I46,2)</f>
        <v>29.64</v>
      </c>
      <c r="O46" s="105">
        <f t="shared" si="0"/>
        <v>29.64</v>
      </c>
      <c r="P46" s="245">
        <f>'Rider Rates'!$D$103</f>
        <v>45351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210</v>
      </c>
      <c r="B47" s="78"/>
      <c r="C47" s="78"/>
      <c r="D47" s="195"/>
      <c r="E47" s="113" t="s">
        <v>115</v>
      </c>
      <c r="F47" s="106"/>
      <c r="G47" s="114"/>
      <c r="H47" s="115"/>
      <c r="I47" s="196">
        <f>'Rider Rates'!$B$107</f>
        <v>0</v>
      </c>
      <c r="J47" s="196">
        <f>SUM(G47:I47)</f>
        <v>0</v>
      </c>
      <c r="K47" s="104"/>
      <c r="L47" s="105"/>
      <c r="M47" s="105"/>
      <c r="N47" s="105">
        <f>I47</f>
        <v>0</v>
      </c>
      <c r="O47" s="105">
        <f t="shared" ref="O47:O52" si="1">SUM(L47:N47)</f>
        <v>0</v>
      </c>
      <c r="P47" s="245">
        <f>'Rider Rates'!$D$107</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218</v>
      </c>
      <c r="B48" s="78"/>
      <c r="C48" s="78"/>
      <c r="D48" s="195"/>
      <c r="E48" s="113" t="s">
        <v>115</v>
      </c>
      <c r="F48" s="106"/>
      <c r="G48" s="114"/>
      <c r="H48" s="115"/>
      <c r="I48" s="258">
        <f>'Rider Rates'!B120</f>
        <v>5.83</v>
      </c>
      <c r="J48" s="196">
        <f>SUM(G48:I48)</f>
        <v>5.83</v>
      </c>
      <c r="K48" s="104"/>
      <c r="L48" s="105"/>
      <c r="M48" s="105"/>
      <c r="N48" s="260">
        <f>I48</f>
        <v>5.83</v>
      </c>
      <c r="O48" s="105">
        <f t="shared" si="1"/>
        <v>5.83</v>
      </c>
      <c r="P48" s="245">
        <f>'Rider Rates'!D120</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158</v>
      </c>
      <c r="B49" s="78"/>
      <c r="C49" s="78"/>
      <c r="D49" s="100">
        <f>'Customer Info'!$B$21+'Customer Info'!$B$22-'Customer Info'!$B$23</f>
        <v>0</v>
      </c>
      <c r="E49" s="101" t="s">
        <v>41</v>
      </c>
      <c r="F49" s="102" t="s">
        <v>8</v>
      </c>
      <c r="G49" s="103">
        <f>'Rider Rates'!$B$111</f>
        <v>3.7618E-3</v>
      </c>
      <c r="H49" s="103"/>
      <c r="I49" s="120"/>
      <c r="J49" s="237">
        <f>SUM(G49:H49)</f>
        <v>3.7618E-3</v>
      </c>
      <c r="K49" s="104" t="s">
        <v>42</v>
      </c>
      <c r="L49" s="105">
        <f>ROUND(D49*G49,2)</f>
        <v>0</v>
      </c>
      <c r="M49" s="105"/>
      <c r="N49" s="105"/>
      <c r="O49" s="105">
        <f t="shared" si="1"/>
        <v>0</v>
      </c>
      <c r="P49" s="245">
        <f>'Rider Rates'!$D$111</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209</v>
      </c>
      <c r="B50" s="78"/>
      <c r="C50" s="78"/>
      <c r="D50" s="1">
        <f>IF($C$16&lt;1,0,$C$16)</f>
        <v>0</v>
      </c>
      <c r="E50" s="101" t="s">
        <v>41</v>
      </c>
      <c r="F50" s="249" t="s">
        <v>8</v>
      </c>
      <c r="G50" s="165"/>
      <c r="H50" s="165"/>
      <c r="I50" s="251">
        <f>'Rider Rates'!B116</f>
        <v>-6.2E-4</v>
      </c>
      <c r="J50" s="251">
        <f>SUM(G50:I50)</f>
        <v>-6.2E-4</v>
      </c>
      <c r="K50" s="104" t="s">
        <v>42</v>
      </c>
      <c r="L50" s="105"/>
      <c r="M50" s="105"/>
      <c r="N50" s="105">
        <f>D50*I50</f>
        <v>0</v>
      </c>
      <c r="O50" s="105">
        <f t="shared" si="1"/>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00">
        <f>IF(C16&lt;0,0,IF(C16&gt;833000,833000,C16))</f>
        <v>0</v>
      </c>
      <c r="E51" s="101" t="s">
        <v>41</v>
      </c>
      <c r="F51" s="102" t="s">
        <v>8</v>
      </c>
      <c r="G51" s="265"/>
      <c r="H51" s="265"/>
      <c r="I51" s="265">
        <f>'Rider Rates'!$B$124</f>
        <v>2.9050000000000001E-4</v>
      </c>
      <c r="J51" s="265">
        <f>SUM(G51:I51)</f>
        <v>2.9050000000000001E-4</v>
      </c>
      <c r="K51" s="104" t="s">
        <v>42</v>
      </c>
      <c r="L51" s="266"/>
      <c r="M51" s="266"/>
      <c r="N51" s="266">
        <f>IF(D51*J51&gt;'Rider Rates'!$C$124,'Rider Rates'!$C$124,D51*J51)</f>
        <v>0</v>
      </c>
      <c r="O51" s="266">
        <f t="shared" si="1"/>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235</v>
      </c>
      <c r="B52" s="78"/>
      <c r="C52" s="78"/>
      <c r="D52" s="123">
        <f>IF(C16&gt;833000,C16-833000,0)</f>
        <v>0</v>
      </c>
      <c r="E52" s="101" t="s">
        <v>41</v>
      </c>
      <c r="F52" s="102" t="s">
        <v>8</v>
      </c>
      <c r="G52" s="265"/>
      <c r="H52" s="265"/>
      <c r="I52" s="265">
        <f>'Rider Rates'!$B$125</f>
        <v>0</v>
      </c>
      <c r="J52" s="265">
        <f>SUM(G52:I52)</f>
        <v>0</v>
      </c>
      <c r="K52" s="104" t="s">
        <v>42</v>
      </c>
      <c r="L52" s="266"/>
      <c r="M52" s="266"/>
      <c r="N52" s="266">
        <f>D52*J52</f>
        <v>0</v>
      </c>
      <c r="O52" s="266">
        <f t="shared" si="1"/>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243</v>
      </c>
      <c r="B53" s="78"/>
      <c r="C53" s="78"/>
      <c r="D53" s="100">
        <f>D16</f>
        <v>0</v>
      </c>
      <c r="E53" s="101" t="s">
        <v>41</v>
      </c>
      <c r="F53" s="249" t="s">
        <v>8</v>
      </c>
      <c r="G53" s="103"/>
      <c r="H53" s="103"/>
      <c r="I53" s="103">
        <f>'Rider Rates'!$B$131</f>
        <v>0</v>
      </c>
      <c r="J53" s="237">
        <f>SUM(G53:I53)</f>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242</v>
      </c>
      <c r="B54" s="78"/>
      <c r="C54" s="78"/>
      <c r="D54" s="100"/>
      <c r="E54" s="101" t="s">
        <v>115</v>
      </c>
      <c r="F54" s="102" t="s">
        <v>8</v>
      </c>
      <c r="G54" s="263"/>
      <c r="H54" s="263"/>
      <c r="I54" s="263">
        <f>'Rider Rates'!$B$136</f>
        <v>0</v>
      </c>
      <c r="J54" s="263">
        <f>SUM(G54:I54)</f>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SUM(L29:L55)</f>
        <v>0</v>
      </c>
      <c r="M56" s="169">
        <f t="shared" ref="M56:O56" si="2">SUM(M29:M55)</f>
        <v>0</v>
      </c>
      <c r="N56" s="169">
        <f t="shared" si="2"/>
        <v>60.78</v>
      </c>
      <c r="O56" s="169">
        <f t="shared" si="2"/>
        <v>60.78</v>
      </c>
      <c r="P56" s="184"/>
    </row>
    <row r="57" spans="1:221" ht="13" x14ac:dyDescent="0.3">
      <c r="A57" s="37"/>
      <c r="D57" s="1"/>
      <c r="E57" s="35"/>
      <c r="F57" s="4"/>
      <c r="G57" s="42"/>
      <c r="H57" s="42"/>
      <c r="I57" s="42"/>
      <c r="J57" s="42"/>
      <c r="K57" s="36"/>
      <c r="L57" s="36"/>
      <c r="M57" s="36"/>
      <c r="N57" s="36"/>
      <c r="O57" s="34"/>
      <c r="P57" s="36"/>
    </row>
    <row r="58" spans="1:221" ht="13" x14ac:dyDescent="0.3">
      <c r="A58" s="269" t="s">
        <v>72</v>
      </c>
      <c r="B58" s="92"/>
      <c r="C58" s="92"/>
      <c r="D58" s="92"/>
      <c r="E58" s="92"/>
      <c r="F58" s="92"/>
      <c r="G58" s="92"/>
      <c r="H58" s="92"/>
      <c r="I58" s="92"/>
      <c r="J58" s="92"/>
      <c r="K58" s="92"/>
      <c r="L58" s="98">
        <f>L25+L56</f>
        <v>0</v>
      </c>
      <c r="M58" s="98">
        <f>M25+M56</f>
        <v>0</v>
      </c>
      <c r="N58" s="98">
        <f>N25+N56</f>
        <v>199.28</v>
      </c>
      <c r="O58" s="98">
        <f>O25+O56</f>
        <v>199.28</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O23+O56</f>
        <v>199.28</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199.28</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191</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78"/>
    </row>
    <row r="75" spans="1:16" x14ac:dyDescent="0.25">
      <c r="A75" s="478"/>
    </row>
    <row r="76" spans="1:16" x14ac:dyDescent="0.25">
      <c r="A76" s="478"/>
    </row>
    <row r="77" spans="1:16" x14ac:dyDescent="0.25">
      <c r="A77" s="478"/>
    </row>
    <row r="78" spans="1:16" x14ac:dyDescent="0.25">
      <c r="A78" s="478"/>
    </row>
    <row r="79" spans="1:16" x14ac:dyDescent="0.25">
      <c r="A79" s="478"/>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sheetData>
  <sheetProtection password="D7E1"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412750</xdr:colOff>
                    <xdr:row>82</xdr:row>
                    <xdr:rowOff>76200</xdr:rowOff>
                  </from>
                  <to>
                    <xdr:col>16</xdr:col>
                    <xdr:colOff>38100</xdr:colOff>
                    <xdr:row>83</xdr:row>
                    <xdr:rowOff>133350</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6"/>
  <sheetViews>
    <sheetView topLeftCell="A6" zoomScale="70" zoomScaleNormal="70" workbookViewId="0">
      <selection activeCell="D37" sqref="D37"/>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327</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328</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4.5" customHeight="1"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374" t="s">
        <v>65</v>
      </c>
      <c r="M20" s="374" t="s">
        <v>66</v>
      </c>
      <c r="N20" s="374" t="s">
        <v>67</v>
      </c>
      <c r="O20" s="374" t="s">
        <v>34</v>
      </c>
      <c r="P20" s="375" t="s">
        <v>57</v>
      </c>
    </row>
    <row r="21" spans="1:221" x14ac:dyDescent="0.25">
      <c r="A21" s="349" t="s">
        <v>32</v>
      </c>
      <c r="G21" s="449"/>
      <c r="H21" s="449"/>
      <c r="I21" s="449">
        <f>'Rider Rates'!B142</f>
        <v>9.4</v>
      </c>
      <c r="J21" s="449">
        <f>SUM(G21:I21)</f>
        <v>9.4</v>
      </c>
      <c r="L21" s="450"/>
      <c r="M21" s="450"/>
      <c r="N21" s="450">
        <f>I21</f>
        <v>9.4</v>
      </c>
      <c r="O21" s="425">
        <f>SUM(L21:N21)</f>
        <v>9.4</v>
      </c>
      <c r="P21" s="378">
        <v>44531</v>
      </c>
    </row>
    <row r="22" spans="1:221" x14ac:dyDescent="0.25">
      <c r="A22" s="451" t="s">
        <v>132</v>
      </c>
      <c r="D22" s="380">
        <f>C15</f>
        <v>0</v>
      </c>
      <c r="E22" s="381" t="s">
        <v>41</v>
      </c>
      <c r="F22" s="382" t="s">
        <v>8</v>
      </c>
      <c r="G22" s="424"/>
      <c r="H22" s="424"/>
      <c r="I22" s="424">
        <f>'Rider Rates'!C142</f>
        <v>2.0634799999999998E-2</v>
      </c>
      <c r="J22" s="424">
        <f>SUM(G22:I22)</f>
        <v>2.0634799999999998E-2</v>
      </c>
      <c r="K22" s="384" t="s">
        <v>42</v>
      </c>
      <c r="L22" s="425"/>
      <c r="M22" s="425"/>
      <c r="N22" s="425">
        <f>IF(C15&lt;0,0,ROUND($D22*I22,2))</f>
        <v>0</v>
      </c>
      <c r="O22" s="425">
        <f>SUM(L22:N22)</f>
        <v>0</v>
      </c>
      <c r="P22" s="378">
        <f>'Rider Rates'!H143</f>
        <v>45444</v>
      </c>
    </row>
    <row r="23" spans="1:221" ht="13" x14ac:dyDescent="0.3">
      <c r="A23" s="387" t="s">
        <v>50</v>
      </c>
      <c r="B23" s="387"/>
      <c r="C23" s="387"/>
      <c r="D23" s="388"/>
      <c r="E23" s="388"/>
      <c r="F23" s="387"/>
      <c r="G23" s="387"/>
      <c r="H23" s="387"/>
      <c r="I23" s="387"/>
      <c r="J23" s="387"/>
      <c r="K23" s="390"/>
      <c r="L23" s="389"/>
      <c r="M23" s="389"/>
      <c r="N23" s="389">
        <f>SUM(N21:N22)</f>
        <v>9.4</v>
      </c>
      <c r="O23" s="389">
        <f>SUM(O21:O22)</f>
        <v>9.4</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9.4</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100">
        <f>'Customer Info'!$B$21+'Customer Info'!$B$22-'Customer Info'!$B$23</f>
        <v>0</v>
      </c>
      <c r="E34" s="381" t="s">
        <v>41</v>
      </c>
      <c r="F34" s="382" t="s">
        <v>8</v>
      </c>
      <c r="G34" s="406">
        <f>'Rider Rates'!B22</f>
        <v>7.0209999999999995E-2</v>
      </c>
      <c r="H34" s="406"/>
      <c r="I34" s="406"/>
      <c r="J34" s="413">
        <f>SUM(G34:H34)</f>
        <v>7.0209999999999995E-2</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C16</f>
        <v>0</v>
      </c>
      <c r="E35" s="381" t="s">
        <v>41</v>
      </c>
      <c r="F35" s="382" t="s">
        <v>8</v>
      </c>
      <c r="G35" s="406">
        <f>'Rider Rates'!B41</f>
        <v>3.0709000000000001E-3</v>
      </c>
      <c r="H35" s="406"/>
      <c r="I35" s="406"/>
      <c r="J35" s="413">
        <f>SUM(G35:H35)</f>
        <v>3.0709000000000001E-3</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C17</f>
        <v>0</v>
      </c>
      <c r="E36" s="381" t="s">
        <v>41</v>
      </c>
      <c r="F36" s="375" t="s">
        <v>8</v>
      </c>
      <c r="G36" s="406">
        <f>'Rider Rates'!C41</f>
        <v>1.325E-3</v>
      </c>
      <c r="H36" s="406"/>
      <c r="I36" s="406"/>
      <c r="J36" s="413">
        <f>SUM(G36:H36)</f>
        <v>1.325E-3</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f>'Rider Rates'!$B$45</f>
        <v>-3.1569999999999998E-4</v>
      </c>
      <c r="H37" s="406"/>
      <c r="I37" s="406"/>
      <c r="J37" s="413">
        <f>SUM(G37:H37)</f>
        <v>-3.1569999999999998E-4</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56">
        <f>$N$23</f>
        <v>9.4</v>
      </c>
      <c r="E42" s="381" t="s">
        <v>122</v>
      </c>
      <c r="F42" s="382" t="s">
        <v>8</v>
      </c>
      <c r="G42" s="417"/>
      <c r="H42" s="373"/>
      <c r="I42" s="418">
        <f>'Rider Rates'!$B$83</f>
        <v>2.9347000000000002E-2</v>
      </c>
      <c r="J42" s="418">
        <f t="shared" si="0"/>
        <v>2.9347000000000002E-2</v>
      </c>
      <c r="K42" s="384"/>
      <c r="L42" s="250"/>
      <c r="M42" s="250"/>
      <c r="N42" s="250">
        <f>ROUND(D42*I42,2)</f>
        <v>0.28000000000000003</v>
      </c>
      <c r="O42" s="250">
        <f t="shared" si="2"/>
        <v>0.28000000000000003</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9.4</v>
      </c>
      <c r="E43" s="381" t="s">
        <v>122</v>
      </c>
      <c r="F43" s="382" t="s">
        <v>8</v>
      </c>
      <c r="G43" s="419"/>
      <c r="H43" s="373"/>
      <c r="I43" s="418">
        <f>'Rider Rates'!$B$85</f>
        <v>6.6985699999999995E-2</v>
      </c>
      <c r="J43" s="418">
        <f t="shared" si="0"/>
        <v>6.6985699999999995E-2</v>
      </c>
      <c r="K43" s="384"/>
      <c r="L43" s="250"/>
      <c r="M43" s="250"/>
      <c r="N43" s="250">
        <f>ROUND(D43*I43,2)</f>
        <v>0.63</v>
      </c>
      <c r="O43" s="250">
        <f t="shared" si="2"/>
        <v>0.63</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9.4</v>
      </c>
      <c r="E46" s="381" t="s">
        <v>122</v>
      </c>
      <c r="F46" s="382" t="s">
        <v>8</v>
      </c>
      <c r="G46" s="419"/>
      <c r="H46" s="373"/>
      <c r="I46" s="418">
        <f>'Rider Rates'!$B$103</f>
        <v>0.21398439999999999</v>
      </c>
      <c r="J46" s="418">
        <f t="shared" si="0"/>
        <v>0.21398439999999999</v>
      </c>
      <c r="K46" s="384"/>
      <c r="L46" s="250"/>
      <c r="M46" s="250"/>
      <c r="N46" s="250">
        <f>ROUND(D46*I46,2)</f>
        <v>2.0099999999999998</v>
      </c>
      <c r="O46" s="250">
        <f t="shared" si="2"/>
        <v>2.0099999999999998</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f>'Rider Rates'!$B$110</f>
        <v>3.8972999999999998E-3</v>
      </c>
      <c r="H49" s="406"/>
      <c r="I49" s="418"/>
      <c r="J49" s="413">
        <f>SUM(G49:H49)</f>
        <v>3.8972999999999998E-3</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3">SUM(M27:M55)</f>
        <v>0</v>
      </c>
      <c r="N56" s="432">
        <f t="shared" si="3"/>
        <v>20.72</v>
      </c>
      <c r="O56" s="432">
        <f t="shared" si="3"/>
        <v>20.72</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59" t="s">
        <v>94</v>
      </c>
      <c r="B58" s="397"/>
      <c r="C58" s="397"/>
      <c r="D58" s="397"/>
      <c r="E58" s="397"/>
      <c r="F58" s="397"/>
      <c r="G58" s="397"/>
      <c r="H58" s="397"/>
      <c r="I58" s="397"/>
      <c r="J58" s="397"/>
      <c r="K58" s="397"/>
      <c r="L58" s="436">
        <f>L23+L56</f>
        <v>0</v>
      </c>
      <c r="M58" s="436">
        <f>M23+M56</f>
        <v>0</v>
      </c>
      <c r="N58" s="436">
        <f>N23+N56</f>
        <v>30.119999999999997</v>
      </c>
      <c r="O58" s="437">
        <f>O23+O56</f>
        <v>30.119999999999997</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30.119999999999997</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30.119999999999997</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QjyIjHUnq2vHLU+NNzifEyv9WRm5mlqLhZPROWeJI8BMub8tnZyfieU1QPKcpQVC8ik9AusUtpm78i41+Xqsiw==" saltValue="yLVmBH3MaUo0TvT7gIrhW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57150</xdr:colOff>
                    <xdr:row>0</xdr:row>
                    <xdr:rowOff>38100</xdr:rowOff>
                  </from>
                  <to>
                    <xdr:col>0</xdr:col>
                    <xdr:colOff>571500</xdr:colOff>
                    <xdr:row>1</xdr:row>
                    <xdr:rowOff>88900</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6"/>
  <sheetViews>
    <sheetView topLeftCell="A5" zoomScale="85" zoomScaleNormal="85" workbookViewId="0">
      <selection activeCell="D37" sqref="D37"/>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331</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329</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374" t="s">
        <v>65</v>
      </c>
      <c r="M20" s="374" t="s">
        <v>66</v>
      </c>
      <c r="N20" s="374" t="s">
        <v>67</v>
      </c>
      <c r="O20" s="374" t="s">
        <v>34</v>
      </c>
      <c r="P20" s="375" t="s">
        <v>57</v>
      </c>
    </row>
    <row r="21" spans="1:221" x14ac:dyDescent="0.25">
      <c r="A21" s="349" t="s">
        <v>32</v>
      </c>
      <c r="G21" s="449"/>
      <c r="H21" s="449"/>
      <c r="I21" s="449">
        <f>'Rider Rates'!B143</f>
        <v>138.5</v>
      </c>
      <c r="J21" s="449">
        <f>SUM(G21:I21)</f>
        <v>138.5</v>
      </c>
      <c r="L21" s="450"/>
      <c r="M21" s="450"/>
      <c r="N21" s="450">
        <f>I21</f>
        <v>138.5</v>
      </c>
      <c r="O21" s="425">
        <f>SUM(L21:N21)</f>
        <v>138.5</v>
      </c>
      <c r="P21" s="378">
        <v>44531</v>
      </c>
    </row>
    <row r="22" spans="1:221" x14ac:dyDescent="0.25">
      <c r="A22" s="451" t="s">
        <v>132</v>
      </c>
      <c r="D22" s="380">
        <f>C15</f>
        <v>0</v>
      </c>
      <c r="E22" s="381" t="s">
        <v>41</v>
      </c>
      <c r="F22" s="382" t="s">
        <v>8</v>
      </c>
      <c r="G22" s="424"/>
      <c r="H22" s="424"/>
      <c r="I22" s="462">
        <f>'Rider Rates'!C143</f>
        <v>1.3832199999999999E-2</v>
      </c>
      <c r="J22" s="424">
        <f>SUM(G22:I22)</f>
        <v>1.3832199999999999E-2</v>
      </c>
      <c r="K22" s="384" t="s">
        <v>42</v>
      </c>
      <c r="L22" s="425"/>
      <c r="M22" s="425"/>
      <c r="N22" s="425">
        <f>IF(C15&lt;0,0,ROUND($D22*I22,2))</f>
        <v>0</v>
      </c>
      <c r="O22" s="425">
        <f>SUM(L22:N22)</f>
        <v>0</v>
      </c>
      <c r="P22" s="378">
        <f>'Rider Rates'!H143</f>
        <v>45444</v>
      </c>
    </row>
    <row r="23" spans="1:221" ht="13" x14ac:dyDescent="0.3">
      <c r="A23" s="387" t="s">
        <v>50</v>
      </c>
      <c r="B23" s="387"/>
      <c r="C23" s="387"/>
      <c r="D23" s="388"/>
      <c r="E23" s="388"/>
      <c r="F23" s="387"/>
      <c r="G23" s="387"/>
      <c r="H23" s="387"/>
      <c r="I23" s="387"/>
      <c r="J23" s="387"/>
      <c r="K23" s="390"/>
      <c r="L23" s="389"/>
      <c r="M23" s="389"/>
      <c r="N23" s="389">
        <f>SUM(N21:N22)</f>
        <v>138.5</v>
      </c>
      <c r="O23" s="389">
        <f>SUM(O21:O22)</f>
        <v>138.5</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138.5</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380">
        <f>C15</f>
        <v>0</v>
      </c>
      <c r="E34" s="381" t="s">
        <v>41</v>
      </c>
      <c r="F34" s="382" t="s">
        <v>8</v>
      </c>
      <c r="G34" s="406">
        <f>'Rider Rates'!B24</f>
        <v>6.7849999999999994E-2</v>
      </c>
      <c r="H34" s="406"/>
      <c r="I34" s="406"/>
      <c r="J34" s="413">
        <f>SUM(G34:H34)</f>
        <v>6.7849999999999994E-2</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 t="shared" ref="D35:D36" si="3">C16</f>
        <v>0</v>
      </c>
      <c r="E35" s="381" t="s">
        <v>41</v>
      </c>
      <c r="F35" s="382" t="s">
        <v>8</v>
      </c>
      <c r="G35" s="406">
        <f>'Rider Rates'!B42</f>
        <v>2.5335000000000002E-3</v>
      </c>
      <c r="H35" s="406"/>
      <c r="I35" s="406"/>
      <c r="J35" s="413">
        <f>SUM(G35:H35)</f>
        <v>2.5335000000000002E-3</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 t="shared" si="3"/>
        <v>0</v>
      </c>
      <c r="E36" s="381" t="s">
        <v>41</v>
      </c>
      <c r="F36" s="375" t="s">
        <v>8</v>
      </c>
      <c r="G36" s="406">
        <f>'Rider Rates'!C42</f>
        <v>1.07E-3</v>
      </c>
      <c r="H36" s="406"/>
      <c r="I36" s="406"/>
      <c r="J36" s="413">
        <f>SUM(G36:H36)</f>
        <v>1.07E-3</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f>'Rider Rates'!$B$45</f>
        <v>-3.1569999999999998E-4</v>
      </c>
      <c r="H37" s="406"/>
      <c r="I37" s="406"/>
      <c r="J37" s="413">
        <f>SUM(G37:H37)</f>
        <v>-3.1569999999999998E-4</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$N$23</f>
        <v>138.5</v>
      </c>
      <c r="E42" s="381" t="s">
        <v>122</v>
      </c>
      <c r="F42" s="382" t="s">
        <v>8</v>
      </c>
      <c r="G42" s="417"/>
      <c r="H42" s="373"/>
      <c r="I42" s="418">
        <f>'Rider Rates'!$B$83</f>
        <v>2.9347000000000002E-2</v>
      </c>
      <c r="J42" s="418">
        <f t="shared" si="0"/>
        <v>2.9347000000000002E-2</v>
      </c>
      <c r="K42" s="384"/>
      <c r="L42" s="250"/>
      <c r="M42" s="250"/>
      <c r="N42" s="250">
        <f>ROUND(D42*I42,2)</f>
        <v>4.0599999999999996</v>
      </c>
      <c r="O42" s="250">
        <f t="shared" si="2"/>
        <v>4.0599999999999996</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138.5</v>
      </c>
      <c r="E43" s="381" t="s">
        <v>122</v>
      </c>
      <c r="F43" s="382" t="s">
        <v>8</v>
      </c>
      <c r="G43" s="419"/>
      <c r="H43" s="373"/>
      <c r="I43" s="418">
        <f>'Rider Rates'!$B$85</f>
        <v>6.6985699999999995E-2</v>
      </c>
      <c r="J43" s="418">
        <f t="shared" si="0"/>
        <v>6.6985699999999995E-2</v>
      </c>
      <c r="K43" s="384"/>
      <c r="L43" s="250"/>
      <c r="M43" s="250"/>
      <c r="N43" s="250">
        <f>ROUND(D43*I43,2)</f>
        <v>9.2799999999999994</v>
      </c>
      <c r="O43" s="250">
        <f t="shared" si="2"/>
        <v>9.2799999999999994</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138.5</v>
      </c>
      <c r="E46" s="381" t="s">
        <v>122</v>
      </c>
      <c r="F46" s="382" t="s">
        <v>8</v>
      </c>
      <c r="G46" s="419"/>
      <c r="H46" s="373"/>
      <c r="I46" s="418">
        <f>'Rider Rates'!$B$103</f>
        <v>0.21398439999999999</v>
      </c>
      <c r="J46" s="418">
        <f t="shared" si="0"/>
        <v>0.21398439999999999</v>
      </c>
      <c r="K46" s="384"/>
      <c r="L46" s="250"/>
      <c r="M46" s="250"/>
      <c r="N46" s="250">
        <f>ROUND(D46*I46,2)</f>
        <v>29.64</v>
      </c>
      <c r="O46" s="250">
        <f t="shared" si="2"/>
        <v>29.64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f>'Rider Rates'!B111</f>
        <v>3.7618E-3</v>
      </c>
      <c r="H49" s="406"/>
      <c r="I49" s="418"/>
      <c r="J49" s="413">
        <f>SUM(G49:H49)</f>
        <v>3.7618E-3</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4">SUM(M27:M55)</f>
        <v>0</v>
      </c>
      <c r="N56" s="432">
        <f t="shared" si="4"/>
        <v>60.78</v>
      </c>
      <c r="O56" s="432">
        <f t="shared" si="4"/>
        <v>60.78</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59" t="s">
        <v>94</v>
      </c>
      <c r="B58" s="397"/>
      <c r="C58" s="397"/>
      <c r="D58" s="397"/>
      <c r="E58" s="397"/>
      <c r="F58" s="397"/>
      <c r="G58" s="397"/>
      <c r="H58" s="397"/>
      <c r="I58" s="397"/>
      <c r="J58" s="397"/>
      <c r="K58" s="397"/>
      <c r="L58" s="436">
        <f>L23+L56</f>
        <v>0</v>
      </c>
      <c r="M58" s="436">
        <f>M23+M56</f>
        <v>0</v>
      </c>
      <c r="N58" s="436">
        <f>N23+N56</f>
        <v>199.28</v>
      </c>
      <c r="O58" s="437">
        <f>O23+O56</f>
        <v>199.28</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199.28</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199.28</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dYNs0Ul8d2KRpn2hmzE9AtfFpyflweuSAOg42pt8V/vetVLdRz0Cb+cI/XTsQ6aChI0/nTXBVGEF68d1tCb7kg==" saltValue="/X8RCTqQUXbo4B+40/AUd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57150</xdr:colOff>
                    <xdr:row>0</xdr:row>
                    <xdr:rowOff>38100</xdr:rowOff>
                  </from>
                  <to>
                    <xdr:col>0</xdr:col>
                    <xdr:colOff>571500</xdr:colOff>
                    <xdr:row>2</xdr:row>
                    <xdr:rowOff>19050</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285750</xdr:colOff>
                    <xdr:row>73</xdr:row>
                    <xdr:rowOff>76200</xdr:rowOff>
                  </from>
                  <to>
                    <xdr:col>15</xdr:col>
                    <xdr:colOff>806450</xdr:colOff>
                    <xdr:row>74</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69850</xdr:colOff>
                    <xdr:row>0</xdr:row>
                    <xdr:rowOff>76200</xdr:rowOff>
                  </from>
                  <to>
                    <xdr:col>0</xdr:col>
                    <xdr:colOff>577850</xdr:colOff>
                    <xdr:row>2</xdr:row>
                    <xdr:rowOff>88900</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69850</xdr:colOff>
                    <xdr:row>0</xdr:row>
                    <xdr:rowOff>76200</xdr:rowOff>
                  </from>
                  <to>
                    <xdr:col>0</xdr:col>
                    <xdr:colOff>577850</xdr:colOff>
                    <xdr:row>2</xdr:row>
                    <xdr:rowOff>88900</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69850</xdr:colOff>
                    <xdr:row>0</xdr:row>
                    <xdr:rowOff>76200</xdr:rowOff>
                  </from>
                  <to>
                    <xdr:col>0</xdr:col>
                    <xdr:colOff>577850</xdr:colOff>
                    <xdr:row>2</xdr:row>
                    <xdr:rowOff>88900</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69850</xdr:colOff>
                    <xdr:row>0</xdr:row>
                    <xdr:rowOff>76200</xdr:rowOff>
                  </from>
                  <to>
                    <xdr:col>0</xdr:col>
                    <xdr:colOff>577850</xdr:colOff>
                    <xdr:row>2</xdr:row>
                    <xdr:rowOff>88900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6"/>
  <sheetViews>
    <sheetView topLeftCell="A5" zoomScale="85" zoomScaleNormal="85" workbookViewId="0">
      <selection activeCell="D37" sqref="D37"/>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330</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332</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374" t="s">
        <v>65</v>
      </c>
      <c r="M20" s="374" t="s">
        <v>66</v>
      </c>
      <c r="N20" s="374" t="s">
        <v>67</v>
      </c>
      <c r="O20" s="374" t="s">
        <v>34</v>
      </c>
      <c r="P20" s="375" t="s">
        <v>57</v>
      </c>
    </row>
    <row r="21" spans="1:221" x14ac:dyDescent="0.25">
      <c r="A21" s="349" t="s">
        <v>32</v>
      </c>
      <c r="G21" s="449"/>
      <c r="H21" s="449"/>
      <c r="I21" s="449">
        <f>'Rider Rates'!B144</f>
        <v>825</v>
      </c>
      <c r="J21" s="449">
        <f>SUM(G21:I21)</f>
        <v>825</v>
      </c>
      <c r="L21" s="450"/>
      <c r="M21" s="450"/>
      <c r="N21" s="450">
        <f>I21</f>
        <v>825</v>
      </c>
      <c r="O21" s="425">
        <f>SUM(L21:N21)</f>
        <v>825</v>
      </c>
      <c r="P21" s="378">
        <v>44531</v>
      </c>
    </row>
    <row r="22" spans="1:221" x14ac:dyDescent="0.25">
      <c r="A22" s="451" t="s">
        <v>132</v>
      </c>
      <c r="D22" s="380">
        <f>C15</f>
        <v>0</v>
      </c>
      <c r="E22" s="381" t="s">
        <v>41</v>
      </c>
      <c r="F22" s="382" t="s">
        <v>8</v>
      </c>
      <c r="G22" s="424"/>
      <c r="H22" s="424"/>
      <c r="I22" s="462">
        <f>'Rider Rates'!C144</f>
        <v>5.9799999999999997E-5</v>
      </c>
      <c r="J22" s="424">
        <f>SUM(G22:I22)</f>
        <v>5.9799999999999997E-5</v>
      </c>
      <c r="K22" s="384" t="s">
        <v>42</v>
      </c>
      <c r="L22" s="425"/>
      <c r="M22" s="425"/>
      <c r="N22" s="425">
        <f>IF(C15&lt;0,0,ROUND($D22*I22,2))</f>
        <v>0</v>
      </c>
      <c r="O22" s="425">
        <f>SUM(L22:N22)</f>
        <v>0</v>
      </c>
      <c r="P22" s="378">
        <f>'Rider Rates'!H144</f>
        <v>45444</v>
      </c>
    </row>
    <row r="23" spans="1:221" ht="13" x14ac:dyDescent="0.3">
      <c r="A23" s="387" t="s">
        <v>50</v>
      </c>
      <c r="B23" s="387"/>
      <c r="C23" s="387"/>
      <c r="D23" s="388"/>
      <c r="E23" s="388"/>
      <c r="F23" s="387"/>
      <c r="G23" s="387"/>
      <c r="H23" s="387"/>
      <c r="I23" s="387"/>
      <c r="J23" s="387"/>
      <c r="K23" s="390"/>
      <c r="L23" s="389"/>
      <c r="M23" s="389"/>
      <c r="N23" s="389">
        <f>SUM(N21:N22)</f>
        <v>825</v>
      </c>
      <c r="O23" s="389">
        <f>SUM(O21:O22)</f>
        <v>825</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825</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380">
        <f>C15</f>
        <v>0</v>
      </c>
      <c r="E34" s="381" t="s">
        <v>41</v>
      </c>
      <c r="F34" s="382" t="s">
        <v>8</v>
      </c>
      <c r="G34" s="406">
        <f>'Rider Rates'!B25</f>
        <v>6.6629999999999995E-2</v>
      </c>
      <c r="H34" s="406"/>
      <c r="I34" s="406"/>
      <c r="J34" s="413">
        <f>SUM(G34:H34)</f>
        <v>6.6629999999999995E-2</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 t="shared" ref="D35:D36" si="3">C16</f>
        <v>0</v>
      </c>
      <c r="E35" s="381" t="s">
        <v>41</v>
      </c>
      <c r="F35" s="382" t="s">
        <v>8</v>
      </c>
      <c r="G35" s="406">
        <f>'Rider Rates'!B43</f>
        <v>2.0022E-3</v>
      </c>
      <c r="H35" s="406"/>
      <c r="I35" s="406"/>
      <c r="J35" s="413">
        <f>SUM(G35:H35)</f>
        <v>2.0022E-3</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 t="shared" si="3"/>
        <v>0</v>
      </c>
      <c r="E36" s="381" t="s">
        <v>41</v>
      </c>
      <c r="F36" s="375" t="s">
        <v>8</v>
      </c>
      <c r="G36" s="406">
        <f>'Rider Rates'!C43</f>
        <v>8.3000000000000001E-4</v>
      </c>
      <c r="H36" s="406"/>
      <c r="I36" s="406"/>
      <c r="J36" s="413">
        <f>SUM(G36:H36)</f>
        <v>8.3000000000000001E-4</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f>'Rider Rates'!$B$45</f>
        <v>-3.1569999999999998E-4</v>
      </c>
      <c r="H37" s="406"/>
      <c r="I37" s="406"/>
      <c r="J37" s="413">
        <f>SUM(G37:H37)</f>
        <v>-3.1569999999999998E-4</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$N$23</f>
        <v>825</v>
      </c>
      <c r="E42" s="381" t="s">
        <v>122</v>
      </c>
      <c r="F42" s="382" t="s">
        <v>8</v>
      </c>
      <c r="G42" s="417"/>
      <c r="H42" s="373"/>
      <c r="I42" s="418">
        <f>'Rider Rates'!$B$83</f>
        <v>2.9347000000000002E-2</v>
      </c>
      <c r="J42" s="418">
        <f t="shared" si="0"/>
        <v>2.9347000000000002E-2</v>
      </c>
      <c r="K42" s="384"/>
      <c r="L42" s="250"/>
      <c r="M42" s="250"/>
      <c r="N42" s="250">
        <f>ROUND(D42*I42,2)</f>
        <v>24.21</v>
      </c>
      <c r="O42" s="250">
        <f t="shared" si="2"/>
        <v>24.21</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825</v>
      </c>
      <c r="E43" s="381" t="s">
        <v>122</v>
      </c>
      <c r="F43" s="382" t="s">
        <v>8</v>
      </c>
      <c r="G43" s="419"/>
      <c r="H43" s="373"/>
      <c r="I43" s="418">
        <f>'Rider Rates'!$B$85</f>
        <v>6.6985699999999995E-2</v>
      </c>
      <c r="J43" s="418">
        <f t="shared" si="0"/>
        <v>6.6985699999999995E-2</v>
      </c>
      <c r="K43" s="384"/>
      <c r="L43" s="250"/>
      <c r="M43" s="250"/>
      <c r="N43" s="250">
        <f>ROUND(D43*I43,2)</f>
        <v>55.26</v>
      </c>
      <c r="O43" s="250">
        <f t="shared" si="2"/>
        <v>55.26</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825</v>
      </c>
      <c r="E46" s="381" t="s">
        <v>122</v>
      </c>
      <c r="F46" s="382" t="s">
        <v>8</v>
      </c>
      <c r="G46" s="419"/>
      <c r="H46" s="373"/>
      <c r="I46" s="418">
        <f>'Rider Rates'!$B$103</f>
        <v>0.21398439999999999</v>
      </c>
      <c r="J46" s="418">
        <f t="shared" si="0"/>
        <v>0.21398439999999999</v>
      </c>
      <c r="K46" s="384"/>
      <c r="L46" s="250"/>
      <c r="M46" s="250"/>
      <c r="N46" s="250">
        <f>ROUND(D46*I46,2)</f>
        <v>176.54</v>
      </c>
      <c r="O46" s="250">
        <f t="shared" si="2"/>
        <v>176.54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f>'Rider Rates'!B112</f>
        <v>3.6865999999999999E-3</v>
      </c>
      <c r="H49" s="406"/>
      <c r="I49" s="418"/>
      <c r="J49" s="413">
        <f>SUM(G49:H49)</f>
        <v>3.6865999999999999E-3</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4">SUM(M27:M55)</f>
        <v>0</v>
      </c>
      <c r="N56" s="432">
        <f t="shared" si="4"/>
        <v>273.81</v>
      </c>
      <c r="O56" s="432">
        <f t="shared" si="4"/>
        <v>273.81</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59" t="s">
        <v>94</v>
      </c>
      <c r="B58" s="397"/>
      <c r="C58" s="397"/>
      <c r="D58" s="397"/>
      <c r="E58" s="397"/>
      <c r="F58" s="397"/>
      <c r="G58" s="397"/>
      <c r="H58" s="397"/>
      <c r="I58" s="397"/>
      <c r="J58" s="397"/>
      <c r="K58" s="397"/>
      <c r="L58" s="436">
        <f>L23+L56</f>
        <v>0</v>
      </c>
      <c r="M58" s="436">
        <f>M23+M56</f>
        <v>0</v>
      </c>
      <c r="N58" s="436">
        <f>N23+N56</f>
        <v>1098.81</v>
      </c>
      <c r="O58" s="437">
        <f>O23+O56</f>
        <v>1098.81</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1098.81</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1098.81</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dM5Ws8thyZGM7RDDJOXGD493bOCzNdRIEBSz9p2/METjECoqbQ2rbzt7YLGtY1s9kaKxUo12op/POFCSIBkUDg==" saltValue="aXzjB0Vr2bpV7xcIxqxSw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57150</xdr:colOff>
                    <xdr:row>0</xdr:row>
                    <xdr:rowOff>38100</xdr:rowOff>
                  </from>
                  <to>
                    <xdr:col>0</xdr:col>
                    <xdr:colOff>571500</xdr:colOff>
                    <xdr:row>3</xdr:row>
                    <xdr:rowOff>44450</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5"/>
  <sheetViews>
    <sheetView showGridLines="0" topLeftCell="A11" zoomScale="80" zoomScaleNormal="80" workbookViewId="0">
      <selection activeCell="D40" sqref="D40"/>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258</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76">
        <f ca="1">TODAY()</f>
        <v>45476</v>
      </c>
      <c r="B6" s="210" t="s">
        <v>255</v>
      </c>
      <c r="C6" s="76"/>
      <c r="D6" s="76"/>
      <c r="E6" s="76"/>
      <c r="F6" s="76"/>
      <c r="G6" s="76"/>
      <c r="H6" s="76"/>
      <c r="I6" s="76"/>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285</v>
      </c>
      <c r="B17" s="31"/>
      <c r="C17" s="32">
        <f>'Customer Info'!$B$27</f>
        <v>0</v>
      </c>
      <c r="D17" s="32">
        <f>$C$17*$C$20</f>
        <v>0</v>
      </c>
      <c r="E17" s="31" t="s">
        <v>288</v>
      </c>
      <c r="F17" s="33"/>
      <c r="G17" s="31"/>
      <c r="H17" s="31"/>
      <c r="I17" s="31"/>
      <c r="J17" s="31"/>
      <c r="K17" s="31"/>
      <c r="L17" s="31"/>
      <c r="M17" s="31"/>
      <c r="N17" s="31"/>
      <c r="O17" s="31"/>
    </row>
    <row r="18" spans="1:30" x14ac:dyDescent="0.25">
      <c r="A18" s="31" t="s">
        <v>286</v>
      </c>
      <c r="B18" s="31"/>
      <c r="C18" s="285">
        <f>IF('Customer Info'!$B$18=0,0,ROUND(MAX(ROUND('Customer Info'!$B$18*'GS SEC'!C20,1),ROUND('Customer Info'!$B$19*'GS SEC'!C20,1))/'Customer Info'!$D$29,1))</f>
        <v>0</v>
      </c>
      <c r="D18" s="285">
        <f>$C$18</f>
        <v>0</v>
      </c>
      <c r="E18" s="31" t="s">
        <v>289</v>
      </c>
      <c r="F18" s="33"/>
      <c r="G18" s="31"/>
      <c r="H18" s="31"/>
      <c r="I18" s="31"/>
      <c r="J18" s="31"/>
      <c r="K18" s="31"/>
      <c r="L18" s="31"/>
      <c r="M18" s="31"/>
      <c r="N18" s="31"/>
      <c r="O18" s="31"/>
    </row>
    <row r="19" spans="1:30" x14ac:dyDescent="0.25">
      <c r="A19" s="31" t="s">
        <v>287</v>
      </c>
      <c r="B19" s="31"/>
      <c r="C19" s="32"/>
      <c r="D19" s="285">
        <f>MAX(100,ROUND(1.15*(MAX('Customer Info'!$B$18*'GS SEC'!C20,'Customer Info'!$B$19*'GS SEC'!C20)),1))</f>
        <v>100</v>
      </c>
      <c r="E19" s="31" t="s">
        <v>289</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8" t="s">
        <v>15</v>
      </c>
      <c r="E21" s="508"/>
      <c r="F21" s="508"/>
      <c r="G21" s="508"/>
      <c r="H21" s="508"/>
      <c r="K21" s="31"/>
      <c r="L21" s="31"/>
      <c r="M21" s="31"/>
      <c r="N21" s="31"/>
      <c r="O21" s="50"/>
    </row>
    <row r="22" spans="1:30" ht="13" x14ac:dyDescent="0.3">
      <c r="A22" s="31" t="s">
        <v>15</v>
      </c>
      <c r="B22" s="31"/>
      <c r="C22" s="82" t="s">
        <v>15</v>
      </c>
      <c r="D22" s="508" t="s">
        <v>15</v>
      </c>
      <c r="E22" s="508"/>
      <c r="F22" s="508"/>
      <c r="G22" s="508"/>
      <c r="H22" s="508"/>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0" t="s">
        <v>68</v>
      </c>
      <c r="H24" s="491"/>
      <c r="I24" s="491"/>
      <c r="J24" s="492"/>
      <c r="K24" s="22"/>
      <c r="L24" s="493" t="s">
        <v>69</v>
      </c>
      <c r="M24" s="493"/>
      <c r="N24" s="493"/>
      <c r="O24" s="493"/>
    </row>
    <row r="25" spans="1:30" ht="13" x14ac:dyDescent="0.3">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261</v>
      </c>
      <c r="D29" s="49">
        <f>IF(D18&lt;=100,0,ROUND(IF(D18-D19&gt;0,D18-D19),1))</f>
        <v>0</v>
      </c>
      <c r="E29" s="29" t="s">
        <v>259</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238</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187</v>
      </c>
      <c r="B40" s="78"/>
      <c r="C40" s="78"/>
      <c r="D40" s="100">
        <f>'Customer Info'!$B$21+'Customer Info'!$B$22-'Customer Info'!$B$23</f>
        <v>0</v>
      </c>
      <c r="E40" s="101" t="s">
        <v>41</v>
      </c>
      <c r="F40" s="102" t="s">
        <v>8</v>
      </c>
      <c r="G40" s="103">
        <f>'Rider Rates'!B23</f>
        <v>7.0209999999999995E-2</v>
      </c>
      <c r="H40" s="103"/>
      <c r="I40" s="103"/>
      <c r="J40" s="237">
        <f>SUM(G40:H40)</f>
        <v>7.0209999999999995E-2</v>
      </c>
      <c r="K40" s="104" t="s">
        <v>42</v>
      </c>
      <c r="L40" s="105">
        <f>ROUND(D40*G40,2)</f>
        <v>0</v>
      </c>
      <c r="M40" s="105"/>
      <c r="N40" s="105"/>
      <c r="O40" s="105">
        <f t="shared" si="0"/>
        <v>0</v>
      </c>
      <c r="P40" s="245">
        <f>'Rider Rates'!$D$23</f>
        <v>45444</v>
      </c>
    </row>
    <row r="41" spans="1:220" x14ac:dyDescent="0.25">
      <c r="A41" s="241" t="s">
        <v>162</v>
      </c>
      <c r="B41" s="78"/>
      <c r="C41" s="78"/>
      <c r="D41" s="100">
        <f>'Customer Info'!$B$21+'Customer Info'!$B$22-'Customer Info'!$B$23</f>
        <v>0</v>
      </c>
      <c r="E41" s="101" t="s">
        <v>41</v>
      </c>
      <c r="F41" s="102" t="s">
        <v>8</v>
      </c>
      <c r="G41" s="103">
        <f>'Rider Rates'!B34</f>
        <v>2.65E-3</v>
      </c>
      <c r="H41" s="103"/>
      <c r="I41" s="103"/>
      <c r="J41" s="237">
        <f>SUM(G41:H41)</f>
        <v>2.65E-3</v>
      </c>
      <c r="K41" s="104" t="s">
        <v>42</v>
      </c>
      <c r="L41" s="105">
        <f>ROUND(D41*G41,2)</f>
        <v>0</v>
      </c>
      <c r="M41" s="105"/>
      <c r="N41" s="105"/>
      <c r="O41" s="105">
        <f t="shared" si="0"/>
        <v>0</v>
      </c>
      <c r="P41" s="245">
        <f>'Rider Rates'!$D$34</f>
        <v>45444</v>
      </c>
    </row>
    <row r="42" spans="1:220" x14ac:dyDescent="0.25">
      <c r="A42" s="210" t="s">
        <v>194</v>
      </c>
      <c r="B42" s="78"/>
      <c r="C42" s="78"/>
      <c r="D42" s="100">
        <f>'Customer Info'!$B$21+'Customer Info'!$B$22-'Customer Info'!$B$23</f>
        <v>0</v>
      </c>
      <c r="E42" s="101" t="s">
        <v>41</v>
      </c>
      <c r="F42" s="102" t="s">
        <v>8</v>
      </c>
      <c r="G42" s="103">
        <f>'Rider Rates'!$B$45</f>
        <v>-3.1569999999999998E-4</v>
      </c>
      <c r="H42" s="103"/>
      <c r="I42" s="103"/>
      <c r="J42" s="237">
        <f>SUM(G42:H42)</f>
        <v>-3.1569999999999998E-4</v>
      </c>
      <c r="K42" s="104" t="s">
        <v>42</v>
      </c>
      <c r="L42" s="105">
        <f>ROUND(D42*G42,2)</f>
        <v>0</v>
      </c>
      <c r="M42" s="105"/>
      <c r="N42" s="105"/>
      <c r="O42" s="105">
        <f t="shared" si="0"/>
        <v>0</v>
      </c>
      <c r="P42" s="245">
        <f>'Rider Rates'!$D$45</f>
        <v>45383</v>
      </c>
    </row>
    <row r="43" spans="1:220" x14ac:dyDescent="0.25">
      <c r="A43" s="241" t="s">
        <v>211</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45474</v>
      </c>
    </row>
    <row r="44" spans="1:220" x14ac:dyDescent="0.25">
      <c r="A44" s="210" t="s">
        <v>190</v>
      </c>
      <c r="B44" s="78"/>
      <c r="C44" s="78"/>
      <c r="D44" s="1">
        <f>IF($C$16&lt;0,0,$C$16)</f>
        <v>0</v>
      </c>
      <c r="E44" s="113" t="s">
        <v>41</v>
      </c>
      <c r="F44" s="102" t="s">
        <v>8</v>
      </c>
      <c r="G44" s="103"/>
      <c r="H44" s="103">
        <f>'Rider Rates'!$B$57</f>
        <v>6.0079999999999997E-4</v>
      </c>
      <c r="I44" s="103"/>
      <c r="J44" s="103">
        <f>SUM(G44:I44)</f>
        <v>6.0079999999999997E-4</v>
      </c>
      <c r="K44" s="104" t="s">
        <v>42</v>
      </c>
      <c r="L44" s="105"/>
      <c r="M44" s="105">
        <f>ROUND(D44*H44,2)</f>
        <v>0</v>
      </c>
      <c r="N44" s="205"/>
      <c r="O44" s="105">
        <f t="shared" si="0"/>
        <v>0</v>
      </c>
      <c r="P44" s="245">
        <f>'Rider Rates'!$D$57</f>
        <v>45383</v>
      </c>
    </row>
    <row r="45" spans="1:220" x14ac:dyDescent="0.25">
      <c r="A45" s="210" t="s">
        <v>190</v>
      </c>
      <c r="B45" s="78"/>
      <c r="C45" s="78"/>
      <c r="D45" s="49">
        <f>C14</f>
        <v>0</v>
      </c>
      <c r="E45" s="35" t="s">
        <v>64</v>
      </c>
      <c r="F45" s="4" t="s">
        <v>8</v>
      </c>
      <c r="G45" s="103"/>
      <c r="H45" s="239">
        <f>'Rider Rates'!$B$62</f>
        <v>6.73</v>
      </c>
      <c r="I45" s="103"/>
      <c r="J45" s="239">
        <f>SUM(G45:I45)</f>
        <v>6.73</v>
      </c>
      <c r="K45" s="104" t="s">
        <v>44</v>
      </c>
      <c r="L45" s="105"/>
      <c r="M45" s="105">
        <f>ROUND(D45*H45,2)</f>
        <v>0</v>
      </c>
      <c r="N45" s="205"/>
      <c r="O45" s="105">
        <f t="shared" si="0"/>
        <v>0</v>
      </c>
      <c r="P45" s="245">
        <f>'Rider Rates'!$D$62</f>
        <v>45383</v>
      </c>
    </row>
    <row r="46" spans="1:220" x14ac:dyDescent="0.25">
      <c r="A46" s="99" t="s">
        <v>83</v>
      </c>
      <c r="B46" s="78"/>
      <c r="C46" s="78"/>
      <c r="D46" s="1">
        <f>IF('Customer Info'!C34=TRUE,0,IF($C$16&lt;0,0,$C$16))</f>
        <v>0</v>
      </c>
      <c r="E46" s="101" t="s">
        <v>41</v>
      </c>
      <c r="F46" s="102" t="s">
        <v>8</v>
      </c>
      <c r="G46" s="103"/>
      <c r="H46" s="103"/>
      <c r="I46" s="103">
        <f>'Rider Rates'!$B$69+'Rider Rates'!$C$69</f>
        <v>0</v>
      </c>
      <c r="J46" s="103">
        <f>SUM(G46:I46)</f>
        <v>0</v>
      </c>
      <c r="K46" s="104" t="s">
        <v>42</v>
      </c>
      <c r="L46" s="105"/>
      <c r="M46" s="105"/>
      <c r="N46" s="87">
        <f>ROUND($D$46*'Rider Rates'!$B$69,2)+ROUND($D$46*'Rider Rates'!$C$69,2)</f>
        <v>0</v>
      </c>
      <c r="O46" s="209">
        <f t="shared" ref="O46:O53" si="1">SUM(L46:N46)</f>
        <v>0</v>
      </c>
      <c r="P46" s="245">
        <f>'Rider Rates'!$D$69</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Rates'!$B$79</f>
        <v>0</v>
      </c>
      <c r="J47" s="239">
        <f>SUM(G47:I47)</f>
        <v>0</v>
      </c>
      <c r="K47" s="104" t="s">
        <v>42</v>
      </c>
      <c r="L47" s="105"/>
      <c r="M47" s="105"/>
      <c r="N47" s="87">
        <f>ROUND($D47*I47,2)</f>
        <v>0</v>
      </c>
      <c r="O47" s="209">
        <f>SUM(L47:N47)</f>
        <v>0</v>
      </c>
      <c r="P47" s="245">
        <f>'Rider Rates'!$D$79</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9.4</v>
      </c>
      <c r="E48" s="101" t="s">
        <v>122</v>
      </c>
      <c r="F48" s="102" t="s">
        <v>8</v>
      </c>
      <c r="G48" s="111"/>
      <c r="H48" s="112"/>
      <c r="I48" s="120">
        <f>'Rider Rates'!$B$83</f>
        <v>2.9347000000000002E-2</v>
      </c>
      <c r="J48" s="120">
        <f>SUM(H48:I48)</f>
        <v>2.9347000000000002E-2</v>
      </c>
      <c r="K48" s="104"/>
      <c r="L48" s="105"/>
      <c r="M48" s="105"/>
      <c r="N48" s="105">
        <f>ROUND(N$30*I48,2)</f>
        <v>0.28000000000000003</v>
      </c>
      <c r="O48" s="209">
        <f t="shared" si="1"/>
        <v>0.28000000000000003</v>
      </c>
      <c r="P48" s="245">
        <f>'Rider Rates'!$D$83</f>
        <v>45383</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9.4</v>
      </c>
      <c r="E49" s="101" t="s">
        <v>122</v>
      </c>
      <c r="F49" s="102" t="s">
        <v>8</v>
      </c>
      <c r="G49" s="114"/>
      <c r="H49" s="115"/>
      <c r="I49" s="120">
        <f>'Rider Rates'!$B$85</f>
        <v>6.6985699999999995E-2</v>
      </c>
      <c r="J49" s="120">
        <f>SUM(H49:I49)</f>
        <v>6.6985699999999995E-2</v>
      </c>
      <c r="K49" s="104"/>
      <c r="L49" s="105"/>
      <c r="M49" s="105"/>
      <c r="N49" s="105">
        <f>ROUND(N$30*I49,2)</f>
        <v>0.63</v>
      </c>
      <c r="O49" s="209">
        <f t="shared" si="1"/>
        <v>0.63</v>
      </c>
      <c r="P49" s="245">
        <f>'Rider Rates'!$D$85</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207</v>
      </c>
      <c r="B50" s="78"/>
      <c r="C50" s="78"/>
      <c r="D50" s="195"/>
      <c r="E50" s="113" t="s">
        <v>115</v>
      </c>
      <c r="F50" s="106"/>
      <c r="G50" s="114"/>
      <c r="H50" s="115"/>
      <c r="I50" s="196">
        <f>'Rider Rates'!$B$89</f>
        <v>11.97</v>
      </c>
      <c r="J50" s="196">
        <f>SUM(G50:I50)</f>
        <v>11.97</v>
      </c>
      <c r="K50" s="104"/>
      <c r="L50" s="105"/>
      <c r="M50" s="105"/>
      <c r="N50" s="105">
        <f>I50</f>
        <v>11.97</v>
      </c>
      <c r="O50" s="105">
        <f>SUM(L50:N50)</f>
        <v>11.97</v>
      </c>
      <c r="P50" s="245">
        <f>'Rider Rates'!$D$89</f>
        <v>45442</v>
      </c>
    </row>
    <row r="51" spans="1:221" x14ac:dyDescent="0.25">
      <c r="A51" s="241" t="s">
        <v>252</v>
      </c>
      <c r="B51" s="78"/>
      <c r="C51" s="78"/>
      <c r="D51" s="1">
        <f>$D$34</f>
        <v>0</v>
      </c>
      <c r="E51" s="101" t="s">
        <v>41</v>
      </c>
      <c r="F51" s="102" t="s">
        <v>8</v>
      </c>
      <c r="G51" s="103"/>
      <c r="H51" s="103"/>
      <c r="I51" s="103"/>
      <c r="J51" s="103">
        <f>'Rider Rates'!$B$94</f>
        <v>0</v>
      </c>
      <c r="K51" s="104" t="s">
        <v>42</v>
      </c>
      <c r="L51" s="105"/>
      <c r="M51" s="105"/>
      <c r="N51" s="87"/>
      <c r="O51" s="105">
        <f>ROUND($D51*('Rider Rates'!B$94),2)</f>
        <v>0</v>
      </c>
      <c r="P51" s="245">
        <f>'Rider Rates'!$D$94</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253</v>
      </c>
      <c r="B52" s="78"/>
      <c r="C52" s="78"/>
      <c r="D52" s="1">
        <f>$D$35</f>
        <v>0</v>
      </c>
      <c r="E52" s="101" t="s">
        <v>41</v>
      </c>
      <c r="F52" s="102" t="s">
        <v>8</v>
      </c>
      <c r="G52" s="103"/>
      <c r="H52" s="103"/>
      <c r="I52" s="103"/>
      <c r="J52" s="103">
        <f>'Rider Rates'!$B$95</f>
        <v>0</v>
      </c>
      <c r="K52" s="104" t="s">
        <v>42</v>
      </c>
      <c r="L52" s="105"/>
      <c r="M52" s="105"/>
      <c r="N52" s="87"/>
      <c r="O52" s="105">
        <f>ROUND($D52*('Rider Rates'!B$95),2)</f>
        <v>0</v>
      </c>
      <c r="P52" s="245">
        <f>'Rider Rates'!$D$95</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157</v>
      </c>
      <c r="B53" s="78"/>
      <c r="C53" s="78"/>
      <c r="D53" s="208">
        <f>$N$30</f>
        <v>9.4</v>
      </c>
      <c r="E53" s="101" t="s">
        <v>122</v>
      </c>
      <c r="F53" s="102" t="s">
        <v>8</v>
      </c>
      <c r="G53" s="114"/>
      <c r="H53" s="115"/>
      <c r="I53" s="120">
        <f>'Rider Rates'!$B$103</f>
        <v>0.21398439999999999</v>
      </c>
      <c r="J53" s="120">
        <f>SUM(H53:I53)</f>
        <v>0.21398439999999999</v>
      </c>
      <c r="K53" s="104"/>
      <c r="L53" s="105"/>
      <c r="M53" s="105"/>
      <c r="N53" s="105">
        <f>ROUND(N$30*I53,2)</f>
        <v>2.0099999999999998</v>
      </c>
      <c r="O53" s="105">
        <f t="shared" si="1"/>
        <v>2.0099999999999998</v>
      </c>
      <c r="P53" s="245">
        <f>'Rider Rates'!$D$103</f>
        <v>45351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210</v>
      </c>
      <c r="B54" s="78"/>
      <c r="C54" s="78"/>
      <c r="D54" s="195"/>
      <c r="E54" s="113" t="s">
        <v>115</v>
      </c>
      <c r="F54" s="106"/>
      <c r="G54" s="114"/>
      <c r="H54" s="115"/>
      <c r="I54" s="196">
        <f>'Rider Rates'!$B$107</f>
        <v>0</v>
      </c>
      <c r="J54" s="196">
        <f>SUM(G54:I54)</f>
        <v>0</v>
      </c>
      <c r="K54" s="104"/>
      <c r="L54" s="105"/>
      <c r="M54" s="105"/>
      <c r="N54" s="105">
        <f>I54</f>
        <v>0</v>
      </c>
      <c r="O54" s="105">
        <f t="shared" ref="O54:O59" si="2">SUM(L54:N54)</f>
        <v>0</v>
      </c>
      <c r="P54" s="245">
        <f>'Rider Rates'!$D$107</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210" t="s">
        <v>218</v>
      </c>
      <c r="B55" s="78"/>
      <c r="C55" s="78"/>
      <c r="D55" s="195"/>
      <c r="E55" s="113" t="s">
        <v>115</v>
      </c>
      <c r="F55" s="106"/>
      <c r="G55" s="114"/>
      <c r="H55" s="115"/>
      <c r="I55" s="258">
        <f>'Rider Rates'!B120</f>
        <v>5.83</v>
      </c>
      <c r="J55" s="196">
        <f>SUM(G55:I55)</f>
        <v>5.83</v>
      </c>
      <c r="K55" s="104"/>
      <c r="L55" s="105"/>
      <c r="M55" s="105"/>
      <c r="N55" s="260">
        <f>I55</f>
        <v>5.83</v>
      </c>
      <c r="O55" s="105">
        <f t="shared" si="2"/>
        <v>5.83</v>
      </c>
      <c r="P55" s="245">
        <f>'Rider Rates'!D120</f>
        <v>45226</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99" t="s">
        <v>158</v>
      </c>
      <c r="B56" s="78"/>
      <c r="C56" s="78"/>
      <c r="D56" s="100">
        <f>IF('Customer Info'!$C$32=TRUE,0,'Customer Info'!$B$21+'Customer Info'!$B$22-'Customer Info'!$B$23)</f>
        <v>0</v>
      </c>
      <c r="E56" s="101" t="s">
        <v>41</v>
      </c>
      <c r="F56" s="102" t="s">
        <v>8</v>
      </c>
      <c r="G56" s="103">
        <f>'Rider Rates'!$B$110</f>
        <v>3.8972999999999998E-3</v>
      </c>
      <c r="H56" s="103"/>
      <c r="I56" s="120"/>
      <c r="J56" s="237">
        <f>SUM(G56:H56)</f>
        <v>3.8972999999999998E-3</v>
      </c>
      <c r="K56" s="104" t="s">
        <v>42</v>
      </c>
      <c r="L56" s="105">
        <f>ROUND(D56*G56,2)</f>
        <v>0</v>
      </c>
      <c r="M56" s="105"/>
      <c r="N56" s="105"/>
      <c r="O56" s="105">
        <f t="shared" si="2"/>
        <v>0</v>
      </c>
      <c r="P56" s="245">
        <f>'Rider Rates'!$D$110</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10" t="s">
        <v>209</v>
      </c>
      <c r="B57" s="78"/>
      <c r="C57" s="78"/>
      <c r="D57" s="1">
        <f>IF($C$16&lt;1,0,$C$16)</f>
        <v>0</v>
      </c>
      <c r="E57" s="101" t="s">
        <v>41</v>
      </c>
      <c r="F57" s="249" t="s">
        <v>8</v>
      </c>
      <c r="G57" s="165"/>
      <c r="H57" s="165"/>
      <c r="I57" s="251">
        <f>'Rider Rates'!B116</f>
        <v>-6.2E-4</v>
      </c>
      <c r="J57" s="251">
        <f>SUM(G57:I57)</f>
        <v>-6.2E-4</v>
      </c>
      <c r="K57" s="104" t="s">
        <v>42</v>
      </c>
      <c r="L57" s="105"/>
      <c r="M57" s="105"/>
      <c r="N57" s="105">
        <f>D57*I57</f>
        <v>0</v>
      </c>
      <c r="O57" s="105">
        <f t="shared" si="2"/>
        <v>0</v>
      </c>
      <c r="P57" s="245">
        <f>'Rider Rates'!D116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00">
        <f>IF(C16&lt;0,0,IF(C16&gt;833000,833000,C16))</f>
        <v>0</v>
      </c>
      <c r="E58" s="101" t="s">
        <v>41</v>
      </c>
      <c r="F58" s="102" t="s">
        <v>8</v>
      </c>
      <c r="G58" s="265"/>
      <c r="H58" s="265"/>
      <c r="I58" s="265">
        <f>'Rider Rates'!$B$124</f>
        <v>2.9050000000000001E-4</v>
      </c>
      <c r="J58" s="265">
        <f>SUM(G58:I58)</f>
        <v>2.9050000000000001E-4</v>
      </c>
      <c r="K58" s="104" t="s">
        <v>42</v>
      </c>
      <c r="L58" s="266"/>
      <c r="M58" s="266"/>
      <c r="N58" s="266">
        <f>IF(D58*J58&gt;'Rider Rates'!$C$124,'Rider Rates'!$C$124,D58*J58)</f>
        <v>0</v>
      </c>
      <c r="O58" s="266">
        <f t="shared" si="2"/>
        <v>0</v>
      </c>
      <c r="P58" s="264">
        <f>'Rider Rates'!$E$124</f>
        <v>45292</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t="s">
        <v>235</v>
      </c>
      <c r="B59" s="78"/>
      <c r="C59" s="78"/>
      <c r="D59" s="123">
        <f>IF(C16&gt;833000,C16-833000,0)</f>
        <v>0</v>
      </c>
      <c r="E59" s="101" t="s">
        <v>41</v>
      </c>
      <c r="F59" s="102" t="s">
        <v>8</v>
      </c>
      <c r="G59" s="265"/>
      <c r="H59" s="265"/>
      <c r="I59" s="265">
        <f>'Rider Rates'!$B$125</f>
        <v>0</v>
      </c>
      <c r="J59" s="265">
        <f>SUM(G59:I59)</f>
        <v>0</v>
      </c>
      <c r="K59" s="104" t="s">
        <v>42</v>
      </c>
      <c r="L59" s="266"/>
      <c r="M59" s="266"/>
      <c r="N59" s="266">
        <f>D59*J59</f>
        <v>0</v>
      </c>
      <c r="O59" s="266">
        <f t="shared" si="2"/>
        <v>0</v>
      </c>
      <c r="P59" s="264">
        <f>'Rider Rates'!$E$125</f>
        <v>44927</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243</v>
      </c>
      <c r="B60" s="78"/>
      <c r="C60" s="78"/>
      <c r="D60" s="100">
        <f>D16</f>
        <v>0</v>
      </c>
      <c r="E60" s="101" t="s">
        <v>41</v>
      </c>
      <c r="F60" s="249" t="s">
        <v>8</v>
      </c>
      <c r="G60" s="103"/>
      <c r="H60" s="103"/>
      <c r="I60" s="103">
        <f>'Rider Rates'!$B$129</f>
        <v>0</v>
      </c>
      <c r="J60" s="237">
        <f>SUM(G60:I60)</f>
        <v>0</v>
      </c>
      <c r="K60" s="104" t="s">
        <v>42</v>
      </c>
      <c r="L60" s="105"/>
      <c r="M60" s="105"/>
      <c r="N60" s="105">
        <f>D60*J60</f>
        <v>0</v>
      </c>
      <c r="O60" s="105">
        <f>SUM(L60:N60)</f>
        <v>0</v>
      </c>
      <c r="P60" s="245">
        <f>'Rider Rates'!$D$129</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242</v>
      </c>
      <c r="B61" s="78"/>
      <c r="C61" s="78"/>
      <c r="D61" s="100"/>
      <c r="E61" s="101" t="s">
        <v>115</v>
      </c>
      <c r="F61" s="102" t="s">
        <v>8</v>
      </c>
      <c r="G61" s="263"/>
      <c r="H61" s="263"/>
      <c r="I61" s="263">
        <f>'Rider Rates'!$B$136</f>
        <v>0</v>
      </c>
      <c r="J61" s="263">
        <f>SUM(G61:I61)</f>
        <v>0</v>
      </c>
      <c r="K61" s="104"/>
      <c r="L61" s="209"/>
      <c r="M61" s="209"/>
      <c r="N61" s="209">
        <f>J61</f>
        <v>0</v>
      </c>
      <c r="O61" s="209">
        <f>SUM(L61:N61)</f>
        <v>0</v>
      </c>
      <c r="P61" s="264">
        <f>'Rider Rates'!$D$136</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241" t="s">
        <v>244</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179" t="s">
        <v>71</v>
      </c>
      <c r="B63" s="148"/>
      <c r="C63" s="148"/>
      <c r="D63" s="180"/>
      <c r="E63" s="181"/>
      <c r="F63" s="182"/>
      <c r="G63" s="182"/>
      <c r="H63" s="182"/>
      <c r="I63" s="182"/>
      <c r="J63" s="182"/>
      <c r="K63" s="183"/>
      <c r="L63" s="169">
        <f>SUM(L34:L62)</f>
        <v>0</v>
      </c>
      <c r="M63" s="169">
        <f t="shared" ref="M63:O63" si="3">SUM(M34:M62)</f>
        <v>0</v>
      </c>
      <c r="N63" s="169">
        <f t="shared" si="3"/>
        <v>20.72</v>
      </c>
      <c r="O63" s="169">
        <f t="shared" si="3"/>
        <v>20.72</v>
      </c>
      <c r="P63" s="184"/>
    </row>
    <row r="64" spans="1:221" ht="13" x14ac:dyDescent="0.3">
      <c r="A64" s="37"/>
      <c r="D64" s="1"/>
      <c r="E64" s="35"/>
      <c r="F64" s="4"/>
      <c r="G64" s="42"/>
      <c r="H64" s="42"/>
      <c r="I64" s="42"/>
      <c r="J64" s="42"/>
      <c r="K64" s="36"/>
      <c r="L64" s="36"/>
      <c r="M64" s="36"/>
      <c r="N64" s="36"/>
      <c r="O64" s="34"/>
      <c r="P64" s="36"/>
    </row>
    <row r="65" spans="1:16" ht="13" x14ac:dyDescent="0.3">
      <c r="A65" s="81" t="s">
        <v>72</v>
      </c>
      <c r="B65" s="92"/>
      <c r="C65" s="92"/>
      <c r="D65" s="92"/>
      <c r="E65" s="92"/>
      <c r="F65" s="92"/>
      <c r="G65" s="92"/>
      <c r="H65" s="92"/>
      <c r="I65" s="92"/>
      <c r="J65" s="92"/>
      <c r="K65" s="92"/>
      <c r="L65" s="98">
        <f>L30+L63</f>
        <v>0</v>
      </c>
      <c r="M65" s="98">
        <f>M30+M63</f>
        <v>0</v>
      </c>
      <c r="N65" s="98">
        <f>N30+N63</f>
        <v>30.119999999999997</v>
      </c>
      <c r="O65" s="98">
        <f>O30+O63</f>
        <v>30.119999999999997</v>
      </c>
      <c r="P65" s="98"/>
    </row>
    <row r="66" spans="1:16" ht="13" x14ac:dyDescent="0.3">
      <c r="A66" s="37"/>
      <c r="B66" s="37"/>
      <c r="C66" s="37"/>
      <c r="D66" s="37"/>
      <c r="E66" s="37"/>
      <c r="F66" s="37"/>
      <c r="G66" s="37"/>
      <c r="H66" s="37"/>
      <c r="I66" s="37"/>
      <c r="J66" s="37"/>
      <c r="K66" s="37"/>
      <c r="L66" s="37"/>
      <c r="M66" s="37"/>
      <c r="N66" s="37"/>
      <c r="O66" s="40"/>
      <c r="P66" s="40"/>
    </row>
    <row r="67" spans="1:16" ht="13" x14ac:dyDescent="0.3">
      <c r="A67" s="37" t="s">
        <v>37</v>
      </c>
      <c r="B67" s="37"/>
      <c r="C67" s="37"/>
      <c r="D67" s="37"/>
      <c r="E67" s="37"/>
      <c r="F67" s="37"/>
      <c r="G67" s="37"/>
      <c r="H67" s="37"/>
      <c r="I67" s="37"/>
      <c r="J67" s="37"/>
      <c r="K67" s="37"/>
      <c r="L67" s="37"/>
      <c r="M67" s="37"/>
      <c r="N67" s="37"/>
      <c r="O67" s="45">
        <f>O26+O28+O63</f>
        <v>30.119999999999997</v>
      </c>
      <c r="P67" s="245">
        <v>40967</v>
      </c>
    </row>
    <row r="68" spans="1:16" ht="13" x14ac:dyDescent="0.3">
      <c r="A68" s="37"/>
      <c r="B68" s="37"/>
      <c r="C68" s="37"/>
      <c r="D68" s="37"/>
      <c r="E68" s="37"/>
      <c r="F68" s="37"/>
      <c r="G68" s="46"/>
      <c r="H68" s="46"/>
      <c r="I68" s="46"/>
      <c r="J68" s="46"/>
      <c r="K68" s="36"/>
      <c r="L68" s="36"/>
      <c r="M68" s="36"/>
      <c r="N68" s="36"/>
      <c r="O68" s="40"/>
    </row>
    <row r="69" spans="1:16" ht="13" x14ac:dyDescent="0.3">
      <c r="A69" s="41" t="s">
        <v>117</v>
      </c>
      <c r="B69" s="37"/>
      <c r="C69" s="37"/>
      <c r="D69" s="37"/>
      <c r="E69" s="37"/>
      <c r="F69" s="37"/>
      <c r="G69" s="46"/>
      <c r="H69" s="46"/>
      <c r="I69" s="46"/>
      <c r="J69" s="46"/>
      <c r="K69" s="36"/>
      <c r="L69" s="36"/>
      <c r="M69" s="36"/>
      <c r="N69" s="36"/>
      <c r="O69" s="138">
        <f>MAX($O$65,$O$67)</f>
        <v>30.119999999999997</v>
      </c>
    </row>
    <row r="70" spans="1:16" ht="13" x14ac:dyDescent="0.3">
      <c r="A70" s="37"/>
      <c r="B70" s="37"/>
      <c r="C70" s="37"/>
      <c r="D70" s="37"/>
      <c r="E70" s="37"/>
      <c r="F70" s="37"/>
      <c r="G70" s="46"/>
      <c r="H70" s="46"/>
      <c r="I70" s="46"/>
      <c r="J70" s="46"/>
      <c r="K70" s="36"/>
      <c r="L70" s="36"/>
      <c r="M70" s="36"/>
      <c r="N70" s="36"/>
      <c r="O70" s="40"/>
    </row>
    <row r="71" spans="1:16" ht="13" x14ac:dyDescent="0.3">
      <c r="A71" s="37"/>
      <c r="B71" s="37"/>
      <c r="C71" s="37"/>
      <c r="D71" s="37"/>
      <c r="E71" s="37"/>
      <c r="F71" s="37"/>
      <c r="G71" s="96" t="s">
        <v>86</v>
      </c>
      <c r="H71" s="46"/>
      <c r="I71" s="37"/>
      <c r="J71" s="46"/>
      <c r="K71" s="36"/>
      <c r="L71" s="191"/>
      <c r="M71" s="191"/>
      <c r="N71" s="191"/>
      <c r="O71" s="191">
        <f>ROUND(IF($C$16&lt;1,0,$O$69/($C$16*100)*10000),2)</f>
        <v>0</v>
      </c>
      <c r="P71" s="37" t="s">
        <v>87</v>
      </c>
    </row>
    <row r="72" spans="1:16" ht="13" x14ac:dyDescent="0.3">
      <c r="A72" s="37"/>
      <c r="B72" s="37"/>
      <c r="C72" s="37"/>
      <c r="D72" s="37"/>
      <c r="E72" s="37"/>
      <c r="F72" s="37"/>
      <c r="G72" s="242" t="s">
        <v>191</v>
      </c>
      <c r="H72" s="136"/>
      <c r="I72" s="133"/>
      <c r="J72" s="136"/>
      <c r="K72" s="137"/>
      <c r="L72" s="78"/>
      <c r="M72" s="78"/>
      <c r="N72" s="78"/>
      <c r="O72" s="243">
        <f>ROUND(IF($C$16&lt;1,0,(L65)/($C$16*100)*10000),2)</f>
        <v>0</v>
      </c>
      <c r="P72" s="25" t="s">
        <v>87</v>
      </c>
    </row>
    <row r="73" spans="1:16" ht="13" x14ac:dyDescent="0.3">
      <c r="A73" s="37"/>
      <c r="B73" s="37"/>
      <c r="C73" s="37"/>
      <c r="D73" s="37"/>
      <c r="E73" s="37"/>
      <c r="F73" s="37"/>
      <c r="G73" s="96"/>
      <c r="H73" s="46"/>
      <c r="I73" s="96"/>
      <c r="J73" s="46"/>
      <c r="K73" s="36"/>
      <c r="L73" s="36"/>
      <c r="M73" s="36"/>
      <c r="N73" s="36"/>
      <c r="O73" s="130"/>
      <c r="P73" s="37"/>
    </row>
    <row r="74" spans="1:16" ht="20.25" customHeight="1" x14ac:dyDescent="0.4">
      <c r="A74" s="3"/>
      <c r="B74" s="37"/>
      <c r="C74" s="37"/>
      <c r="D74" s="228" t="str">
        <f>IF('Customer Info'!$C$32=TRUE,"Notice: Billing Charge does not include Self Assessed KWH Tax"," ")</f>
        <v xml:space="preserve"> </v>
      </c>
      <c r="E74" s="3"/>
      <c r="F74" s="4"/>
      <c r="G74" s="121"/>
      <c r="H74" s="55"/>
      <c r="I74" s="34"/>
      <c r="J74" s="55"/>
      <c r="K74" s="37"/>
      <c r="L74" s="37"/>
      <c r="M74" s="37"/>
      <c r="N74" s="34"/>
    </row>
    <row r="75" spans="1:16" ht="13" x14ac:dyDescent="0.3">
      <c r="A75" s="37"/>
      <c r="B75" s="37"/>
      <c r="C75" s="37"/>
      <c r="D75" s="54"/>
      <c r="E75" s="3"/>
      <c r="F75" s="4"/>
      <c r="G75" s="55"/>
      <c r="H75" s="55"/>
      <c r="I75" s="93"/>
      <c r="J75" s="55"/>
      <c r="K75" s="37"/>
      <c r="L75" s="37"/>
      <c r="M75" s="37"/>
      <c r="N75" s="37"/>
      <c r="O75" s="40"/>
    </row>
    <row r="76" spans="1:16" ht="13" x14ac:dyDescent="0.3">
      <c r="A76" s="37"/>
      <c r="B76" s="37"/>
      <c r="C76" s="37"/>
      <c r="D76" s="54"/>
      <c r="E76" s="3"/>
      <c r="F76" s="4"/>
      <c r="G76" s="55"/>
      <c r="H76" s="55"/>
      <c r="I76" s="55"/>
      <c r="J76" s="55"/>
      <c r="K76" s="37"/>
      <c r="L76" s="37"/>
      <c r="M76" s="37"/>
      <c r="N76" s="37"/>
      <c r="O76" s="40"/>
    </row>
    <row r="77" spans="1:16" ht="13" x14ac:dyDescent="0.3">
      <c r="A77" s="41"/>
      <c r="B77" s="37"/>
      <c r="C77" s="37"/>
      <c r="D77" s="37"/>
      <c r="E77" s="37"/>
      <c r="F77" s="37"/>
      <c r="G77" s="37"/>
      <c r="H77" s="37"/>
      <c r="J77" s="37"/>
      <c r="K77" s="37"/>
      <c r="L77" s="40"/>
      <c r="M77" s="40"/>
      <c r="N77" s="40"/>
      <c r="O77" s="138"/>
    </row>
    <row r="78" spans="1:16" ht="13" x14ac:dyDescent="0.3">
      <c r="B78" s="37"/>
      <c r="C78" s="37"/>
      <c r="D78" s="37"/>
      <c r="E78" s="37"/>
      <c r="F78" s="37"/>
      <c r="G78" s="96"/>
      <c r="H78" s="37"/>
      <c r="I78" s="37"/>
      <c r="J78" s="37"/>
      <c r="K78" s="37"/>
      <c r="L78" s="60"/>
      <c r="M78" s="60"/>
      <c r="N78" s="60"/>
      <c r="O78" s="130"/>
      <c r="P78" s="37"/>
    </row>
    <row r="79" spans="1:16" ht="13" x14ac:dyDescent="0.3">
      <c r="G79" s="133"/>
      <c r="H79" s="56"/>
      <c r="I79" s="133"/>
      <c r="J79" s="56"/>
      <c r="K79" s="56"/>
      <c r="L79" s="134"/>
      <c r="M79" s="134"/>
      <c r="N79" s="134"/>
      <c r="O79" s="135"/>
      <c r="P79" s="25"/>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row r="94" spans="1:1" x14ac:dyDescent="0.25">
      <c r="A94" s="478"/>
    </row>
    <row r="95" spans="1:1" x14ac:dyDescent="0.25">
      <c r="A95" s="478"/>
    </row>
  </sheetData>
  <sheetProtection algorithmName="SHA-512" hashValue="Y2AAm/7GIqj6V+RcvTRgTtGiCKIj2zHmDBS1FEgRPlLkV6fX+DqGvknp3qooObefnaC9zqp7Mi7sasjlPYdPyw==" saltValue="hkMsyriaWjewo11mLiF4BQ=="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1:A95"/>
    <mergeCell ref="D22:H22"/>
    <mergeCell ref="G24:J24"/>
    <mergeCell ref="A2:P2"/>
    <mergeCell ref="A1:P1"/>
    <mergeCell ref="A3:P3"/>
    <mergeCell ref="A4:P4"/>
    <mergeCell ref="L24:O24"/>
    <mergeCell ref="A11:I11"/>
    <mergeCell ref="D21:H21"/>
  </mergeCells>
  <phoneticPr fontId="0" type="noConversion"/>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412750</xdr:colOff>
                    <xdr:row>89</xdr:row>
                    <xdr:rowOff>76200</xdr:rowOff>
                  </from>
                  <to>
                    <xdr:col>16</xdr:col>
                    <xdr:colOff>38100</xdr:colOff>
                    <xdr:row>90</xdr:row>
                    <xdr:rowOff>133350</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5"/>
  <sheetViews>
    <sheetView showGridLines="0" topLeftCell="A9" zoomScale="80" zoomScaleNormal="80" workbookViewId="0">
      <selection activeCell="D45" sqref="D45"/>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263</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76">
        <f ca="1">TODAY()</f>
        <v>45476</v>
      </c>
      <c r="B6" s="210" t="s">
        <v>262</v>
      </c>
      <c r="C6" s="274"/>
      <c r="D6" s="274"/>
      <c r="E6" s="274"/>
      <c r="F6" s="274"/>
      <c r="G6" s="274"/>
      <c r="H6" s="274"/>
      <c r="I6" s="274"/>
      <c r="J6" s="274"/>
      <c r="K6" s="274"/>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285</v>
      </c>
      <c r="B17" s="31"/>
      <c r="C17" s="32">
        <f>'Customer Info'!$B$27</f>
        <v>0</v>
      </c>
      <c r="D17" s="32">
        <f>$C$17*$C$20</f>
        <v>0</v>
      </c>
      <c r="E17" s="31" t="s">
        <v>288</v>
      </c>
      <c r="F17" s="33"/>
      <c r="G17" s="31"/>
      <c r="H17" s="31"/>
      <c r="I17" s="31"/>
      <c r="J17" s="31"/>
      <c r="K17" s="31"/>
      <c r="L17" s="31"/>
      <c r="M17" s="31"/>
      <c r="N17" s="31"/>
      <c r="O17" s="31"/>
    </row>
    <row r="18" spans="1:30" x14ac:dyDescent="0.25">
      <c r="A18" s="31" t="s">
        <v>286</v>
      </c>
      <c r="B18" s="31"/>
      <c r="C18" s="285">
        <f>IF('Customer Info'!$B$18=0,0,ROUND(MAX(ROUND('Customer Info'!$B$18*$C$20,1),ROUND('Customer Info'!$B$19*$C$20,1))/'Customer Info'!$D$29,1))</f>
        <v>0</v>
      </c>
      <c r="D18" s="285">
        <f>$C$18*C20</f>
        <v>0</v>
      </c>
      <c r="E18" s="31" t="s">
        <v>289</v>
      </c>
      <c r="F18" s="33"/>
      <c r="G18" s="31"/>
      <c r="H18" s="31"/>
      <c r="I18" s="31"/>
      <c r="J18" s="31"/>
      <c r="K18" s="31"/>
      <c r="L18" s="31"/>
      <c r="M18" s="31"/>
      <c r="N18" s="31"/>
      <c r="O18" s="31"/>
    </row>
    <row r="19" spans="1:30" x14ac:dyDescent="0.25">
      <c r="A19" s="31" t="s">
        <v>287</v>
      </c>
      <c r="B19" s="31"/>
      <c r="C19" s="32"/>
      <c r="D19" s="285">
        <f>MAX(100,ROUND(1.15*(MAX('Customer Info'!$B$18*'GS PRI'!C20,'Customer Info'!$B$19*'GS PRI'!C20)),1))</f>
        <v>100</v>
      </c>
      <c r="E19" s="31" t="s">
        <v>289</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8" t="s">
        <v>15</v>
      </c>
      <c r="E21" s="508"/>
      <c r="F21" s="508"/>
      <c r="G21" s="508"/>
      <c r="H21" s="508"/>
      <c r="K21" s="31"/>
      <c r="L21" s="31"/>
      <c r="M21" s="31"/>
      <c r="N21" s="31"/>
      <c r="O21" s="50"/>
    </row>
    <row r="22" spans="1:30" ht="13" x14ac:dyDescent="0.3">
      <c r="A22" s="31" t="s">
        <v>15</v>
      </c>
      <c r="B22" s="31"/>
      <c r="C22" s="82" t="s">
        <v>15</v>
      </c>
      <c r="D22" s="508" t="s">
        <v>15</v>
      </c>
      <c r="E22" s="508"/>
      <c r="F22" s="508"/>
      <c r="G22" s="508"/>
      <c r="H22" s="508"/>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0" t="s">
        <v>68</v>
      </c>
      <c r="H24" s="491"/>
      <c r="I24" s="491"/>
      <c r="J24" s="492"/>
      <c r="K24" s="22"/>
      <c r="L24" s="493" t="s">
        <v>69</v>
      </c>
      <c r="M24" s="493"/>
      <c r="N24" s="493"/>
      <c r="O24" s="493"/>
    </row>
    <row r="25" spans="1:30" ht="13" x14ac:dyDescent="0.3">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6.46</v>
      </c>
      <c r="J28" s="85">
        <f>SUM(G28:I28)</f>
        <v>6.46</v>
      </c>
      <c r="K28" s="36" t="s">
        <v>44</v>
      </c>
      <c r="L28" s="87"/>
      <c r="M28" s="87"/>
      <c r="N28" s="87">
        <f>ROUND($D28*I28,2)</f>
        <v>0</v>
      </c>
      <c r="O28" s="209">
        <f>SUM(L28:N28)</f>
        <v>0</v>
      </c>
      <c r="P28" s="245">
        <v>45261</v>
      </c>
    </row>
    <row r="29" spans="1:30" x14ac:dyDescent="0.25">
      <c r="A29" t="s">
        <v>261</v>
      </c>
      <c r="D29" s="49">
        <f>IF(D18&lt;=100,0,ROUND(IF(D18-D19&gt;0,D18-D19),1))</f>
        <v>0</v>
      </c>
      <c r="E29" s="29" t="s">
        <v>259</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0" ht="13" x14ac:dyDescent="0.3">
      <c r="A33" s="37"/>
      <c r="D33" s="1"/>
      <c r="E33" s="1"/>
      <c r="K33" s="36"/>
      <c r="L33" s="36"/>
      <c r="M33" s="36"/>
      <c r="N33" s="36"/>
      <c r="O33" s="34"/>
    </row>
    <row r="34" spans="1:220" x14ac:dyDescent="0.25">
      <c r="A34" s="78" t="s">
        <v>79</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0"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0"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ht="13" x14ac:dyDescent="0.3">
      <c r="A39" s="241" t="s">
        <v>238</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187</v>
      </c>
      <c r="B40" s="78"/>
      <c r="C40" s="78"/>
      <c r="D40" s="100">
        <f>'Customer Info'!$B$21+'Customer Info'!$B$22-'Customer Info'!$B$23</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5">
      <c r="A41" s="241" t="s">
        <v>162</v>
      </c>
      <c r="B41" s="78"/>
      <c r="C41" s="78"/>
      <c r="D41" s="100">
        <f>'Customer Info'!$B$21+'Customer Info'!$B$22-'Customer Info'!$B$23</f>
        <v>0</v>
      </c>
      <c r="E41" s="101" t="s">
        <v>41</v>
      </c>
      <c r="F41" s="102" t="s">
        <v>8</v>
      </c>
      <c r="G41" s="103">
        <f>'Rider Rates'!$B$37</f>
        <v>2.14E-3</v>
      </c>
      <c r="H41" s="103"/>
      <c r="I41" s="103"/>
      <c r="J41" s="237">
        <f>SUM(G41:H41)</f>
        <v>2.14E-3</v>
      </c>
      <c r="K41" s="104" t="s">
        <v>42</v>
      </c>
      <c r="L41" s="105">
        <f>ROUND(D41*G41,2)</f>
        <v>0</v>
      </c>
      <c r="M41" s="105"/>
      <c r="N41" s="105"/>
      <c r="O41" s="105">
        <f t="shared" si="0"/>
        <v>0</v>
      </c>
      <c r="P41" s="245">
        <f>'Rider Rates'!$D$37</f>
        <v>45444</v>
      </c>
    </row>
    <row r="42" spans="1:220" x14ac:dyDescent="0.25">
      <c r="A42" s="210" t="s">
        <v>194</v>
      </c>
      <c r="B42" s="78"/>
      <c r="C42" s="78"/>
      <c r="D42" s="100">
        <f>'Customer Info'!$B$21+'Customer Info'!$B$22-'Customer Info'!$B$23</f>
        <v>0</v>
      </c>
      <c r="E42" s="101" t="s">
        <v>41</v>
      </c>
      <c r="F42" s="102" t="s">
        <v>8</v>
      </c>
      <c r="G42" s="103">
        <f>'Rider Rates'!$B$45</f>
        <v>-3.1569999999999998E-4</v>
      </c>
      <c r="H42" s="103"/>
      <c r="I42" s="103"/>
      <c r="J42" s="237">
        <f>SUM(G42:H42)</f>
        <v>-3.1569999999999998E-4</v>
      </c>
      <c r="K42" s="104" t="s">
        <v>42</v>
      </c>
      <c r="L42" s="105">
        <f>ROUND(D42*G42,2)</f>
        <v>0</v>
      </c>
      <c r="M42" s="105"/>
      <c r="N42" s="105"/>
      <c r="O42" s="105">
        <f t="shared" si="0"/>
        <v>0</v>
      </c>
      <c r="P42" s="245">
        <f>'Rider Rates'!$D$45</f>
        <v>45383</v>
      </c>
    </row>
    <row r="43" spans="1:220" x14ac:dyDescent="0.25">
      <c r="A43" s="241" t="s">
        <v>211</v>
      </c>
      <c r="B43" s="78"/>
      <c r="C43" s="78"/>
      <c r="D43" s="1">
        <f>IF($C$16&lt;0,0,IF($C$16&gt;833000,833000,$C$16))</f>
        <v>0</v>
      </c>
      <c r="E43" s="101" t="s">
        <v>41</v>
      </c>
      <c r="F43" s="102" t="s">
        <v>8</v>
      </c>
      <c r="G43" s="103"/>
      <c r="H43" s="103"/>
      <c r="I43" s="103">
        <f>'Rider Rates'!D49</f>
        <v>1.8006999999999999E-3</v>
      </c>
      <c r="J43" s="103">
        <f>SUM(G43:I43)</f>
        <v>1.8006999999999999E-3</v>
      </c>
      <c r="K43" s="104" t="s">
        <v>42</v>
      </c>
      <c r="L43" s="105"/>
      <c r="M43" s="105"/>
      <c r="N43" s="87">
        <f>D43*J43</f>
        <v>0</v>
      </c>
      <c r="O43" s="105">
        <f t="shared" si="0"/>
        <v>0</v>
      </c>
      <c r="P43" s="245">
        <f>'Rider Rates'!E49</f>
        <v>45474</v>
      </c>
    </row>
    <row r="44" spans="1:220" x14ac:dyDescent="0.25">
      <c r="A44" s="210" t="s">
        <v>190</v>
      </c>
      <c r="B44" s="78"/>
      <c r="C44" s="78"/>
      <c r="D44" s="1">
        <f>IF($C$16&lt;0,0,$C$16)</f>
        <v>0</v>
      </c>
      <c r="E44" s="113" t="s">
        <v>41</v>
      </c>
      <c r="F44" s="102" t="s">
        <v>8</v>
      </c>
      <c r="G44" s="103"/>
      <c r="H44" s="103">
        <f>'Rider Rates'!B58</f>
        <v>5.8060000000000002E-4</v>
      </c>
      <c r="I44" s="103"/>
      <c r="J44" s="103">
        <f>SUM(G44:I44)</f>
        <v>5.8060000000000002E-4</v>
      </c>
      <c r="K44" s="104" t="s">
        <v>42</v>
      </c>
      <c r="L44" s="105"/>
      <c r="M44" s="105">
        <f>ROUND(D44*H44,2)</f>
        <v>0</v>
      </c>
      <c r="N44" s="205"/>
      <c r="O44" s="105">
        <f t="shared" si="0"/>
        <v>0</v>
      </c>
      <c r="P44" s="245">
        <f>'Rider Rates'!$D$57</f>
        <v>45383</v>
      </c>
    </row>
    <row r="45" spans="1:220" x14ac:dyDescent="0.25">
      <c r="A45" s="210" t="s">
        <v>190</v>
      </c>
      <c r="B45" s="78"/>
      <c r="C45" s="78"/>
      <c r="D45" s="49">
        <f>D14</f>
        <v>0</v>
      </c>
      <c r="E45" s="35" t="s">
        <v>64</v>
      </c>
      <c r="F45" s="4" t="s">
        <v>8</v>
      </c>
      <c r="G45" s="103"/>
      <c r="H45" s="239">
        <f>'Rider Rates'!B63</f>
        <v>6.76</v>
      </c>
      <c r="I45" s="103"/>
      <c r="J45" s="239">
        <f>SUM(G45:I45)</f>
        <v>6.76</v>
      </c>
      <c r="K45" s="104" t="s">
        <v>44</v>
      </c>
      <c r="L45" s="105"/>
      <c r="M45" s="105">
        <f>ROUND(D45*H45,2)</f>
        <v>0</v>
      </c>
      <c r="N45" s="205"/>
      <c r="O45" s="105">
        <f t="shared" si="0"/>
        <v>0</v>
      </c>
      <c r="P45" s="245">
        <f>'Rider Rates'!$D$62</f>
        <v>45383</v>
      </c>
    </row>
    <row r="46" spans="1:220" x14ac:dyDescent="0.25">
      <c r="A46" s="99" t="s">
        <v>83</v>
      </c>
      <c r="B46" s="78"/>
      <c r="C46" s="78"/>
      <c r="D46" s="1">
        <f>IF('Customer Info'!C34=TRUE,0,IF($C$16&lt;0,0,$C$16))</f>
        <v>0</v>
      </c>
      <c r="E46" s="101" t="s">
        <v>41</v>
      </c>
      <c r="F46" s="102" t="s">
        <v>8</v>
      </c>
      <c r="G46" s="103"/>
      <c r="H46" s="103"/>
      <c r="I46" s="103">
        <f>'Rider Rates'!$B$69+'Rider Rates'!$C$69</f>
        <v>0</v>
      </c>
      <c r="J46" s="103">
        <f>SUM(G46:I46)</f>
        <v>0</v>
      </c>
      <c r="K46" s="104" t="s">
        <v>42</v>
      </c>
      <c r="L46" s="105"/>
      <c r="M46" s="105"/>
      <c r="N46" s="87">
        <f>ROUND($D$46*'Rider Rates'!$B$69,2)+ROUND($D$46*'Rider Rates'!$C$69,2)</f>
        <v>0</v>
      </c>
      <c r="O46" s="209">
        <f t="shared" ref="O46:O53" si="1">SUM(L46:N46)</f>
        <v>0</v>
      </c>
      <c r="P46" s="245">
        <f>'Rider Rates'!$D$69</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83</v>
      </c>
      <c r="B47" s="78"/>
      <c r="C47" s="78"/>
      <c r="D47" s="49">
        <f>IF('Customer Info'!C34=TRUE,0,$D$28)</f>
        <v>0</v>
      </c>
      <c r="E47" s="101" t="s">
        <v>45</v>
      </c>
      <c r="F47" s="102" t="s">
        <v>8</v>
      </c>
      <c r="G47" s="103"/>
      <c r="H47" s="103"/>
      <c r="I47" s="239">
        <f>'Rider Rates'!$B$79</f>
        <v>0</v>
      </c>
      <c r="J47" s="239">
        <f>SUM(G47:I47)</f>
        <v>0</v>
      </c>
      <c r="K47" s="104" t="s">
        <v>42</v>
      </c>
      <c r="L47" s="105"/>
      <c r="M47" s="105"/>
      <c r="N47" s="87">
        <f>ROUND($D47*I47,2)</f>
        <v>0</v>
      </c>
      <c r="O47" s="209">
        <f>SUM(L47:N47)</f>
        <v>0</v>
      </c>
      <c r="P47" s="245">
        <f>'Rider Rates'!$D$79</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81</v>
      </c>
      <c r="B48" s="78"/>
      <c r="C48" s="78"/>
      <c r="D48" s="208">
        <f>$N$30</f>
        <v>138.5</v>
      </c>
      <c r="E48" s="101" t="s">
        <v>122</v>
      </c>
      <c r="F48" s="102" t="s">
        <v>8</v>
      </c>
      <c r="G48" s="111"/>
      <c r="H48" s="112"/>
      <c r="I48" s="120">
        <f>'Rider Rates'!$B$83</f>
        <v>2.9347000000000002E-2</v>
      </c>
      <c r="J48" s="120">
        <f>SUM(H48:I48)</f>
        <v>2.9347000000000002E-2</v>
      </c>
      <c r="K48" s="104"/>
      <c r="L48" s="105"/>
      <c r="M48" s="105"/>
      <c r="N48" s="105">
        <f>ROUND(N$30*I48,2)</f>
        <v>4.0599999999999996</v>
      </c>
      <c r="O48" s="209">
        <f t="shared" si="1"/>
        <v>4.0599999999999996</v>
      </c>
      <c r="P48" s="245">
        <f>'Rider Rates'!$D$83</f>
        <v>45383</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99" t="s">
        <v>82</v>
      </c>
      <c r="B49" s="78"/>
      <c r="C49" s="78"/>
      <c r="D49" s="208">
        <f>$N$30</f>
        <v>138.5</v>
      </c>
      <c r="E49" s="101" t="s">
        <v>122</v>
      </c>
      <c r="F49" s="102" t="s">
        <v>8</v>
      </c>
      <c r="G49" s="114"/>
      <c r="H49" s="115"/>
      <c r="I49" s="120">
        <f>'Rider Rates'!$B$85</f>
        <v>6.6985699999999995E-2</v>
      </c>
      <c r="J49" s="120">
        <f>SUM(H49:I49)</f>
        <v>6.6985699999999995E-2</v>
      </c>
      <c r="K49" s="104"/>
      <c r="L49" s="105"/>
      <c r="M49" s="105"/>
      <c r="N49" s="105">
        <f>ROUND(N$30*I49,2)</f>
        <v>9.2799999999999994</v>
      </c>
      <c r="O49" s="209">
        <f t="shared" si="1"/>
        <v>9.2799999999999994</v>
      </c>
      <c r="P49" s="245">
        <f>'Rider Rates'!$D$85</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ht="13" x14ac:dyDescent="0.3">
      <c r="A50" s="210" t="s">
        <v>207</v>
      </c>
      <c r="B50" s="78"/>
      <c r="C50" s="78"/>
      <c r="D50" s="195"/>
      <c r="E50" s="113" t="s">
        <v>115</v>
      </c>
      <c r="F50" s="106"/>
      <c r="G50" s="114"/>
      <c r="H50" s="115"/>
      <c r="I50" s="196">
        <f>'Rider Rates'!$B$89</f>
        <v>11.97</v>
      </c>
      <c r="J50" s="196">
        <f>SUM(G50:I50)</f>
        <v>11.97</v>
      </c>
      <c r="K50" s="104"/>
      <c r="L50" s="105"/>
      <c r="M50" s="105"/>
      <c r="N50" s="105">
        <f>I50</f>
        <v>11.97</v>
      </c>
      <c r="O50" s="105">
        <f>SUM(L50:N50)</f>
        <v>11.97</v>
      </c>
      <c r="P50" s="245">
        <f>'Rider Rates'!$D$89</f>
        <v>45442</v>
      </c>
    </row>
    <row r="51" spans="1:221" x14ac:dyDescent="0.25">
      <c r="A51" s="241" t="s">
        <v>252</v>
      </c>
      <c r="B51" s="78"/>
      <c r="C51" s="78"/>
      <c r="D51" s="1">
        <f>$D$34</f>
        <v>0</v>
      </c>
      <c r="E51" s="101" t="s">
        <v>41</v>
      </c>
      <c r="F51" s="102" t="s">
        <v>8</v>
      </c>
      <c r="G51" s="103"/>
      <c r="H51" s="103"/>
      <c r="I51" s="103"/>
      <c r="J51" s="103">
        <f>'Rider Rates'!$B$94</f>
        <v>0</v>
      </c>
      <c r="K51" s="104" t="s">
        <v>42</v>
      </c>
      <c r="L51" s="105"/>
      <c r="M51" s="105"/>
      <c r="N51" s="87"/>
      <c r="O51" s="105">
        <f>ROUND($D51*('Rider Rates'!B$94),2)</f>
        <v>0</v>
      </c>
      <c r="P51" s="245">
        <f>'Rider Rates'!$D$94</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253</v>
      </c>
      <c r="B52" s="78"/>
      <c r="C52" s="78"/>
      <c r="D52" s="1">
        <f>$D$35</f>
        <v>0</v>
      </c>
      <c r="E52" s="101" t="s">
        <v>41</v>
      </c>
      <c r="F52" s="102" t="s">
        <v>8</v>
      </c>
      <c r="G52" s="103"/>
      <c r="H52" s="103"/>
      <c r="I52" s="103"/>
      <c r="J52" s="103">
        <f>'Rider Rates'!$B$95</f>
        <v>0</v>
      </c>
      <c r="K52" s="104" t="s">
        <v>42</v>
      </c>
      <c r="L52" s="105"/>
      <c r="M52" s="105"/>
      <c r="N52" s="87"/>
      <c r="O52" s="105">
        <f>ROUND($D52*('Rider Rates'!B$95),2)</f>
        <v>0</v>
      </c>
      <c r="P52" s="245">
        <f>'Rider Rates'!$D$95</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99" t="s">
        <v>157</v>
      </c>
      <c r="B53" s="78"/>
      <c r="C53" s="78"/>
      <c r="D53" s="208">
        <f>$N$30</f>
        <v>138.5</v>
      </c>
      <c r="E53" s="101" t="s">
        <v>122</v>
      </c>
      <c r="F53" s="102" t="s">
        <v>8</v>
      </c>
      <c r="G53" s="114"/>
      <c r="H53" s="115"/>
      <c r="I53" s="120">
        <f>'Rider Rates'!$B$103</f>
        <v>0.21398439999999999</v>
      </c>
      <c r="J53" s="120">
        <f>SUM(H53:I53)</f>
        <v>0.21398439999999999</v>
      </c>
      <c r="K53" s="104"/>
      <c r="L53" s="105"/>
      <c r="M53" s="105"/>
      <c r="N53" s="105">
        <f>ROUND(N$30*I53,2)</f>
        <v>29.64</v>
      </c>
      <c r="O53" s="105">
        <f t="shared" si="1"/>
        <v>29.64</v>
      </c>
      <c r="P53" s="245">
        <f>'Rider Rates'!$D$103</f>
        <v>45351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210</v>
      </c>
      <c r="B54" s="78"/>
      <c r="C54" s="78"/>
      <c r="D54" s="195"/>
      <c r="E54" s="113" t="s">
        <v>115</v>
      </c>
      <c r="F54" s="106"/>
      <c r="G54" s="114"/>
      <c r="H54" s="115"/>
      <c r="I54" s="196">
        <f>'Rider Rates'!$B$107</f>
        <v>0</v>
      </c>
      <c r="J54" s="196">
        <f>SUM(G54:I54)</f>
        <v>0</v>
      </c>
      <c r="K54" s="104"/>
      <c r="L54" s="105"/>
      <c r="M54" s="105"/>
      <c r="N54" s="105">
        <f>I54</f>
        <v>0</v>
      </c>
      <c r="O54" s="105">
        <f t="shared" ref="O54:O59" si="2">SUM(L54:N54)</f>
        <v>0</v>
      </c>
      <c r="P54" s="245">
        <f>'Rider Rates'!$D$107</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210" t="s">
        <v>218</v>
      </c>
      <c r="B55" s="78"/>
      <c r="C55" s="78"/>
      <c r="D55" s="195"/>
      <c r="E55" s="113" t="s">
        <v>115</v>
      </c>
      <c r="F55" s="106"/>
      <c r="G55" s="114"/>
      <c r="H55" s="115"/>
      <c r="I55" s="258">
        <f>'Rider Rates'!B120</f>
        <v>5.83</v>
      </c>
      <c r="J55" s="196">
        <f>SUM(G55:I55)</f>
        <v>5.83</v>
      </c>
      <c r="K55" s="104"/>
      <c r="L55" s="105"/>
      <c r="M55" s="105"/>
      <c r="N55" s="260">
        <f>I55</f>
        <v>5.83</v>
      </c>
      <c r="O55" s="105">
        <f t="shared" si="2"/>
        <v>5.83</v>
      </c>
      <c r="P55" s="245">
        <f>'Rider Rates'!D120</f>
        <v>45226</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99" t="s">
        <v>158</v>
      </c>
      <c r="B56" s="78"/>
      <c r="C56" s="78"/>
      <c r="D56" s="100">
        <f>IF('Customer Info'!$C$32=TRUE,0,'Customer Info'!$B$21+'Customer Info'!$B$22-'Customer Info'!$B$23)</f>
        <v>0</v>
      </c>
      <c r="E56" s="101" t="s">
        <v>41</v>
      </c>
      <c r="F56" s="102" t="s">
        <v>8</v>
      </c>
      <c r="G56" s="103">
        <f>'Rider Rates'!$B$111</f>
        <v>3.7618E-3</v>
      </c>
      <c r="H56" s="103"/>
      <c r="I56" s="120"/>
      <c r="J56" s="237">
        <f>SUM(G56:H56)</f>
        <v>3.7618E-3</v>
      </c>
      <c r="K56" s="104" t="s">
        <v>42</v>
      </c>
      <c r="L56" s="105">
        <f>ROUND(D56*G56,2)</f>
        <v>0</v>
      </c>
      <c r="M56" s="105"/>
      <c r="N56" s="105"/>
      <c r="O56" s="105">
        <f t="shared" si="2"/>
        <v>0</v>
      </c>
      <c r="P56" s="245">
        <f>'Rider Rates'!$D$111</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10" t="s">
        <v>209</v>
      </c>
      <c r="B57" s="78"/>
      <c r="C57" s="78"/>
      <c r="D57" s="1">
        <f>IF($C$16&lt;1,0,$C$16)</f>
        <v>0</v>
      </c>
      <c r="E57" s="101" t="s">
        <v>41</v>
      </c>
      <c r="F57" s="249" t="s">
        <v>8</v>
      </c>
      <c r="G57" s="165"/>
      <c r="H57" s="165"/>
      <c r="I57" s="251">
        <f>'Rider Rates'!B116</f>
        <v>-6.2E-4</v>
      </c>
      <c r="J57" s="251">
        <f>SUM(G57:I57)</f>
        <v>-6.2E-4</v>
      </c>
      <c r="K57" s="104" t="s">
        <v>42</v>
      </c>
      <c r="L57" s="105"/>
      <c r="M57" s="105"/>
      <c r="N57" s="105">
        <f>D57*I57</f>
        <v>0</v>
      </c>
      <c r="O57" s="105">
        <f t="shared" si="2"/>
        <v>0</v>
      </c>
      <c r="P57" s="245">
        <f>'Rider Rates'!D116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234</v>
      </c>
      <c r="B58" s="78"/>
      <c r="C58" s="78"/>
      <c r="D58" s="100">
        <f>IF(C16&lt;0,0,IF(C16&gt;833000,833000,C16))</f>
        <v>0</v>
      </c>
      <c r="E58" s="101" t="s">
        <v>41</v>
      </c>
      <c r="F58" s="102" t="s">
        <v>8</v>
      </c>
      <c r="G58" s="265"/>
      <c r="H58" s="265"/>
      <c r="I58" s="265">
        <f>'Rider Rates'!$B$124</f>
        <v>2.9050000000000001E-4</v>
      </c>
      <c r="J58" s="265">
        <f>SUM(G58:I58)</f>
        <v>2.9050000000000001E-4</v>
      </c>
      <c r="K58" s="104" t="s">
        <v>42</v>
      </c>
      <c r="L58" s="266"/>
      <c r="M58" s="266"/>
      <c r="N58" s="266">
        <f>IF(D58*J58&gt;'Rider Rates'!$C$124,'Rider Rates'!$C$124,D58*J58)</f>
        <v>0</v>
      </c>
      <c r="O58" s="266">
        <f t="shared" si="2"/>
        <v>0</v>
      </c>
      <c r="P58" s="264">
        <f>'Rider Rates'!$E$124</f>
        <v>45292</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t="s">
        <v>235</v>
      </c>
      <c r="B59" s="78"/>
      <c r="C59" s="78"/>
      <c r="D59" s="123">
        <f>IF(C16&gt;833000,C16-833000,0)</f>
        <v>0</v>
      </c>
      <c r="E59" s="101" t="s">
        <v>41</v>
      </c>
      <c r="F59" s="102" t="s">
        <v>8</v>
      </c>
      <c r="G59" s="265"/>
      <c r="H59" s="265"/>
      <c r="I59" s="265">
        <f>'Rider Rates'!$B$125</f>
        <v>0</v>
      </c>
      <c r="J59" s="265">
        <f>SUM(G59:I59)</f>
        <v>0</v>
      </c>
      <c r="K59" s="104" t="s">
        <v>42</v>
      </c>
      <c r="L59" s="266"/>
      <c r="M59" s="266"/>
      <c r="N59" s="266">
        <f>D59*J59</f>
        <v>0</v>
      </c>
      <c r="O59" s="266">
        <f t="shared" si="2"/>
        <v>0</v>
      </c>
      <c r="P59" s="264">
        <f>'Rider Rates'!$E$125</f>
        <v>44927</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243</v>
      </c>
      <c r="B60" s="78"/>
      <c r="C60" s="78"/>
      <c r="D60" s="100">
        <f>D16</f>
        <v>0</v>
      </c>
      <c r="E60" s="101" t="s">
        <v>41</v>
      </c>
      <c r="F60" s="249" t="s">
        <v>8</v>
      </c>
      <c r="G60" s="103"/>
      <c r="H60" s="103"/>
      <c r="I60" s="103">
        <f>'Rider Rates'!$B$131</f>
        <v>0</v>
      </c>
      <c r="J60" s="237">
        <f>SUM(G60:I60)</f>
        <v>0</v>
      </c>
      <c r="K60" s="104" t="s">
        <v>42</v>
      </c>
      <c r="L60" s="105"/>
      <c r="M60" s="105"/>
      <c r="N60" s="105">
        <f>D60*J60</f>
        <v>0</v>
      </c>
      <c r="O60" s="105">
        <f>SUM(L60:N60)</f>
        <v>0</v>
      </c>
      <c r="P60" s="245">
        <f>'Rider Rates'!$D$129</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242</v>
      </c>
      <c r="B61" s="78"/>
      <c r="C61" s="78"/>
      <c r="D61" s="100"/>
      <c r="E61" s="101" t="s">
        <v>115</v>
      </c>
      <c r="F61" s="102" t="s">
        <v>8</v>
      </c>
      <c r="G61" s="263"/>
      <c r="H61" s="263"/>
      <c r="I61" s="263">
        <f>'Rider Rates'!$B$136</f>
        <v>0</v>
      </c>
      <c r="J61" s="263">
        <f>SUM(G61:I61)</f>
        <v>0</v>
      </c>
      <c r="K61" s="104"/>
      <c r="L61" s="209"/>
      <c r="M61" s="209"/>
      <c r="N61" s="209">
        <f>J61</f>
        <v>0</v>
      </c>
      <c r="O61" s="209">
        <f>SUM(L61:N61)</f>
        <v>0</v>
      </c>
      <c r="P61" s="264">
        <f>'Rider Rates'!$D$136</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241" t="s">
        <v>244</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179" t="s">
        <v>71</v>
      </c>
      <c r="B63" s="148"/>
      <c r="C63" s="148"/>
      <c r="D63" s="180"/>
      <c r="E63" s="181"/>
      <c r="F63" s="182"/>
      <c r="G63" s="182"/>
      <c r="H63" s="182"/>
      <c r="I63" s="182"/>
      <c r="J63" s="182"/>
      <c r="K63" s="183"/>
      <c r="L63" s="169">
        <f>SUM(L34:L62)</f>
        <v>0</v>
      </c>
      <c r="M63" s="169">
        <f t="shared" ref="M63:O63" si="3">SUM(M34:M62)</f>
        <v>0</v>
      </c>
      <c r="N63" s="169">
        <f t="shared" si="3"/>
        <v>60.78</v>
      </c>
      <c r="O63" s="169">
        <f t="shared" si="3"/>
        <v>60.78</v>
      </c>
      <c r="P63" s="184"/>
    </row>
    <row r="64" spans="1:221" ht="13" x14ac:dyDescent="0.3">
      <c r="A64" s="37"/>
      <c r="D64" s="1"/>
      <c r="E64" s="35"/>
      <c r="F64" s="4"/>
      <c r="G64" s="42"/>
      <c r="H64" s="42"/>
      <c r="I64" s="42"/>
      <c r="J64" s="42"/>
      <c r="K64" s="36"/>
      <c r="L64" s="36"/>
      <c r="M64" s="36"/>
      <c r="N64" s="36"/>
      <c r="O64" s="34"/>
      <c r="P64" s="36"/>
    </row>
    <row r="65" spans="1:16" ht="13" x14ac:dyDescent="0.3">
      <c r="A65" s="81" t="s">
        <v>72</v>
      </c>
      <c r="B65" s="92"/>
      <c r="C65" s="92"/>
      <c r="D65" s="92"/>
      <c r="E65" s="92"/>
      <c r="F65" s="92"/>
      <c r="G65" s="92"/>
      <c r="H65" s="92"/>
      <c r="I65" s="92"/>
      <c r="J65" s="92"/>
      <c r="K65" s="92"/>
      <c r="L65" s="98">
        <f>L30+L63</f>
        <v>0</v>
      </c>
      <c r="M65" s="98">
        <f>M30+M63</f>
        <v>0</v>
      </c>
      <c r="N65" s="98">
        <f>N30+N63</f>
        <v>199.28</v>
      </c>
      <c r="O65" s="98">
        <f>O30+O63</f>
        <v>199.28</v>
      </c>
      <c r="P65" s="98"/>
    </row>
    <row r="66" spans="1:16" ht="13" x14ac:dyDescent="0.3">
      <c r="A66" s="37"/>
      <c r="B66" s="37"/>
      <c r="C66" s="37"/>
      <c r="D66" s="37"/>
      <c r="E66" s="37"/>
      <c r="F66" s="37"/>
      <c r="G66" s="37"/>
      <c r="H66" s="37"/>
      <c r="I66" s="37"/>
      <c r="J66" s="37"/>
      <c r="K66" s="37"/>
      <c r="L66" s="37"/>
      <c r="M66" s="37"/>
      <c r="N66" s="37"/>
      <c r="O66" s="40"/>
      <c r="P66" s="40"/>
    </row>
    <row r="67" spans="1:16" ht="13" x14ac:dyDescent="0.3">
      <c r="A67" s="37" t="s">
        <v>37</v>
      </c>
      <c r="B67" s="37"/>
      <c r="C67" s="37"/>
      <c r="D67" s="37"/>
      <c r="E67" s="37"/>
      <c r="F67" s="37"/>
      <c r="G67" s="37"/>
      <c r="H67" s="37"/>
      <c r="I67" s="37"/>
      <c r="J67" s="37"/>
      <c r="K67" s="37"/>
      <c r="L67" s="37"/>
      <c r="M67" s="37"/>
      <c r="N67" s="37"/>
      <c r="O67" s="45">
        <f>O26+O28+O63</f>
        <v>199.28</v>
      </c>
      <c r="P67" s="245">
        <v>40967</v>
      </c>
    </row>
    <row r="68" spans="1:16" ht="13" x14ac:dyDescent="0.3">
      <c r="A68" s="37"/>
      <c r="B68" s="37"/>
      <c r="C68" s="37"/>
      <c r="D68" s="37"/>
      <c r="E68" s="37"/>
      <c r="F68" s="37"/>
      <c r="G68" s="46"/>
      <c r="H68" s="46"/>
      <c r="I68" s="46"/>
      <c r="J68" s="46"/>
      <c r="K68" s="36"/>
      <c r="L68" s="36"/>
      <c r="M68" s="36"/>
      <c r="N68" s="36"/>
      <c r="O68" s="40"/>
    </row>
    <row r="69" spans="1:16" ht="13" x14ac:dyDescent="0.3">
      <c r="A69" s="41" t="s">
        <v>117</v>
      </c>
      <c r="B69" s="37"/>
      <c r="C69" s="37"/>
      <c r="D69" s="37"/>
      <c r="E69" s="37"/>
      <c r="F69" s="37"/>
      <c r="G69" s="46"/>
      <c r="H69" s="46"/>
      <c r="I69" s="46"/>
      <c r="J69" s="46"/>
      <c r="K69" s="36"/>
      <c r="L69" s="36"/>
      <c r="M69" s="36"/>
      <c r="N69" s="36"/>
      <c r="O69" s="138">
        <f>MAX($O$65,$O$67)</f>
        <v>199.28</v>
      </c>
    </row>
    <row r="70" spans="1:16" ht="13" x14ac:dyDescent="0.3">
      <c r="A70" s="37"/>
      <c r="B70" s="37"/>
      <c r="C70" s="37"/>
      <c r="D70" s="37"/>
      <c r="E70" s="37"/>
      <c r="F70" s="37"/>
      <c r="G70" s="46"/>
      <c r="H70" s="46"/>
      <c r="I70" s="46"/>
      <c r="J70" s="46"/>
      <c r="K70" s="36"/>
      <c r="L70" s="36"/>
      <c r="M70" s="36"/>
      <c r="N70" s="36"/>
      <c r="O70" s="40"/>
    </row>
    <row r="71" spans="1:16" ht="13" x14ac:dyDescent="0.3">
      <c r="A71" s="37"/>
      <c r="B71" s="37"/>
      <c r="C71" s="37"/>
      <c r="D71" s="37"/>
      <c r="E71" s="37"/>
      <c r="F71" s="37"/>
      <c r="G71" s="96" t="s">
        <v>86</v>
      </c>
      <c r="H71" s="46"/>
      <c r="I71" s="37"/>
      <c r="J71" s="46"/>
      <c r="K71" s="36"/>
      <c r="L71" s="191"/>
      <c r="M71" s="191"/>
      <c r="N71" s="191"/>
      <c r="O71" s="191">
        <f>ROUND(IF($C$16&lt;1,0,$O$69/($C$16*100)*10000),2)</f>
        <v>0</v>
      </c>
      <c r="P71" s="37" t="s">
        <v>87</v>
      </c>
    </row>
    <row r="72" spans="1:16" ht="13" x14ac:dyDescent="0.3">
      <c r="A72" s="37"/>
      <c r="B72" s="37"/>
      <c r="C72" s="37"/>
      <c r="D72" s="37"/>
      <c r="E72" s="37"/>
      <c r="F72" s="37"/>
      <c r="G72" s="242" t="s">
        <v>191</v>
      </c>
      <c r="H72" s="136"/>
      <c r="I72" s="133"/>
      <c r="J72" s="136"/>
      <c r="K72" s="137"/>
      <c r="L72" s="78"/>
      <c r="M72" s="78"/>
      <c r="N72" s="78"/>
      <c r="O72" s="243">
        <f>ROUND(IF($C$16&lt;1,0,(L65)/($C$16*100)*10000),2)</f>
        <v>0</v>
      </c>
      <c r="P72" s="25" t="s">
        <v>87</v>
      </c>
    </row>
    <row r="73" spans="1:16" ht="13" x14ac:dyDescent="0.3">
      <c r="A73" s="37"/>
      <c r="B73" s="37"/>
      <c r="C73" s="37"/>
      <c r="D73" s="37"/>
      <c r="E73" s="37"/>
      <c r="F73" s="37"/>
      <c r="G73" s="96"/>
      <c r="H73" s="46"/>
      <c r="I73" s="96"/>
      <c r="J73" s="46"/>
      <c r="K73" s="36"/>
      <c r="L73" s="36"/>
      <c r="M73" s="36"/>
      <c r="N73" s="36"/>
      <c r="O73" s="130"/>
      <c r="P73" s="37"/>
    </row>
    <row r="74" spans="1:16" ht="20.25" customHeight="1" x14ac:dyDescent="0.4">
      <c r="A74" s="3"/>
      <c r="B74" s="37"/>
      <c r="C74" s="37"/>
      <c r="D74" s="228" t="str">
        <f>IF('Customer Info'!$C$32=TRUE,"Notice: Billing Charge does not include Self Assessed KWH Tax"," ")</f>
        <v xml:space="preserve"> </v>
      </c>
      <c r="E74" s="3"/>
      <c r="F74" s="4"/>
      <c r="G74" s="121"/>
      <c r="H74" s="55"/>
      <c r="I74" s="34"/>
      <c r="J74" s="55"/>
      <c r="K74" s="37"/>
      <c r="L74" s="37"/>
      <c r="M74" s="37"/>
      <c r="N74" s="34"/>
    </row>
    <row r="75" spans="1:16" ht="13" x14ac:dyDescent="0.3">
      <c r="A75" s="37"/>
      <c r="B75" s="37"/>
      <c r="C75" s="37"/>
      <c r="D75" s="54"/>
      <c r="E75" s="3"/>
      <c r="F75" s="4"/>
      <c r="G75" s="55"/>
      <c r="H75" s="55"/>
      <c r="I75" s="93"/>
      <c r="J75" s="55"/>
      <c r="K75" s="37"/>
      <c r="L75" s="37"/>
      <c r="M75" s="37"/>
      <c r="N75" s="37"/>
      <c r="O75" s="40"/>
    </row>
    <row r="76" spans="1:16" ht="13" x14ac:dyDescent="0.3">
      <c r="A76" s="37"/>
      <c r="B76" s="37"/>
      <c r="C76" s="37"/>
      <c r="D76" s="54"/>
      <c r="E76" s="3"/>
      <c r="F76" s="4"/>
      <c r="G76" s="55"/>
      <c r="H76" s="55"/>
      <c r="I76" s="55"/>
      <c r="J76" s="55"/>
      <c r="K76" s="37"/>
      <c r="L76" s="37"/>
      <c r="M76" s="37"/>
      <c r="N76" s="37"/>
      <c r="O76" s="40"/>
    </row>
    <row r="77" spans="1:16" ht="13" x14ac:dyDescent="0.3">
      <c r="A77" s="41"/>
      <c r="B77" s="37"/>
      <c r="C77" s="37"/>
      <c r="D77" s="37"/>
      <c r="E77" s="37"/>
      <c r="F77" s="37"/>
      <c r="G77" s="37"/>
      <c r="H77" s="37"/>
      <c r="J77" s="37"/>
      <c r="K77" s="37"/>
      <c r="L77" s="40"/>
      <c r="M77" s="40"/>
      <c r="N77" s="40"/>
      <c r="O77" s="138"/>
    </row>
    <row r="78" spans="1:16" ht="13" x14ac:dyDescent="0.3">
      <c r="B78" s="37"/>
      <c r="C78" s="37"/>
      <c r="D78" s="37"/>
      <c r="E78" s="37"/>
      <c r="F78" s="37"/>
      <c r="G78" s="96"/>
      <c r="H78" s="37"/>
      <c r="I78" s="37"/>
      <c r="J78" s="37"/>
      <c r="K78" s="37"/>
      <c r="L78" s="60"/>
      <c r="M78" s="60"/>
      <c r="N78" s="60"/>
      <c r="O78" s="130"/>
      <c r="P78" s="37"/>
    </row>
    <row r="79" spans="1:16" ht="13" x14ac:dyDescent="0.3">
      <c r="G79" s="133"/>
      <c r="H79" s="56"/>
      <c r="I79" s="133"/>
      <c r="J79" s="56"/>
      <c r="K79" s="56"/>
      <c r="L79" s="134"/>
      <c r="M79" s="134"/>
      <c r="N79" s="134"/>
      <c r="O79" s="135"/>
      <c r="P79" s="25"/>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row r="94" spans="1:1" x14ac:dyDescent="0.25">
      <c r="A94" s="478"/>
    </row>
    <row r="95" spans="1:1" x14ac:dyDescent="0.25">
      <c r="A95" s="478"/>
    </row>
  </sheetData>
  <sheetProtection algorithmName="SHA-512" hashValue="1J01MB3OUfwEYs7HK03gFJNzP6+ZTqHiN6klQ7VE3hg5Ygvy6KEC936H36TyH0PPOerEVCWP2ZlfyBEOsjC/zw==" saltValue="h+2L+r0z6lYkgFTNuh47iA==" spinCount="100000" sheet="1" objects="1" scenarios="1"/>
  <mergeCells count="26">
    <mergeCell ref="A81:A95"/>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412750</xdr:colOff>
                    <xdr:row>89</xdr:row>
                    <xdr:rowOff>76200</xdr:rowOff>
                  </from>
                  <to>
                    <xdr:col>16</xdr:col>
                    <xdr:colOff>38100</xdr:colOff>
                    <xdr:row>90</xdr:row>
                    <xdr:rowOff>133350</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workbookViewId="0">
      <selection activeCell="A26" sqref="A26"/>
    </sheetView>
  </sheetViews>
  <sheetFormatPr defaultColWidth="9.1796875" defaultRowHeight="10" customHeight="1" x14ac:dyDescent="0.25"/>
  <cols>
    <col min="1" max="1" width="130.54296875" style="295" customWidth="1"/>
    <col min="2" max="16384" width="9.1796875" style="294"/>
  </cols>
  <sheetData>
    <row r="1" spans="1:1" ht="34.5" x14ac:dyDescent="0.25">
      <c r="A1" s="298" t="s">
        <v>317</v>
      </c>
    </row>
    <row r="2" spans="1:1" ht="23" x14ac:dyDescent="0.25">
      <c r="A2" s="299" t="s">
        <v>316</v>
      </c>
    </row>
    <row r="3" spans="1:1" ht="10" customHeight="1" x14ac:dyDescent="0.25">
      <c r="A3" s="300"/>
    </row>
    <row r="4" spans="1:1" ht="24" customHeight="1" x14ac:dyDescent="0.25">
      <c r="A4" s="299" t="s">
        <v>315</v>
      </c>
    </row>
    <row r="5" spans="1:1" ht="10" customHeight="1" x14ac:dyDescent="0.25">
      <c r="A5" s="300"/>
    </row>
    <row r="6" spans="1:1" ht="11.5" x14ac:dyDescent="0.25">
      <c r="A6" s="298" t="s">
        <v>314</v>
      </c>
    </row>
    <row r="7" spans="1:1" ht="10" customHeight="1" x14ac:dyDescent="0.25">
      <c r="A7" s="298"/>
    </row>
    <row r="8" spans="1:1" ht="34.5" x14ac:dyDescent="0.25">
      <c r="A8" s="298" t="s">
        <v>313</v>
      </c>
    </row>
    <row r="9" spans="1:1" ht="10" customHeight="1" x14ac:dyDescent="0.25">
      <c r="A9" s="299"/>
    </row>
    <row r="10" spans="1:1" ht="36" customHeight="1" x14ac:dyDescent="0.25">
      <c r="A10" s="298" t="s">
        <v>312</v>
      </c>
    </row>
    <row r="11" spans="1:1" ht="10" customHeight="1" x14ac:dyDescent="0.25">
      <c r="A11" s="298"/>
    </row>
    <row r="12" spans="1:1" ht="38.25" customHeight="1" x14ac:dyDescent="0.25">
      <c r="A12" s="298" t="s">
        <v>311</v>
      </c>
    </row>
    <row r="13" spans="1:1" ht="10" customHeight="1" x14ac:dyDescent="0.25">
      <c r="A13" s="298"/>
    </row>
    <row r="14" spans="1:1" ht="23" x14ac:dyDescent="0.25">
      <c r="A14" s="298" t="s">
        <v>310</v>
      </c>
    </row>
    <row r="15" spans="1:1" ht="10" customHeight="1" x14ac:dyDescent="0.25">
      <c r="A15" s="298"/>
    </row>
    <row r="16" spans="1:1" ht="23" x14ac:dyDescent="0.25">
      <c r="A16" s="298" t="s">
        <v>309</v>
      </c>
    </row>
    <row r="17" spans="1:1" ht="10" customHeight="1" x14ac:dyDescent="0.25">
      <c r="A17" s="298"/>
    </row>
    <row r="18" spans="1:1" ht="39.75" customHeight="1" x14ac:dyDescent="0.25">
      <c r="A18" s="298" t="s">
        <v>308</v>
      </c>
    </row>
    <row r="19" spans="1:1" ht="10" customHeight="1" x14ac:dyDescent="0.25">
      <c r="A19" s="298"/>
    </row>
    <row r="20" spans="1:1" ht="23" x14ac:dyDescent="0.25">
      <c r="A20" s="298" t="s">
        <v>307</v>
      </c>
    </row>
    <row r="21" spans="1:1" ht="10" customHeight="1" x14ac:dyDescent="0.25">
      <c r="A21" s="298"/>
    </row>
    <row r="22" spans="1:1" ht="23" x14ac:dyDescent="0.25">
      <c r="A22" s="298" t="s">
        <v>306</v>
      </c>
    </row>
    <row r="23" spans="1:1" ht="10" customHeight="1" x14ac:dyDescent="0.25">
      <c r="A23" s="298"/>
    </row>
    <row r="24" spans="1:1" ht="23" x14ac:dyDescent="0.25">
      <c r="A24" s="298" t="s">
        <v>305</v>
      </c>
    </row>
    <row r="25" spans="1:1" ht="10" customHeight="1" x14ac:dyDescent="0.25">
      <c r="A25" s="298"/>
    </row>
    <row r="26" spans="1:1" ht="23" x14ac:dyDescent="0.25">
      <c r="A26" s="296" t="s">
        <v>304</v>
      </c>
    </row>
    <row r="27" spans="1:1" ht="11.5" x14ac:dyDescent="0.25">
      <c r="A27" s="298"/>
    </row>
    <row r="28" spans="1:1" ht="45" customHeight="1" x14ac:dyDescent="0.25">
      <c r="A28" s="298" t="s">
        <v>303</v>
      </c>
    </row>
    <row r="30" spans="1:1" ht="36" customHeight="1" x14ac:dyDescent="0.25">
      <c r="A30" s="298" t="s">
        <v>302</v>
      </c>
    </row>
    <row r="31" spans="1:1" ht="10" customHeight="1" x14ac:dyDescent="0.25">
      <c r="A31" s="297"/>
    </row>
    <row r="32" spans="1:1" ht="11.5" x14ac:dyDescent="0.25">
      <c r="A32" s="296" t="s">
        <v>301</v>
      </c>
    </row>
    <row r="34" spans="1:1" ht="11.5" x14ac:dyDescent="0.25">
      <c r="A34" s="296" t="s">
        <v>300</v>
      </c>
    </row>
  </sheetData>
  <sheetProtection algorithmName="SHA-512" hashValue="dTLklf2y0gWIH4CqP0bOP4Z/HMTIwbrcX82xDvE9HfrBmlTK0epXPYSkJixKBgQdn+g+Wa5JRqJsk5XKhMaMWQ==" saltValue="bdSIdygLQ2ZTEXq1gJHLf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4"/>
  <sheetViews>
    <sheetView showGridLines="0" zoomScale="80" zoomScaleNormal="80" workbookViewId="0">
      <selection activeCell="D45" sqref="D45"/>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3" width="17" customWidth="1"/>
    <col min="14"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264</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76">
        <f ca="1">TODAY()</f>
        <v>45476</v>
      </c>
      <c r="B6" s="210" t="s">
        <v>265</v>
      </c>
      <c r="C6" s="274"/>
      <c r="D6" s="274"/>
      <c r="E6" s="274"/>
      <c r="F6" s="274"/>
      <c r="G6" s="274"/>
      <c r="H6" s="274"/>
      <c r="I6" s="274"/>
      <c r="J6" s="274"/>
      <c r="K6" s="274"/>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257</v>
      </c>
      <c r="F17" s="33"/>
      <c r="K17" s="31"/>
      <c r="L17" s="31"/>
      <c r="M17" s="31"/>
      <c r="N17" s="31"/>
    </row>
    <row r="18" spans="1:30" x14ac:dyDescent="0.25">
      <c r="A18" s="31" t="s">
        <v>256</v>
      </c>
      <c r="B18" s="31"/>
      <c r="C18" s="32"/>
      <c r="D18" s="32">
        <f>IF((D17-(ROUND(MAX(D14,D15)*0.5,1)))&lt;0,0,(D17-(ROUND(MAX(D14,D15)*0.5,1))))</f>
        <v>0</v>
      </c>
      <c r="E18" s="31" t="s">
        <v>260</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8" t="s">
        <v>15</v>
      </c>
      <c r="E20" s="508"/>
      <c r="F20" s="508"/>
      <c r="G20" s="508"/>
      <c r="H20" s="508"/>
      <c r="K20" s="31"/>
      <c r="L20" s="31"/>
      <c r="M20" s="31"/>
      <c r="N20" s="31"/>
      <c r="O20" s="50"/>
    </row>
    <row r="21" spans="1:30" ht="13" x14ac:dyDescent="0.3">
      <c r="A21" s="31" t="s">
        <v>15</v>
      </c>
      <c r="B21" s="31"/>
      <c r="C21" s="82" t="s">
        <v>15</v>
      </c>
      <c r="D21" s="508" t="s">
        <v>15</v>
      </c>
      <c r="E21" s="508"/>
      <c r="F21" s="508"/>
      <c r="G21" s="508"/>
      <c r="H21" s="508"/>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0" t="s">
        <v>68</v>
      </c>
      <c r="H23" s="491"/>
      <c r="I23" s="491"/>
      <c r="J23" s="492"/>
      <c r="K23" s="22"/>
      <c r="L23" s="493" t="s">
        <v>69</v>
      </c>
      <c r="M23" s="493"/>
      <c r="N23" s="493"/>
      <c r="O23" s="493"/>
    </row>
    <row r="24" spans="1:30" ht="13" x14ac:dyDescent="0.3">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261</v>
      </c>
      <c r="D28" s="49">
        <f>D18</f>
        <v>0</v>
      </c>
      <c r="E28" s="29" t="s">
        <v>259</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0" x14ac:dyDescent="0.25">
      <c r="A33" s="78" t="s">
        <v>79</v>
      </c>
      <c r="D33" s="1">
        <f>IF($C$16&lt;0,0,IF($C$16&gt;833000,833000,$C$16))</f>
        <v>0</v>
      </c>
      <c r="E33" s="35" t="s">
        <v>41</v>
      </c>
      <c r="F33" s="4" t="s">
        <v>8</v>
      </c>
      <c r="G33" s="83"/>
      <c r="H33" s="84"/>
      <c r="I33" s="103">
        <f>'Rider Rates'!$B$4</f>
        <v>5.9216E-3</v>
      </c>
      <c r="J33" s="6">
        <f>SUM(G33:I33)</f>
        <v>5.9216E-3</v>
      </c>
      <c r="K33" s="36" t="s">
        <v>42</v>
      </c>
      <c r="L33" s="87"/>
      <c r="M33" s="87"/>
      <c r="N33" s="87">
        <f>ROUND($D33*I33,2)</f>
        <v>0</v>
      </c>
      <c r="O33" s="87">
        <f>SUM(L33:N33)</f>
        <v>0</v>
      </c>
      <c r="P33" s="245">
        <f>'Rider Rates'!$D$4</f>
        <v>45293</v>
      </c>
    </row>
    <row r="34" spans="1:220"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45293</v>
      </c>
    </row>
    <row r="35" spans="1:220"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ht="13" x14ac:dyDescent="0.3">
      <c r="A38" s="241" t="s">
        <v>238</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5">
      <c r="A39" s="210" t="s">
        <v>187</v>
      </c>
      <c r="B39" s="78"/>
      <c r="C39" s="78"/>
      <c r="D39" s="100">
        <f>'Customer Info'!$B$21+'Customer Info'!$B$22-'Customer Info'!$B$23</f>
        <v>0</v>
      </c>
      <c r="E39" s="101" t="s">
        <v>41</v>
      </c>
      <c r="F39" s="102" t="s">
        <v>8</v>
      </c>
      <c r="G39" s="103">
        <f>'Rider Rates'!B25</f>
        <v>6.6629999999999995E-2</v>
      </c>
      <c r="H39" s="103"/>
      <c r="I39" s="103"/>
      <c r="J39" s="237">
        <f>SUM(G39:H39)</f>
        <v>6.6629999999999995E-2</v>
      </c>
      <c r="K39" s="104" t="s">
        <v>42</v>
      </c>
      <c r="L39" s="323">
        <f>ROUND(D39*G39,2)</f>
        <v>0</v>
      </c>
      <c r="M39" s="105"/>
      <c r="N39" s="105"/>
      <c r="O39" s="105">
        <f t="shared" si="0"/>
        <v>0</v>
      </c>
      <c r="P39" s="245">
        <f>'Rider Rates'!$D$23</f>
        <v>45444</v>
      </c>
    </row>
    <row r="40" spans="1:220" x14ac:dyDescent="0.25">
      <c r="A40" s="241" t="s">
        <v>162</v>
      </c>
      <c r="B40" s="78"/>
      <c r="C40" s="78"/>
      <c r="D40" s="100">
        <f>'Customer Info'!$B$21+'Customer Info'!$B$22-'Customer Info'!$B$23</f>
        <v>0</v>
      </c>
      <c r="E40" s="101" t="s">
        <v>41</v>
      </c>
      <c r="F40" s="102" t="s">
        <v>8</v>
      </c>
      <c r="G40" s="103">
        <f>'Rider Rates'!$B$38</f>
        <v>1.66E-3</v>
      </c>
      <c r="H40" s="103"/>
      <c r="I40" s="103"/>
      <c r="J40" s="237">
        <f>SUM(G40:H40)</f>
        <v>1.66E-3</v>
      </c>
      <c r="K40" s="104" t="s">
        <v>42</v>
      </c>
      <c r="L40" s="105">
        <f>ROUND(D40*G40,2)</f>
        <v>0</v>
      </c>
      <c r="M40" s="105"/>
      <c r="N40" s="105"/>
      <c r="O40" s="105">
        <f t="shared" si="0"/>
        <v>0</v>
      </c>
      <c r="P40" s="245">
        <f>'Rider Rates'!$D$38</f>
        <v>45444</v>
      </c>
    </row>
    <row r="41" spans="1:220" x14ac:dyDescent="0.25">
      <c r="A41" s="210" t="s">
        <v>194</v>
      </c>
      <c r="B41" s="78"/>
      <c r="C41" s="78"/>
      <c r="D41" s="100">
        <f>'Customer Info'!$B$21+'Customer Info'!$B$22-'Customer Info'!$B$23</f>
        <v>0</v>
      </c>
      <c r="E41" s="101" t="s">
        <v>41</v>
      </c>
      <c r="F41" s="102" t="s">
        <v>8</v>
      </c>
      <c r="G41" s="103">
        <f>'Rider Rates'!$B$45</f>
        <v>-3.1569999999999998E-4</v>
      </c>
      <c r="H41" s="103"/>
      <c r="I41" s="103"/>
      <c r="J41" s="237">
        <f>SUM(G41:H41)</f>
        <v>-3.1569999999999998E-4</v>
      </c>
      <c r="K41" s="104" t="s">
        <v>42</v>
      </c>
      <c r="L41" s="105">
        <f>ROUND(D41*G41,2)</f>
        <v>0</v>
      </c>
      <c r="M41" s="105"/>
      <c r="N41" s="105"/>
      <c r="O41" s="105">
        <f t="shared" si="0"/>
        <v>0</v>
      </c>
      <c r="P41" s="245">
        <f>'Rider Rates'!$D$45</f>
        <v>45383</v>
      </c>
    </row>
    <row r="42" spans="1:220" x14ac:dyDescent="0.25">
      <c r="A42" s="241" t="s">
        <v>211</v>
      </c>
      <c r="B42" s="78"/>
      <c r="C42" s="78"/>
      <c r="D42" s="1">
        <f>IF($C$16&lt;0,0,IF($C$16&gt;833000,833000,$C$16))</f>
        <v>0</v>
      </c>
      <c r="E42" s="101" t="s">
        <v>41</v>
      </c>
      <c r="F42" s="102" t="s">
        <v>8</v>
      </c>
      <c r="G42" s="103"/>
      <c r="H42" s="103"/>
      <c r="I42" s="103">
        <f>'Rider Rates'!D49</f>
        <v>1.8006999999999999E-3</v>
      </c>
      <c r="J42" s="103">
        <f>SUM(G42:I42)</f>
        <v>1.8006999999999999E-3</v>
      </c>
      <c r="K42" s="104" t="s">
        <v>42</v>
      </c>
      <c r="L42" s="105"/>
      <c r="M42" s="105"/>
      <c r="N42" s="87">
        <f>D42*J42</f>
        <v>0</v>
      </c>
      <c r="O42" s="105">
        <f t="shared" si="0"/>
        <v>0</v>
      </c>
      <c r="P42" s="245">
        <f>'Rider Rates'!E49</f>
        <v>45474</v>
      </c>
    </row>
    <row r="43" spans="1:220" x14ac:dyDescent="0.25">
      <c r="A43" s="210" t="s">
        <v>190</v>
      </c>
      <c r="B43" s="78"/>
      <c r="C43" s="78"/>
      <c r="D43" s="1">
        <f>IF($C$16&lt;0,0,$C$16)</f>
        <v>0</v>
      </c>
      <c r="E43" s="113" t="s">
        <v>41</v>
      </c>
      <c r="F43" s="102" t="s">
        <v>8</v>
      </c>
      <c r="G43" s="103"/>
      <c r="H43" s="103">
        <f>'Rider Rates'!$B$59</f>
        <v>5.7019999999999998E-4</v>
      </c>
      <c r="I43" s="103"/>
      <c r="J43" s="103">
        <f>SUM(G43:I43)</f>
        <v>5.7019999999999998E-4</v>
      </c>
      <c r="K43" s="104" t="s">
        <v>42</v>
      </c>
      <c r="L43" s="105"/>
      <c r="M43" s="105">
        <f>ROUND(D43*H43,2)</f>
        <v>0</v>
      </c>
      <c r="N43" s="205"/>
      <c r="O43" s="105">
        <f t="shared" si="0"/>
        <v>0</v>
      </c>
      <c r="P43" s="245">
        <f>'Rider Rates'!$D$59</f>
        <v>45383</v>
      </c>
    </row>
    <row r="44" spans="1:220" x14ac:dyDescent="0.25">
      <c r="A44" s="210" t="s">
        <v>190</v>
      </c>
      <c r="B44" s="78"/>
      <c r="C44" s="78"/>
      <c r="D44" s="49">
        <f>D14</f>
        <v>0</v>
      </c>
      <c r="E44" s="35" t="s">
        <v>64</v>
      </c>
      <c r="F44" s="4" t="s">
        <v>8</v>
      </c>
      <c r="G44" s="103"/>
      <c r="H44" s="239">
        <f>'Rider Rates'!$B$64</f>
        <v>7.45</v>
      </c>
      <c r="I44" s="103"/>
      <c r="J44" s="239">
        <f>SUM(G44:I44)</f>
        <v>7.45</v>
      </c>
      <c r="K44" s="104" t="s">
        <v>44</v>
      </c>
      <c r="L44" s="105"/>
      <c r="M44" s="105">
        <f>ROUND(D44*H44,2)</f>
        <v>0</v>
      </c>
      <c r="N44" s="205"/>
      <c r="O44" s="105">
        <f t="shared" si="0"/>
        <v>0</v>
      </c>
      <c r="P44" s="245">
        <f>'Rider Rates'!$D$64</f>
        <v>45383</v>
      </c>
    </row>
    <row r="45" spans="1:220" x14ac:dyDescent="0.25">
      <c r="A45" s="99" t="s">
        <v>83</v>
      </c>
      <c r="B45" s="78"/>
      <c r="C45" s="78"/>
      <c r="D45" s="1">
        <f>IF('Customer Info'!C34=TRUE,0,IF($C$16&lt;0,0,$C$16))</f>
        <v>0</v>
      </c>
      <c r="E45" s="101" t="s">
        <v>41</v>
      </c>
      <c r="F45" s="102" t="s">
        <v>8</v>
      </c>
      <c r="G45" s="103"/>
      <c r="H45" s="103"/>
      <c r="I45" s="103">
        <f>'Rider Rates'!$B$69+'Rider Rates'!$C$69</f>
        <v>0</v>
      </c>
      <c r="J45" s="103">
        <f>SUM(G45:I45)</f>
        <v>0</v>
      </c>
      <c r="K45" s="104" t="s">
        <v>42</v>
      </c>
      <c r="L45" s="105"/>
      <c r="M45" s="105"/>
      <c r="N45" s="87">
        <f>ROUND($D$45*'Rider Rates'!$B$69,2)+ROUND($D$45*'Rider Rates'!$C$69,2)</f>
        <v>0</v>
      </c>
      <c r="O45" s="209">
        <f t="shared" ref="O45:O52" si="1">SUM(L45:N45)</f>
        <v>0</v>
      </c>
      <c r="P45" s="245">
        <f>'Rider Rates'!$D$69</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83</v>
      </c>
      <c r="B46" s="78"/>
      <c r="C46" s="78"/>
      <c r="D46" s="49">
        <f>IF('Customer Info'!C34=TRUE,0,$D$27)</f>
        <v>0</v>
      </c>
      <c r="E46" s="101" t="s">
        <v>45</v>
      </c>
      <c r="F46" s="102" t="s">
        <v>8</v>
      </c>
      <c r="G46" s="103"/>
      <c r="H46" s="103"/>
      <c r="I46" s="239">
        <f>'Rider Rates'!$B$79</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ht="13" x14ac:dyDescent="0.3">
      <c r="A47" s="99" t="s">
        <v>81</v>
      </c>
      <c r="B47" s="78"/>
      <c r="C47" s="78"/>
      <c r="D47" s="208">
        <f>$N$29</f>
        <v>825</v>
      </c>
      <c r="E47" s="101" t="s">
        <v>122</v>
      </c>
      <c r="F47" s="102" t="s">
        <v>8</v>
      </c>
      <c r="G47" s="111"/>
      <c r="H47" s="112"/>
      <c r="I47" s="120">
        <f>'Rider Rates'!$B$83</f>
        <v>2.9347000000000002E-2</v>
      </c>
      <c r="J47" s="120">
        <f>SUM(H47:I47)</f>
        <v>2.9347000000000002E-2</v>
      </c>
      <c r="K47" s="104"/>
      <c r="L47" s="105"/>
      <c r="M47" s="105"/>
      <c r="N47" s="105">
        <f>ROUND(N$29*I47,2)</f>
        <v>24.21</v>
      </c>
      <c r="O47" s="209">
        <f t="shared" si="1"/>
        <v>24.21</v>
      </c>
      <c r="P47" s="245">
        <f>'Rider Rates'!$D$83</f>
        <v>45383</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ht="13" x14ac:dyDescent="0.3">
      <c r="A48" s="99" t="s">
        <v>82</v>
      </c>
      <c r="B48" s="78"/>
      <c r="C48" s="78"/>
      <c r="D48" s="208">
        <f>$N$29</f>
        <v>825</v>
      </c>
      <c r="E48" s="101" t="s">
        <v>122</v>
      </c>
      <c r="F48" s="102" t="s">
        <v>8</v>
      </c>
      <c r="G48" s="114"/>
      <c r="H48" s="115"/>
      <c r="I48" s="120">
        <f>'Rider Rates'!$B$85</f>
        <v>6.6985699999999995E-2</v>
      </c>
      <c r="J48" s="120">
        <f>SUM(H48:I48)</f>
        <v>6.6985699999999995E-2</v>
      </c>
      <c r="K48" s="104"/>
      <c r="L48" s="105"/>
      <c r="M48" s="105"/>
      <c r="N48" s="105">
        <f>ROUND(N$29*I48,2)</f>
        <v>55.26</v>
      </c>
      <c r="O48" s="209">
        <f t="shared" si="1"/>
        <v>55.26</v>
      </c>
      <c r="P48" s="245">
        <f>'Rider Rates'!$D$85</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ht="13" x14ac:dyDescent="0.3">
      <c r="A49" s="210" t="s">
        <v>207</v>
      </c>
      <c r="B49" s="78"/>
      <c r="C49" s="78"/>
      <c r="D49" s="195"/>
      <c r="E49" s="113" t="s">
        <v>115</v>
      </c>
      <c r="F49" s="106"/>
      <c r="G49" s="114"/>
      <c r="H49" s="115"/>
      <c r="I49" s="196">
        <f>'Rider Rates'!$B$89</f>
        <v>11.97</v>
      </c>
      <c r="J49" s="196">
        <f>SUM(G49:I49)</f>
        <v>11.97</v>
      </c>
      <c r="K49" s="104"/>
      <c r="L49" s="105"/>
      <c r="M49" s="105"/>
      <c r="N49" s="105">
        <f>I49</f>
        <v>11.97</v>
      </c>
      <c r="O49" s="105">
        <f>SUM(L49:N49)</f>
        <v>11.97</v>
      </c>
      <c r="P49" s="245">
        <f>'Rider Rates'!$D$89</f>
        <v>45442</v>
      </c>
    </row>
    <row r="50" spans="1:221" x14ac:dyDescent="0.25">
      <c r="A50" s="241" t="s">
        <v>252</v>
      </c>
      <c r="B50" s="78"/>
      <c r="C50" s="78"/>
      <c r="D50" s="1">
        <f>$D$33</f>
        <v>0</v>
      </c>
      <c r="E50" s="101" t="s">
        <v>41</v>
      </c>
      <c r="F50" s="102" t="s">
        <v>8</v>
      </c>
      <c r="G50" s="103"/>
      <c r="H50" s="103"/>
      <c r="I50" s="103"/>
      <c r="J50" s="103">
        <f>'Rider Rates'!$B$94</f>
        <v>0</v>
      </c>
      <c r="K50" s="104" t="s">
        <v>42</v>
      </c>
      <c r="L50" s="105"/>
      <c r="M50" s="105"/>
      <c r="N50" s="87"/>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253</v>
      </c>
      <c r="B51" s="78"/>
      <c r="C51" s="78"/>
      <c r="D51" s="1">
        <f>$D$34</f>
        <v>0</v>
      </c>
      <c r="E51" s="101" t="s">
        <v>41</v>
      </c>
      <c r="F51" s="102" t="s">
        <v>8</v>
      </c>
      <c r="G51" s="103"/>
      <c r="H51" s="103"/>
      <c r="I51" s="103"/>
      <c r="J51" s="103">
        <f>'Rider Rates'!$B$95</f>
        <v>0</v>
      </c>
      <c r="K51" s="104" t="s">
        <v>42</v>
      </c>
      <c r="L51" s="105"/>
      <c r="M51" s="105"/>
      <c r="N51" s="87"/>
      <c r="O51" s="105">
        <f>ROUND($D51*('Rider Rates'!B$95),2)</f>
        <v>0</v>
      </c>
      <c r="P51" s="245">
        <f>'Rider Rates'!$D$95</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99" t="s">
        <v>157</v>
      </c>
      <c r="B52" s="78"/>
      <c r="C52" s="78"/>
      <c r="D52" s="208">
        <f>$N$29</f>
        <v>825</v>
      </c>
      <c r="E52" s="101" t="s">
        <v>122</v>
      </c>
      <c r="F52" s="102" t="s">
        <v>8</v>
      </c>
      <c r="G52" s="114"/>
      <c r="H52" s="115"/>
      <c r="I52" s="120">
        <f>'Rider Rates'!$B$103</f>
        <v>0.21398439999999999</v>
      </c>
      <c r="J52" s="120">
        <f>SUM(H52:I52)</f>
        <v>0.21398439999999999</v>
      </c>
      <c r="K52" s="104"/>
      <c r="L52" s="105"/>
      <c r="M52" s="105"/>
      <c r="N52" s="105">
        <f>ROUND(N$29*I52,2)</f>
        <v>176.54</v>
      </c>
      <c r="O52" s="105">
        <f t="shared" si="1"/>
        <v>176.54</v>
      </c>
      <c r="P52" s="245">
        <f>'Rider Rates'!$D$103</f>
        <v>45351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210" t="s">
        <v>210</v>
      </c>
      <c r="B53" s="78"/>
      <c r="C53" s="78"/>
      <c r="D53" s="195"/>
      <c r="E53" s="113" t="s">
        <v>115</v>
      </c>
      <c r="F53" s="106"/>
      <c r="G53" s="114"/>
      <c r="H53" s="115"/>
      <c r="I53" s="196">
        <f>'Rider Rates'!$B$107</f>
        <v>0</v>
      </c>
      <c r="J53" s="196">
        <f>SUM(G53:I53)</f>
        <v>0</v>
      </c>
      <c r="K53" s="104"/>
      <c r="L53" s="105"/>
      <c r="M53" s="105"/>
      <c r="N53" s="105">
        <f>I53</f>
        <v>0</v>
      </c>
      <c r="O53" s="105">
        <f t="shared" ref="O53:O58" si="2">SUM(L53:N53)</f>
        <v>0</v>
      </c>
      <c r="P53" s="245">
        <f>'Rider Rates'!$D$107</f>
        <v>44894</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210" t="s">
        <v>218</v>
      </c>
      <c r="B54" s="78"/>
      <c r="C54" s="78"/>
      <c r="D54" s="195"/>
      <c r="E54" s="113" t="s">
        <v>115</v>
      </c>
      <c r="F54" s="106"/>
      <c r="G54" s="114"/>
      <c r="H54" s="115"/>
      <c r="I54" s="258">
        <f>'Rider Rates'!B120</f>
        <v>5.83</v>
      </c>
      <c r="J54" s="196">
        <f>SUM(G54:I54)</f>
        <v>5.83</v>
      </c>
      <c r="K54" s="104"/>
      <c r="L54" s="105"/>
      <c r="M54" s="105"/>
      <c r="N54" s="260">
        <f>I54</f>
        <v>5.83</v>
      </c>
      <c r="O54" s="105">
        <f t="shared" si="2"/>
        <v>5.83</v>
      </c>
      <c r="P54" s="245">
        <f>'Rider Rates'!D120</f>
        <v>45226</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158</v>
      </c>
      <c r="B55" s="78"/>
      <c r="C55" s="78"/>
      <c r="D55" s="100">
        <f>IF('Customer Info'!$C$32=TRUE,0,'Customer Info'!$B$21+'Customer Info'!$B$22-'Customer Info'!$B$23)</f>
        <v>0</v>
      </c>
      <c r="E55" s="101" t="s">
        <v>41</v>
      </c>
      <c r="F55" s="102" t="s">
        <v>8</v>
      </c>
      <c r="G55" s="103">
        <f>'Rider Rates'!$B$112</f>
        <v>3.6865999999999999E-3</v>
      </c>
      <c r="H55" s="103"/>
      <c r="I55" s="120"/>
      <c r="J55" s="237">
        <f>SUM(G55:H55)</f>
        <v>3.6865999999999999E-3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209</v>
      </c>
      <c r="B56" s="78"/>
      <c r="C56" s="78"/>
      <c r="D56" s="1">
        <f>IF($C$16&lt;1,0,$C$16)</f>
        <v>0</v>
      </c>
      <c r="E56" s="101" t="s">
        <v>41</v>
      </c>
      <c r="F56" s="249" t="s">
        <v>8</v>
      </c>
      <c r="G56" s="165"/>
      <c r="H56" s="165"/>
      <c r="I56" s="251">
        <f>'Rider Rates'!B116</f>
        <v>-6.2E-4</v>
      </c>
      <c r="J56" s="251">
        <f>SUM(G56:I56)</f>
        <v>-6.2E-4</v>
      </c>
      <c r="K56" s="104" t="s">
        <v>42</v>
      </c>
      <c r="L56" s="105"/>
      <c r="M56" s="105"/>
      <c r="N56" s="105">
        <f>D56*I56</f>
        <v>0</v>
      </c>
      <c r="O56" s="105">
        <f t="shared" si="2"/>
        <v>0</v>
      </c>
      <c r="P56" s="245">
        <f>'Rider Rates'!D116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234</v>
      </c>
      <c r="B57" s="78"/>
      <c r="C57" s="78"/>
      <c r="D57" s="100">
        <f>IF(C16&lt;0,0,IF(C16&gt;833000,833000,C16))</f>
        <v>0</v>
      </c>
      <c r="E57" s="101" t="s">
        <v>41</v>
      </c>
      <c r="F57" s="102" t="s">
        <v>8</v>
      </c>
      <c r="G57" s="265"/>
      <c r="H57" s="265"/>
      <c r="I57" s="265">
        <f>'Rider Rates'!$B$124</f>
        <v>2.9050000000000001E-4</v>
      </c>
      <c r="J57" s="265">
        <f>SUM(G57:I57)</f>
        <v>2.9050000000000001E-4</v>
      </c>
      <c r="K57" s="104" t="s">
        <v>42</v>
      </c>
      <c r="L57" s="266"/>
      <c r="M57" s="266"/>
      <c r="N57" s="266">
        <f>IF(D57*J57&gt;'Rider Rates'!$C$124,'Rider Rates'!$C$124,D57*J57)</f>
        <v>0</v>
      </c>
      <c r="O57" s="266">
        <f t="shared" si="2"/>
        <v>0</v>
      </c>
      <c r="P57" s="264">
        <f>'Rider Rates'!$E$124</f>
        <v>45292</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235</v>
      </c>
      <c r="B58" s="78"/>
      <c r="C58" s="78"/>
      <c r="D58" s="123">
        <f>IF(C16&gt;833000,C16-833000,0)</f>
        <v>0</v>
      </c>
      <c r="E58" s="101" t="s">
        <v>41</v>
      </c>
      <c r="F58" s="102" t="s">
        <v>8</v>
      </c>
      <c r="G58" s="265"/>
      <c r="H58" s="265"/>
      <c r="I58" s="265">
        <f>'Rider Rates'!$B$125</f>
        <v>0</v>
      </c>
      <c r="J58" s="265">
        <f>SUM(G58:I58)</f>
        <v>0</v>
      </c>
      <c r="K58" s="104" t="s">
        <v>42</v>
      </c>
      <c r="L58" s="266"/>
      <c r="M58" s="266"/>
      <c r="N58" s="266">
        <f>D58*J58</f>
        <v>0</v>
      </c>
      <c r="O58" s="266">
        <f t="shared" si="2"/>
        <v>0</v>
      </c>
      <c r="P58" s="264">
        <f>'Rider Rates'!$E$125</f>
        <v>44927</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243</v>
      </c>
      <c r="B59" s="78"/>
      <c r="C59" s="78"/>
      <c r="D59" s="100">
        <f>D16</f>
        <v>0</v>
      </c>
      <c r="E59" s="101" t="s">
        <v>41</v>
      </c>
      <c r="F59" s="249" t="s">
        <v>8</v>
      </c>
      <c r="G59" s="103"/>
      <c r="H59" s="103"/>
      <c r="I59" s="103">
        <f>'Rider Rates'!$B$131</f>
        <v>0</v>
      </c>
      <c r="J59" s="237">
        <f>SUM(G59:I59)</f>
        <v>0</v>
      </c>
      <c r="K59" s="104" t="s">
        <v>42</v>
      </c>
      <c r="L59" s="105"/>
      <c r="M59" s="105"/>
      <c r="N59" s="105">
        <f>D59*J59</f>
        <v>0</v>
      </c>
      <c r="O59" s="105">
        <f>SUM(L59:N59)</f>
        <v>0</v>
      </c>
      <c r="P59" s="245">
        <f>'Rider Rates'!$D$129</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242</v>
      </c>
      <c r="B60" s="78"/>
      <c r="C60" s="78"/>
      <c r="D60" s="100"/>
      <c r="E60" s="101" t="s">
        <v>115</v>
      </c>
      <c r="F60" s="102" t="s">
        <v>8</v>
      </c>
      <c r="G60" s="263"/>
      <c r="H60" s="263"/>
      <c r="I60" s="263">
        <f>'Rider Rates'!$B$136</f>
        <v>0</v>
      </c>
      <c r="J60" s="263">
        <f>SUM(G60:I60)</f>
        <v>0</v>
      </c>
      <c r="K60" s="104"/>
      <c r="L60" s="209"/>
      <c r="M60" s="209"/>
      <c r="N60" s="209">
        <f>J60</f>
        <v>0</v>
      </c>
      <c r="O60" s="209">
        <f>SUM(L60:N60)</f>
        <v>0</v>
      </c>
      <c r="P60" s="264">
        <f>'Rider Rates'!$D$136</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244</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179" t="s">
        <v>71</v>
      </c>
      <c r="B62" s="148"/>
      <c r="C62" s="148"/>
      <c r="D62" s="180"/>
      <c r="E62" s="181"/>
      <c r="F62" s="182"/>
      <c r="G62" s="182"/>
      <c r="H62" s="182"/>
      <c r="I62" s="182"/>
      <c r="J62" s="182"/>
      <c r="K62" s="183"/>
      <c r="L62" s="169">
        <f>SUM(L33:L61)</f>
        <v>0</v>
      </c>
      <c r="M62" s="169">
        <f t="shared" ref="M62:O62" si="3">SUM(M33:M61)</f>
        <v>0</v>
      </c>
      <c r="N62" s="169">
        <f t="shared" si="3"/>
        <v>273.81</v>
      </c>
      <c r="O62" s="169">
        <f t="shared" si="3"/>
        <v>273.81</v>
      </c>
      <c r="P62" s="184"/>
    </row>
    <row r="63" spans="1:221" ht="13" x14ac:dyDescent="0.3">
      <c r="A63" s="37"/>
      <c r="D63" s="1"/>
      <c r="E63" s="35"/>
      <c r="F63" s="4"/>
      <c r="G63" s="42"/>
      <c r="H63" s="42"/>
      <c r="I63" s="42"/>
      <c r="J63" s="42"/>
      <c r="K63" s="36"/>
      <c r="L63" s="36"/>
      <c r="M63" s="36"/>
      <c r="N63" s="36"/>
      <c r="O63" s="34"/>
      <c r="P63" s="36"/>
    </row>
    <row r="64" spans="1:221" ht="13" x14ac:dyDescent="0.3">
      <c r="A64" s="81" t="s">
        <v>72</v>
      </c>
      <c r="B64" s="92"/>
      <c r="C64" s="92"/>
      <c r="D64" s="92"/>
      <c r="E64" s="92"/>
      <c r="F64" s="92"/>
      <c r="G64" s="92"/>
      <c r="H64" s="92"/>
      <c r="I64" s="92"/>
      <c r="J64" s="92"/>
      <c r="K64" s="92"/>
      <c r="L64" s="98">
        <f>L29+L62</f>
        <v>0</v>
      </c>
      <c r="M64" s="98">
        <f>M29+M62</f>
        <v>0</v>
      </c>
      <c r="N64" s="98">
        <f>N29+N62</f>
        <v>1098.81</v>
      </c>
      <c r="O64" s="98">
        <f>O29+O62</f>
        <v>1098.81</v>
      </c>
      <c r="P64" s="98"/>
    </row>
    <row r="65" spans="1:16" ht="13" x14ac:dyDescent="0.3">
      <c r="A65" s="37"/>
      <c r="B65" s="37"/>
      <c r="C65" s="37"/>
      <c r="D65" s="37"/>
      <c r="E65" s="37"/>
      <c r="F65" s="37"/>
      <c r="G65" s="37"/>
      <c r="H65" s="37"/>
      <c r="I65" s="37"/>
      <c r="J65" s="37"/>
      <c r="K65" s="37"/>
      <c r="L65" s="37"/>
      <c r="M65" s="37"/>
      <c r="N65" s="37"/>
      <c r="O65" s="40"/>
      <c r="P65" s="40"/>
    </row>
    <row r="66" spans="1:16" ht="13" x14ac:dyDescent="0.3">
      <c r="A66" s="37" t="s">
        <v>37</v>
      </c>
      <c r="B66" s="37"/>
      <c r="C66" s="37"/>
      <c r="D66" s="37"/>
      <c r="E66" s="37"/>
      <c r="F66" s="37"/>
      <c r="G66" s="37"/>
      <c r="H66" s="37"/>
      <c r="I66" s="37"/>
      <c r="J66" s="37"/>
      <c r="K66" s="37"/>
      <c r="L66" s="37"/>
      <c r="M66" s="37"/>
      <c r="N66" s="37"/>
      <c r="O66" s="45">
        <f>O25+O27+O62</f>
        <v>1098.81</v>
      </c>
      <c r="P66" s="245">
        <v>40967</v>
      </c>
    </row>
    <row r="67" spans="1:16" ht="13" x14ac:dyDescent="0.3">
      <c r="A67" s="37"/>
      <c r="B67" s="37"/>
      <c r="C67" s="37"/>
      <c r="D67" s="37"/>
      <c r="E67" s="37"/>
      <c r="F67" s="37"/>
      <c r="G67" s="46"/>
      <c r="H67" s="46"/>
      <c r="I67" s="46"/>
      <c r="J67" s="46"/>
      <c r="K67" s="36"/>
      <c r="L67" s="36"/>
      <c r="M67" s="36"/>
      <c r="N67" s="36"/>
      <c r="O67" s="40"/>
    </row>
    <row r="68" spans="1:16" ht="13" x14ac:dyDescent="0.3">
      <c r="A68" s="41" t="s">
        <v>117</v>
      </c>
      <c r="B68" s="37"/>
      <c r="C68" s="37"/>
      <c r="D68" s="37"/>
      <c r="E68" s="37"/>
      <c r="F68" s="37"/>
      <c r="G68" s="46"/>
      <c r="H68" s="46"/>
      <c r="I68" s="46"/>
      <c r="J68" s="46"/>
      <c r="K68" s="36"/>
      <c r="L68" s="36"/>
      <c r="M68" s="36"/>
      <c r="N68" s="36"/>
      <c r="O68" s="138">
        <f>MAX($O$64,$O$66)</f>
        <v>1098.81</v>
      </c>
    </row>
    <row r="69" spans="1:16" ht="13" x14ac:dyDescent="0.3">
      <c r="A69" s="37"/>
      <c r="B69" s="37"/>
      <c r="C69" s="37"/>
      <c r="D69" s="37"/>
      <c r="E69" s="37"/>
      <c r="F69" s="37"/>
      <c r="G69" s="46"/>
      <c r="H69" s="46"/>
      <c r="I69" s="46"/>
      <c r="J69" s="46"/>
      <c r="K69" s="36"/>
      <c r="L69" s="36"/>
      <c r="M69" s="36"/>
      <c r="N69" s="36"/>
      <c r="O69" s="40"/>
    </row>
    <row r="70" spans="1:16" ht="13" x14ac:dyDescent="0.3">
      <c r="A70" s="37"/>
      <c r="B70" s="37"/>
      <c r="C70" s="37"/>
      <c r="D70" s="37"/>
      <c r="E70" s="37"/>
      <c r="F70" s="37"/>
      <c r="G70" s="96" t="s">
        <v>86</v>
      </c>
      <c r="H70" s="46"/>
      <c r="I70" s="37"/>
      <c r="J70" s="46"/>
      <c r="K70" s="36"/>
      <c r="L70" s="191"/>
      <c r="M70" s="191"/>
      <c r="N70" s="191"/>
      <c r="O70" s="191">
        <f>ROUND(IF($C$16&lt;1,0,$O$68/($C$16*100)*10000),2)</f>
        <v>0</v>
      </c>
      <c r="P70" s="37" t="s">
        <v>87</v>
      </c>
    </row>
    <row r="71" spans="1:16" ht="13" x14ac:dyDescent="0.3">
      <c r="A71" s="37"/>
      <c r="B71" s="37"/>
      <c r="C71" s="37"/>
      <c r="D71" s="37"/>
      <c r="E71" s="37"/>
      <c r="F71" s="37"/>
      <c r="G71" s="242" t="s">
        <v>191</v>
      </c>
      <c r="H71" s="136"/>
      <c r="I71" s="133"/>
      <c r="J71" s="136"/>
      <c r="K71" s="137"/>
      <c r="L71" s="78"/>
      <c r="M71" s="78"/>
      <c r="N71" s="78"/>
      <c r="O71" s="243">
        <f>ROUND(IF($C$16&lt;1,0,(L64)/($C$16*100)*10000),2)</f>
        <v>0</v>
      </c>
      <c r="P71" s="25" t="s">
        <v>87</v>
      </c>
    </row>
    <row r="72" spans="1:16" ht="13" x14ac:dyDescent="0.3">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ht="13" x14ac:dyDescent="0.3">
      <c r="A74" s="37"/>
      <c r="B74" s="37"/>
      <c r="C74" s="37"/>
      <c r="D74" s="54"/>
      <c r="E74" s="3"/>
      <c r="F74" s="4"/>
      <c r="G74" s="55"/>
      <c r="H74" s="55"/>
      <c r="I74" s="93"/>
      <c r="J74" s="55"/>
      <c r="K74" s="37"/>
      <c r="L74" s="37"/>
      <c r="M74" s="37"/>
      <c r="N74" s="37"/>
      <c r="O74" s="40"/>
    </row>
    <row r="75" spans="1:16" ht="13" x14ac:dyDescent="0.3">
      <c r="A75" s="37"/>
      <c r="B75" s="37"/>
      <c r="C75" s="37"/>
      <c r="D75" s="54"/>
      <c r="E75" s="3"/>
      <c r="F75" s="4"/>
      <c r="G75" s="55"/>
      <c r="H75" s="55"/>
      <c r="I75" s="55"/>
      <c r="J75" s="55"/>
      <c r="K75" s="37"/>
      <c r="L75" s="37"/>
      <c r="M75" s="37"/>
      <c r="N75" s="37"/>
      <c r="O75" s="40"/>
    </row>
    <row r="76" spans="1:16" ht="13" x14ac:dyDescent="0.3">
      <c r="A76" s="41"/>
      <c r="B76" s="37"/>
      <c r="C76" s="37"/>
      <c r="D76" s="37"/>
      <c r="E76" s="37"/>
      <c r="F76" s="37"/>
      <c r="G76" s="37"/>
      <c r="H76" s="37"/>
      <c r="J76" s="37"/>
      <c r="K76" s="37"/>
      <c r="L76" s="40"/>
      <c r="M76" s="40"/>
      <c r="N76" s="40"/>
      <c r="O76" s="138"/>
    </row>
    <row r="77" spans="1:16" ht="13" x14ac:dyDescent="0.3">
      <c r="B77" s="37"/>
      <c r="C77" s="37"/>
      <c r="D77" s="37"/>
      <c r="E77" s="37"/>
      <c r="F77" s="37"/>
      <c r="G77" s="96"/>
      <c r="H77" s="37"/>
      <c r="I77" s="37"/>
      <c r="J77" s="37"/>
      <c r="K77" s="37"/>
      <c r="L77" s="60"/>
      <c r="M77" s="60"/>
      <c r="N77" s="60"/>
      <c r="O77" s="130"/>
      <c r="P77" s="37"/>
    </row>
    <row r="78" spans="1:16" ht="13" x14ac:dyDescent="0.3">
      <c r="G78" s="133"/>
      <c r="H78" s="56"/>
      <c r="I78" s="133"/>
      <c r="J78" s="56"/>
      <c r="K78" s="56"/>
      <c r="L78" s="134"/>
      <c r="M78" s="134"/>
      <c r="N78" s="134"/>
      <c r="O78" s="135"/>
      <c r="P78" s="25"/>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row r="94" spans="1:1" x14ac:dyDescent="0.25">
      <c r="A94" s="478"/>
    </row>
  </sheetData>
  <sheetProtection algorithmName="SHA-512" hashValue="IyP5kEkr1DMv0NxmwQVbIvsLE09H2zIHYn0X2mVQ8+nKwe2MJIiPyW+lV05UaRj1JjF0YK+01UjiptVLBo5UVw==" saltValue="dacxL5mjg8CFK4ozDMvMHw==" spinCount="100000" sheet="1" objects="1" scenarios="1"/>
  <mergeCells count="26">
    <mergeCell ref="A80:A94"/>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412750</xdr:colOff>
                    <xdr:row>88</xdr:row>
                    <xdr:rowOff>76200</xdr:rowOff>
                  </from>
                  <to>
                    <xdr:col>16</xdr:col>
                    <xdr:colOff>38100</xdr:colOff>
                    <xdr:row>89</xdr:row>
                    <xdr:rowOff>133350</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zoomScale="80" zoomScaleNormal="80" workbookViewId="0">
      <selection activeCell="H40" sqref="H40"/>
    </sheetView>
  </sheetViews>
  <sheetFormatPr defaultRowHeight="12.5" x14ac:dyDescent="0.25"/>
  <cols>
    <col min="1" max="1" width="39" customWidth="1"/>
    <col min="2" max="2" width="2.54296875" customWidth="1"/>
    <col min="3" max="3" width="13.54296875" customWidth="1"/>
    <col min="4" max="4" width="15.26953125" customWidth="1"/>
    <col min="5" max="5" width="9.7265625" customWidth="1"/>
    <col min="6" max="6" width="2.7265625" customWidth="1"/>
    <col min="7" max="8" width="13.26953125" customWidth="1"/>
    <col min="9" max="9" width="14.54296875" customWidth="1"/>
    <col min="10" max="10" width="13.26953125" customWidth="1"/>
    <col min="11" max="11" width="6.54296875" customWidth="1"/>
    <col min="12" max="12" width="15.1796875" customWidth="1"/>
    <col min="13" max="13" width="17.26953125" bestFit="1" customWidth="1"/>
    <col min="14" max="14" width="17.453125" customWidth="1"/>
    <col min="15" max="15" width="17.26953125" bestFit="1" customWidth="1"/>
    <col min="16" max="16" width="13" customWidth="1"/>
    <col min="17" max="17" width="12.81640625" bestFit="1" customWidth="1"/>
    <col min="18" max="18" width="10.54296875" hidden="1" customWidth="1"/>
    <col min="19" max="19" width="10.26953125" hidden="1" customWidth="1"/>
    <col min="20" max="23" width="10.81640625" hidden="1" customWidth="1"/>
    <col min="24" max="26" width="10.26953125" hidden="1" customWidth="1"/>
    <col min="27" max="27" width="10.54296875" hidden="1" customWidth="1"/>
    <col min="28" max="28" width="10.81640625" hidden="1" customWidth="1"/>
    <col min="29" max="30" width="10" hidden="1" customWidth="1"/>
    <col min="31" max="31" width="9.1796875" customWidth="1"/>
    <col min="32" max="32" width="10.26953125" customWidth="1"/>
    <col min="33" max="33" width="10.81640625" customWidth="1"/>
    <col min="34" max="34" width="10.26953125" customWidth="1"/>
  </cols>
  <sheetData>
    <row r="1" spans="1:59" ht="20" x14ac:dyDescent="0.4">
      <c r="A1" s="480" t="s">
        <v>120</v>
      </c>
      <c r="B1" s="480"/>
      <c r="C1" s="480"/>
      <c r="D1" s="480"/>
      <c r="E1" s="480"/>
      <c r="F1" s="480"/>
      <c r="G1" s="480"/>
      <c r="H1" s="480"/>
      <c r="I1" s="480"/>
      <c r="J1" s="480"/>
      <c r="K1" s="480"/>
      <c r="L1" s="480"/>
      <c r="M1" s="480"/>
      <c r="N1" s="480"/>
      <c r="O1" s="480"/>
      <c r="P1" s="480"/>
      <c r="Q1" s="197"/>
    </row>
    <row r="2" spans="1:59" ht="18" customHeight="1" x14ac:dyDescent="0.25">
      <c r="A2" s="489" t="s">
        <v>267</v>
      </c>
      <c r="B2" s="489"/>
      <c r="C2" s="489"/>
      <c r="D2" s="489"/>
      <c r="E2" s="489"/>
      <c r="F2" s="489"/>
      <c r="G2" s="489"/>
      <c r="H2" s="489"/>
      <c r="I2" s="489"/>
      <c r="J2" s="489"/>
      <c r="K2" s="489"/>
      <c r="L2" s="489"/>
      <c r="M2" s="489"/>
      <c r="N2" s="489"/>
      <c r="O2" s="489"/>
      <c r="P2" s="489"/>
    </row>
    <row r="3" spans="1:59" ht="18" x14ac:dyDescent="0.4">
      <c r="A3" s="489"/>
      <c r="B3" s="489"/>
      <c r="C3" s="489"/>
      <c r="D3" s="489"/>
      <c r="E3" s="489"/>
      <c r="F3" s="489"/>
      <c r="G3" s="489"/>
      <c r="H3" s="489"/>
      <c r="I3" s="489"/>
      <c r="J3" s="489"/>
      <c r="K3" s="489"/>
      <c r="L3" s="489"/>
      <c r="M3" s="489"/>
      <c r="N3" s="489"/>
      <c r="O3" s="489"/>
      <c r="P3" s="489"/>
      <c r="Q3" s="198"/>
    </row>
    <row r="4" spans="1:59" ht="15.5" x14ac:dyDescent="0.3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45476</v>
      </c>
      <c r="B6" s="488" t="s">
        <v>266</v>
      </c>
      <c r="C6" s="488"/>
      <c r="D6" s="488"/>
      <c r="E6" s="488"/>
      <c r="F6" s="488"/>
      <c r="G6" s="488"/>
      <c r="H6" s="488"/>
      <c r="I6" s="488"/>
      <c r="J6" s="488"/>
      <c r="K6" s="488"/>
      <c r="L6" s="488"/>
      <c r="M6" s="488"/>
      <c r="N6" s="488"/>
      <c r="O6" s="488"/>
    </row>
    <row r="7" spans="1:59" x14ac:dyDescent="0.25">
      <c r="A7" s="479" t="s">
        <v>15</v>
      </c>
      <c r="B7" s="479"/>
      <c r="C7" s="479"/>
      <c r="D7" s="479"/>
      <c r="E7" s="479"/>
      <c r="F7" s="479"/>
      <c r="G7" s="479"/>
      <c r="H7" s="479"/>
      <c r="I7" s="479"/>
      <c r="J7" s="479"/>
      <c r="K7" s="479"/>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7</v>
      </c>
      <c r="C11" s="194" t="str">
        <f>LOOKUP($B$11,$S$11:$AD$11,S12:AD12)</f>
        <v>July</v>
      </c>
      <c r="D11" s="133">
        <f>'Customer Info'!C9</f>
        <v>2024</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178</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5.9216E-3</v>
      </c>
      <c r="J31" s="103">
        <f t="shared" ref="J31:J45" si="0">SUM(G31:I31)</f>
        <v>5.9216E-3</v>
      </c>
      <c r="K31" s="104" t="s">
        <v>42</v>
      </c>
      <c r="L31" s="105"/>
      <c r="M31" s="105"/>
      <c r="N31" s="105">
        <f t="shared" ref="N31:N37" si="1">ROUND(D31*I31,2)</f>
        <v>0</v>
      </c>
      <c r="O31" s="250">
        <f t="shared" ref="O31:O48"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160</v>
      </c>
      <c r="B37" s="78"/>
      <c r="C37" s="78"/>
      <c r="D37" s="100">
        <f>IF($D$17&lt;0,0,$D$17)</f>
        <v>0</v>
      </c>
      <c r="E37" s="101" t="s">
        <v>41</v>
      </c>
      <c r="F37" s="102" t="s">
        <v>8</v>
      </c>
      <c r="G37" s="103"/>
      <c r="H37" s="103"/>
      <c r="I37" s="103">
        <f>'Rider Rates'!B15</f>
        <v>-9.7000000000000005E-4</v>
      </c>
      <c r="J37" s="103">
        <f>SUM(G37:I37)</f>
        <v>-9.7000000000000005E-4</v>
      </c>
      <c r="K37" s="104" t="s">
        <v>42</v>
      </c>
      <c r="L37" s="105"/>
      <c r="M37" s="105"/>
      <c r="N37" s="105">
        <f t="shared" si="1"/>
        <v>0</v>
      </c>
      <c r="O37" s="105">
        <f t="shared" si="2"/>
        <v>0</v>
      </c>
      <c r="P37" s="245">
        <f>'Rider Rates'!$D$15</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41" t="s">
        <v>238</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211</v>
      </c>
      <c r="B39" s="78"/>
      <c r="C39" s="78"/>
      <c r="D39" s="100"/>
      <c r="E39" s="101" t="s">
        <v>115</v>
      </c>
      <c r="F39" s="102"/>
      <c r="G39" s="103"/>
      <c r="H39" s="103"/>
      <c r="I39" s="103">
        <f>'Rider Rates'!D48</f>
        <v>1.39</v>
      </c>
      <c r="J39" s="237">
        <f>SUM(G39:I39)</f>
        <v>1.39</v>
      </c>
      <c r="K39" s="104"/>
      <c r="L39" s="105"/>
      <c r="M39" s="105"/>
      <c r="N39" s="105">
        <f>J39</f>
        <v>1.39</v>
      </c>
      <c r="O39" s="105">
        <f>SUM(L39:N39)</f>
        <v>1.39</v>
      </c>
      <c r="P39" s="245">
        <f>'Rider Rates'!E48</f>
        <v>45474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190</v>
      </c>
      <c r="B40" s="78"/>
      <c r="C40" s="78"/>
      <c r="D40" s="100">
        <f>IF($D$17&lt;0,0,$D$17)</f>
        <v>0</v>
      </c>
      <c r="E40" s="113" t="s">
        <v>41</v>
      </c>
      <c r="F40" s="102" t="s">
        <v>8</v>
      </c>
      <c r="G40" s="103"/>
      <c r="H40" s="103">
        <f>'Rider Rates'!$B$55</f>
        <v>4.3837099999999997E-2</v>
      </c>
      <c r="I40" s="103"/>
      <c r="J40" s="103">
        <f>SUM(G40:I40)</f>
        <v>4.3837099999999997E-2</v>
      </c>
      <c r="K40" s="104" t="s">
        <v>42</v>
      </c>
      <c r="L40" s="105"/>
      <c r="M40" s="105">
        <f>ROUND(D40*H40,2)</f>
        <v>0</v>
      </c>
      <c r="N40" s="205"/>
      <c r="O40" s="105">
        <f t="shared" si="2"/>
        <v>0</v>
      </c>
      <c r="P40" s="245">
        <f>'Rider Rates'!$D$55</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f>IF('Customer Info'!C34=TRUE,0,IF($D$17&lt;0,0,$D$17))</f>
        <v>0</v>
      </c>
      <c r="E41" s="101" t="s">
        <v>41</v>
      </c>
      <c r="F41" s="102" t="s">
        <v>8</v>
      </c>
      <c r="G41" s="103"/>
      <c r="H41" s="103"/>
      <c r="I41" s="103">
        <f>'Rider Rates'!$B$67+'Rider Rates'!$C$67</f>
        <v>0</v>
      </c>
      <c r="J41" s="103">
        <f t="shared" si="0"/>
        <v>0</v>
      </c>
      <c r="K41" s="104" t="s">
        <v>42</v>
      </c>
      <c r="L41" s="105"/>
      <c r="M41" s="105"/>
      <c r="N41" s="105">
        <f>ROUND($D$41*'Rider Rates'!$B$67,2)+ROUND($D$41*'Rider Rates'!$C$67,2)</f>
        <v>0</v>
      </c>
      <c r="O41" s="250">
        <f t="shared" si="2"/>
        <v>0</v>
      </c>
      <c r="P41" s="245">
        <f>'Rider Rates'!$D$67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$N$27</f>
        <v>10</v>
      </c>
      <c r="E42" s="101" t="s">
        <v>122</v>
      </c>
      <c r="F42" s="102" t="s">
        <v>8</v>
      </c>
      <c r="G42" s="111"/>
      <c r="H42" s="112"/>
      <c r="I42" s="120">
        <f>'Rider Rates'!$B$83</f>
        <v>2.9347000000000002E-2</v>
      </c>
      <c r="J42" s="120">
        <f>SUM(G42:I42)</f>
        <v>2.9347000000000002E-2</v>
      </c>
      <c r="K42" s="104"/>
      <c r="L42" s="105"/>
      <c r="M42" s="105"/>
      <c r="N42" s="105">
        <f>ROUND(D42*I42,2)</f>
        <v>0.28999999999999998</v>
      </c>
      <c r="O42" s="105">
        <f t="shared" si="2"/>
        <v>0.28999999999999998</v>
      </c>
      <c r="P42" s="245">
        <f>'Rider Rates'!$D$83</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$N$27</f>
        <v>10</v>
      </c>
      <c r="E43" s="101" t="s">
        <v>122</v>
      </c>
      <c r="F43" s="102" t="s">
        <v>8</v>
      </c>
      <c r="G43" s="114"/>
      <c r="H43" s="115"/>
      <c r="I43" s="120">
        <f>'Rider Rates'!$B$85</f>
        <v>6.6985699999999995E-2</v>
      </c>
      <c r="J43" s="120">
        <f t="shared" si="0"/>
        <v>6.6985699999999995E-2</v>
      </c>
      <c r="K43" s="104"/>
      <c r="L43" s="105"/>
      <c r="M43" s="105"/>
      <c r="N43" s="105">
        <f>ROUND(D43*I43,2)</f>
        <v>0.67</v>
      </c>
      <c r="O43" s="105">
        <f t="shared" si="2"/>
        <v>0.67</v>
      </c>
      <c r="P43" s="245">
        <f>'Rider Rates'!$D$85</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207</v>
      </c>
      <c r="B44" s="78"/>
      <c r="C44" s="78"/>
      <c r="D44" s="195"/>
      <c r="E44" s="113" t="s">
        <v>115</v>
      </c>
      <c r="F44" s="106"/>
      <c r="G44" s="114"/>
      <c r="H44" s="115"/>
      <c r="I44" s="196">
        <f>'Rider Rates'!$B$88</f>
        <v>1.42</v>
      </c>
      <c r="J44" s="196">
        <f>SUM(G44:I44)</f>
        <v>1.42</v>
      </c>
      <c r="K44" s="104"/>
      <c r="L44" s="105"/>
      <c r="M44" s="105"/>
      <c r="N44" s="105">
        <f>I44</f>
        <v>1.42</v>
      </c>
      <c r="O44" s="250">
        <f>SUM(L44:N44)</f>
        <v>1.42</v>
      </c>
      <c r="P44" s="245">
        <f>'Rider Rates'!$D$88</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99" t="s">
        <v>157</v>
      </c>
      <c r="B45" s="78"/>
      <c r="C45" s="78"/>
      <c r="D45" s="195">
        <f>$N$27</f>
        <v>10</v>
      </c>
      <c r="E45" s="101" t="s">
        <v>122</v>
      </c>
      <c r="F45" s="102" t="s">
        <v>8</v>
      </c>
      <c r="G45" s="114"/>
      <c r="H45" s="115"/>
      <c r="I45" s="120">
        <f>'Rider Rates'!$B$103</f>
        <v>0.21398439999999999</v>
      </c>
      <c r="J45" s="238">
        <f t="shared" si="0"/>
        <v>0.21398439999999999</v>
      </c>
      <c r="K45" s="104"/>
      <c r="L45" s="105"/>
      <c r="M45" s="105"/>
      <c r="N45" s="105">
        <f>ROUND(D45*I45,2)</f>
        <v>2.14</v>
      </c>
      <c r="O45" s="105">
        <f t="shared" si="2"/>
        <v>2.14</v>
      </c>
      <c r="P45" s="245">
        <f>'Rider Rates'!$D$103</f>
        <v>45351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210</v>
      </c>
      <c r="B46" s="78"/>
      <c r="C46" s="78"/>
      <c r="D46" s="195"/>
      <c r="E46" s="113" t="s">
        <v>115</v>
      </c>
      <c r="F46" s="106"/>
      <c r="G46" s="114"/>
      <c r="H46" s="115"/>
      <c r="I46" s="196">
        <f>'Rider Rates'!$B$106</f>
        <v>0</v>
      </c>
      <c r="J46" s="196">
        <f t="shared" ref="J46:J51" si="3">SUM(G46:I46)</f>
        <v>0</v>
      </c>
      <c r="K46" s="104"/>
      <c r="L46" s="105"/>
      <c r="M46" s="105"/>
      <c r="N46" s="105">
        <f>I46</f>
        <v>0</v>
      </c>
      <c r="O46" s="105">
        <f>SUM(L46:N46)</f>
        <v>0</v>
      </c>
      <c r="P46" s="245">
        <f>'Rider Rates'!$D$106</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218</v>
      </c>
      <c r="B47" s="78"/>
      <c r="C47" s="78"/>
      <c r="D47" s="195"/>
      <c r="E47" s="113" t="s">
        <v>115</v>
      </c>
      <c r="F47" s="106"/>
      <c r="G47" s="114"/>
      <c r="H47" s="115"/>
      <c r="I47" s="258">
        <f>'Rider Rates'!B119</f>
        <v>1.26</v>
      </c>
      <c r="J47" s="259">
        <f t="shared" si="3"/>
        <v>1.26</v>
      </c>
      <c r="K47" s="104"/>
      <c r="L47" s="105"/>
      <c r="M47" s="105"/>
      <c r="N47" s="260">
        <f>I47</f>
        <v>1.26</v>
      </c>
      <c r="O47" s="105">
        <f>SUM(L47:N47)</f>
        <v>1.26</v>
      </c>
      <c r="P47" s="245">
        <f>'Rider Rates'!D119</f>
        <v>45226</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209</v>
      </c>
      <c r="B48" s="78"/>
      <c r="C48" s="78"/>
      <c r="D48" s="100">
        <f>IF($D$17&lt;1,0,$D$17)</f>
        <v>0</v>
      </c>
      <c r="E48" s="101" t="s">
        <v>41</v>
      </c>
      <c r="F48" s="249" t="s">
        <v>8</v>
      </c>
      <c r="G48" s="103"/>
      <c r="H48" s="103"/>
      <c r="I48" s="103">
        <f>'Rider Rates'!$B$115</f>
        <v>-2.3000000000000001E-4</v>
      </c>
      <c r="J48" s="237">
        <f t="shared" si="3"/>
        <v>-2.3000000000000001E-4</v>
      </c>
      <c r="K48" s="104" t="s">
        <v>42</v>
      </c>
      <c r="L48" s="105"/>
      <c r="M48" s="105"/>
      <c r="N48" s="105">
        <f>D48*J48</f>
        <v>0</v>
      </c>
      <c r="O48" s="105">
        <f t="shared" si="2"/>
        <v>0</v>
      </c>
      <c r="P48" s="245">
        <f>'Rider Rates'!D115</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231</v>
      </c>
      <c r="B49" s="78"/>
      <c r="C49" s="78"/>
      <c r="D49" s="100"/>
      <c r="E49" s="101" t="s">
        <v>115</v>
      </c>
      <c r="F49" s="102" t="s">
        <v>8</v>
      </c>
      <c r="G49" s="263"/>
      <c r="H49" s="263"/>
      <c r="I49" s="263">
        <f>'Rider Rates'!$B$123</f>
        <v>0.1</v>
      </c>
      <c r="J49" s="263">
        <f t="shared" si="3"/>
        <v>0.1</v>
      </c>
      <c r="K49" s="104"/>
      <c r="L49" s="209"/>
      <c r="M49" s="209"/>
      <c r="N49" s="209">
        <f>J49</f>
        <v>0.1</v>
      </c>
      <c r="O49" s="209">
        <f>SUM(L49:N49)</f>
        <v>0.1</v>
      </c>
      <c r="P49" s="264">
        <f>'Rider Rates'!E123</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243</v>
      </c>
      <c r="B50" s="78"/>
      <c r="C50" s="78"/>
      <c r="D50" s="100">
        <f>D17</f>
        <v>0</v>
      </c>
      <c r="E50" s="101" t="s">
        <v>41</v>
      </c>
      <c r="F50" s="249" t="s">
        <v>8</v>
      </c>
      <c r="G50" s="103"/>
      <c r="H50" s="103"/>
      <c r="I50" s="103">
        <f>'Rider Rates'!B128</f>
        <v>0</v>
      </c>
      <c r="J50" s="237">
        <f t="shared" si="3"/>
        <v>0</v>
      </c>
      <c r="K50" s="104" t="s">
        <v>42</v>
      </c>
      <c r="L50" s="105"/>
      <c r="M50" s="105"/>
      <c r="N50" s="105">
        <f>D50*J50</f>
        <v>0</v>
      </c>
      <c r="O50" s="105">
        <f t="shared" ref="O50" si="4">SUM(L50:N50)</f>
        <v>0</v>
      </c>
      <c r="P50" s="245">
        <f>'Rider Rates'!D128</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242</v>
      </c>
      <c r="B51" s="78"/>
      <c r="C51" s="78"/>
      <c r="D51" s="100"/>
      <c r="E51" s="101" t="s">
        <v>115</v>
      </c>
      <c r="F51" s="102" t="s">
        <v>8</v>
      </c>
      <c r="G51" s="263"/>
      <c r="H51" s="263"/>
      <c r="I51" s="263">
        <f>'Rider Rates'!$B$135</f>
        <v>0</v>
      </c>
      <c r="J51" s="263">
        <f t="shared" si="3"/>
        <v>0</v>
      </c>
      <c r="K51" s="104"/>
      <c r="L51" s="209"/>
      <c r="M51" s="209"/>
      <c r="N51" s="209">
        <f>J51</f>
        <v>0</v>
      </c>
      <c r="O51" s="209">
        <f>SUM(L51:N51)</f>
        <v>0</v>
      </c>
      <c r="P51" s="264">
        <f>'Rider Rates'!D135</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244</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179" t="s">
        <v>71</v>
      </c>
      <c r="B53" s="148"/>
      <c r="C53" s="148"/>
      <c r="D53" s="180"/>
      <c r="E53" s="181"/>
      <c r="F53" s="182"/>
      <c r="G53" s="182"/>
      <c r="H53" s="182"/>
      <c r="I53" s="182"/>
      <c r="J53" s="182"/>
      <c r="K53" s="183"/>
      <c r="L53" s="169">
        <f>SUM(L31:L52)</f>
        <v>0</v>
      </c>
      <c r="M53" s="169">
        <f t="shared" ref="M53:O53" si="5">SUM(M31:M52)</f>
        <v>0</v>
      </c>
      <c r="N53" s="169">
        <f t="shared" si="5"/>
        <v>7.27</v>
      </c>
      <c r="O53" s="169">
        <f t="shared" si="5"/>
        <v>7.27</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85" t="s">
        <v>94</v>
      </c>
      <c r="B55" s="170"/>
      <c r="C55" s="170"/>
      <c r="D55" s="170"/>
      <c r="E55" s="170"/>
      <c r="F55" s="170"/>
      <c r="G55" s="170"/>
      <c r="H55" s="170"/>
      <c r="I55" s="170"/>
      <c r="J55" s="170"/>
      <c r="K55" s="170"/>
      <c r="L55" s="186">
        <f>L27+L53</f>
        <v>0</v>
      </c>
      <c r="M55" s="186">
        <f>M27+M53</f>
        <v>0</v>
      </c>
      <c r="N55" s="186">
        <f>N27+N53</f>
        <v>17.27</v>
      </c>
      <c r="O55" s="187">
        <f>O27+O53</f>
        <v>17.27</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48" t="s">
        <v>117</v>
      </c>
      <c r="B60" s="151"/>
      <c r="C60" s="151"/>
      <c r="D60" s="151"/>
      <c r="E60" s="151"/>
      <c r="F60" s="151"/>
      <c r="G60" s="151"/>
      <c r="H60" s="151"/>
      <c r="I60" s="151"/>
      <c r="J60" s="151"/>
      <c r="K60" s="151"/>
      <c r="L60" s="151"/>
      <c r="M60" s="151"/>
      <c r="N60" s="151"/>
      <c r="O60" s="190">
        <f>IF($D$17&lt;0,O55,IF(O55&gt;O58,O55,O58))</f>
        <v>17.27</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ht="13" x14ac:dyDescent="0.3">
      <c r="A63" s="37"/>
      <c r="B63" s="78"/>
      <c r="C63" s="78"/>
      <c r="D63" s="78"/>
      <c r="E63" s="78"/>
      <c r="F63" s="78"/>
      <c r="G63" s="78"/>
      <c r="H63" s="192"/>
      <c r="I63" s="242" t="s">
        <v>191</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ht="13" x14ac:dyDescent="0.3">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5">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5">
      <c r="A66" s="78"/>
      <c r="D66" s="1"/>
      <c r="E66" s="35"/>
      <c r="F66" s="106"/>
      <c r="Q66" s="80"/>
    </row>
    <row r="67" spans="1:221" ht="13" x14ac:dyDescent="0.3">
      <c r="A67" s="96"/>
      <c r="D67" s="1"/>
      <c r="E67" s="35"/>
      <c r="F67" s="4"/>
      <c r="Q67" s="36"/>
    </row>
    <row r="68" spans="1:221" ht="13" x14ac:dyDescent="0.3">
      <c r="A68" s="96"/>
      <c r="D68" s="1"/>
      <c r="E68" s="35"/>
      <c r="F68" s="4"/>
      <c r="Q68" s="36"/>
    </row>
    <row r="69" spans="1:221" ht="13" x14ac:dyDescent="0.3">
      <c r="A69" s="41"/>
      <c r="B69" s="77"/>
      <c r="C69" s="77"/>
      <c r="D69" s="77"/>
      <c r="E69" s="77"/>
      <c r="F69" s="77"/>
    </row>
    <row r="70" spans="1:221" ht="13" x14ac:dyDescent="0.3">
      <c r="B70" s="37"/>
      <c r="C70" s="37"/>
      <c r="D70" s="37"/>
      <c r="E70" s="37"/>
      <c r="F70" s="37"/>
      <c r="P70" s="37"/>
      <c r="Q70" s="37"/>
    </row>
    <row r="71" spans="1:221" ht="13" x14ac:dyDescent="0.3">
      <c r="B71" s="37"/>
      <c r="C71" s="37"/>
      <c r="D71" s="37"/>
      <c r="E71" s="37"/>
      <c r="F71" s="37"/>
      <c r="P71" s="25"/>
      <c r="Q71" s="25"/>
    </row>
    <row r="74" spans="1:221" x14ac:dyDescent="0.25">
      <c r="A74" s="478"/>
    </row>
    <row r="75" spans="1:221" x14ac:dyDescent="0.25">
      <c r="A75" s="478"/>
    </row>
    <row r="76" spans="1:221" x14ac:dyDescent="0.25">
      <c r="A76" s="478"/>
    </row>
    <row r="77" spans="1:221" x14ac:dyDescent="0.25">
      <c r="A77" s="478"/>
    </row>
    <row r="78" spans="1:221" x14ac:dyDescent="0.25">
      <c r="A78" s="478"/>
    </row>
    <row r="79" spans="1:221" x14ac:dyDescent="0.25">
      <c r="A79" s="478"/>
    </row>
    <row r="80" spans="1:221"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sheetData>
  <sheetProtection algorithmName="SHA-512" hashValue="xGk3xyyBuoZo3sOR2tcbymhLY1pmYwbzb/zrdLcu7GdfZDRLcr4Ch7/zn5k5lHEW8lh6XB7thZn5lENUeWVpQg==" saltValue="pIG+CHhFsH2yWcRCSJ4sT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584200</xdr:colOff>
                    <xdr:row>81</xdr:row>
                    <xdr:rowOff>57150</xdr:rowOff>
                  </from>
                  <to>
                    <xdr:col>30</xdr:col>
                    <xdr:colOff>241300</xdr:colOff>
                    <xdr:row>82</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zoomScale="80" zoomScaleNormal="80" workbookViewId="0">
      <selection activeCell="P19" sqref="P19"/>
    </sheetView>
  </sheetViews>
  <sheetFormatPr defaultRowHeight="12.5" x14ac:dyDescent="0.25"/>
  <cols>
    <col min="1" max="1" width="39" customWidth="1"/>
    <col min="2" max="2" width="2.1796875" customWidth="1"/>
    <col min="3" max="3" width="13" customWidth="1"/>
    <col min="4" max="4" width="15.26953125" customWidth="1"/>
    <col min="5" max="5" width="10.453125" customWidth="1"/>
    <col min="6" max="6" width="5.54296875" customWidth="1"/>
    <col min="7" max="8" width="13.26953125" customWidth="1"/>
    <col min="9" max="9" width="14.54296875" customWidth="1"/>
    <col min="10" max="10" width="13.26953125" customWidth="1"/>
    <col min="11" max="11" width="5.54296875" bestFit="1" customWidth="1"/>
    <col min="12" max="12" width="15.1796875" customWidth="1"/>
    <col min="13" max="13" width="17.26953125" bestFit="1" customWidth="1"/>
    <col min="14" max="14" width="17.7265625" customWidth="1"/>
    <col min="15" max="15" width="18.7265625" customWidth="1"/>
    <col min="16" max="16" width="15" customWidth="1"/>
    <col min="17" max="17" width="12.81640625" bestFit="1" customWidth="1"/>
    <col min="18" max="18" width="10.542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c r="Q1" s="203"/>
    </row>
    <row r="2" spans="1:30" ht="20" x14ac:dyDescent="0.4">
      <c r="A2" s="496" t="s">
        <v>268</v>
      </c>
      <c r="B2" s="496"/>
      <c r="C2" s="496"/>
      <c r="D2" s="496"/>
      <c r="E2" s="496"/>
      <c r="F2" s="496"/>
      <c r="G2" s="496"/>
      <c r="H2" s="496"/>
      <c r="I2" s="496"/>
      <c r="J2" s="496"/>
      <c r="K2" s="496"/>
      <c r="L2" s="496"/>
      <c r="M2" s="496"/>
      <c r="N2" s="496"/>
      <c r="O2" s="496"/>
      <c r="P2" s="496"/>
      <c r="Q2" s="197"/>
    </row>
    <row r="3" spans="1:30" ht="18" x14ac:dyDescent="0.4">
      <c r="A3" s="481" t="s">
        <v>95</v>
      </c>
      <c r="B3" s="481"/>
      <c r="C3" s="481"/>
      <c r="D3" s="481"/>
      <c r="E3" s="481"/>
      <c r="F3" s="481"/>
      <c r="G3" s="481"/>
      <c r="H3" s="481"/>
      <c r="I3" s="481"/>
      <c r="J3" s="481"/>
      <c r="K3" s="481"/>
      <c r="L3" s="481"/>
      <c r="M3" s="481"/>
      <c r="N3" s="481"/>
      <c r="O3" s="481"/>
      <c r="P3" s="481"/>
      <c r="Q3" s="198"/>
    </row>
    <row r="4" spans="1:30" ht="15.5" x14ac:dyDescent="0.35">
      <c r="A4" s="481"/>
      <c r="B4" s="481"/>
      <c r="C4" s="481"/>
      <c r="D4" s="481"/>
      <c r="E4" s="481"/>
      <c r="F4" s="481"/>
      <c r="G4" s="481"/>
      <c r="H4" s="481"/>
      <c r="I4" s="481"/>
      <c r="J4" s="481"/>
      <c r="K4" s="481"/>
      <c r="L4" s="481"/>
      <c r="M4" s="481"/>
      <c r="N4" s="481"/>
      <c r="O4" s="481"/>
      <c r="P4" s="481"/>
      <c r="Q4" s="199"/>
    </row>
    <row r="5" spans="1:30" x14ac:dyDescent="0.25">
      <c r="A5" s="76">
        <f ca="1">TODAY()</f>
        <v>45476</v>
      </c>
      <c r="B5" s="488" t="s">
        <v>295</v>
      </c>
      <c r="C5" s="488"/>
      <c r="D5" s="488"/>
      <c r="E5" s="488"/>
      <c r="F5" s="488"/>
      <c r="G5" s="488"/>
      <c r="H5" s="488"/>
      <c r="I5" s="488"/>
      <c r="J5" s="488"/>
      <c r="K5" s="488"/>
      <c r="L5" s="488"/>
      <c r="M5" s="488"/>
      <c r="N5" s="488"/>
      <c r="O5" s="488"/>
    </row>
    <row r="6" spans="1:30" x14ac:dyDescent="0.25">
      <c r="A6" s="479" t="s">
        <v>15</v>
      </c>
      <c r="B6" s="479"/>
      <c r="C6" s="479"/>
      <c r="D6" s="479"/>
      <c r="E6" s="479"/>
      <c r="F6" s="479"/>
      <c r="G6" s="479"/>
      <c r="H6" s="479"/>
      <c r="I6" s="479"/>
      <c r="J6" s="479"/>
      <c r="K6" s="479"/>
    </row>
    <row r="7" spans="1:30" x14ac:dyDescent="0.25">
      <c r="C7" s="18"/>
      <c r="D7" s="18"/>
      <c r="E7" s="18"/>
      <c r="F7" s="18"/>
      <c r="G7" s="18"/>
      <c r="H7" s="18"/>
      <c r="I7" s="18"/>
      <c r="J7" s="18"/>
      <c r="K7" s="18"/>
    </row>
    <row r="8" spans="1:30" ht="15.5" x14ac:dyDescent="0.35">
      <c r="A8" s="23" t="s">
        <v>2</v>
      </c>
      <c r="B8" s="24"/>
      <c r="C8" s="25">
        <f>'Customer Info'!B7</f>
        <v>0</v>
      </c>
      <c r="I8" s="26"/>
    </row>
    <row r="9" spans="1:30" ht="15.5" x14ac:dyDescent="0.35">
      <c r="A9" s="27" t="s">
        <v>26</v>
      </c>
      <c r="B9" s="24"/>
      <c r="C9" s="25">
        <f>'Customer Info'!B8</f>
        <v>0</v>
      </c>
    </row>
    <row r="10" spans="1:30" ht="13" x14ac:dyDescent="0.3">
      <c r="A10" s="23" t="s">
        <v>3</v>
      </c>
      <c r="B10" s="200">
        <f>'Customer Info'!B9</f>
        <v>7</v>
      </c>
      <c r="C10" s="194" t="str">
        <f>LOOKUP(B10,S11:AD11,S12:AD12)</f>
        <v>July</v>
      </c>
      <c r="D10" s="133">
        <f>'Customer Info'!C9</f>
        <v>2024</v>
      </c>
    </row>
    <row r="11" spans="1:30" ht="13" x14ac:dyDescent="0.3">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ht="13" x14ac:dyDescent="0.3">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ht="13" x14ac:dyDescent="0.3">
      <c r="A16" s="31"/>
      <c r="B16" s="31"/>
      <c r="C16" s="33"/>
      <c r="D16" s="33"/>
      <c r="E16" s="33"/>
      <c r="F16" s="33"/>
      <c r="G16" s="23"/>
      <c r="H16" s="31"/>
      <c r="I16" s="31"/>
      <c r="R16" t="s">
        <v>164</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ht="13" x14ac:dyDescent="0.3">
      <c r="A17" s="28" t="s">
        <v>124</v>
      </c>
      <c r="B17" s="22"/>
      <c r="C17" s="22"/>
      <c r="D17" s="22"/>
      <c r="E17" s="22"/>
      <c r="F17" s="22"/>
      <c r="G17" s="490" t="s">
        <v>68</v>
      </c>
      <c r="H17" s="491"/>
      <c r="I17" s="491"/>
      <c r="J17" s="492"/>
      <c r="K17" s="22"/>
      <c r="L17" s="493" t="s">
        <v>69</v>
      </c>
      <c r="M17" s="493"/>
      <c r="N17" s="493"/>
      <c r="O17" s="493"/>
      <c r="R17" t="s">
        <v>165</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166</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f>'Rider Rates'!$D$7</f>
        <v>44531</v>
      </c>
      <c r="R19" s="3" t="s">
        <v>192</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247</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ht="13" x14ac:dyDescent="0.3">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5.9216E-3</v>
      </c>
      <c r="J25" s="201">
        <f t="shared" ref="J25:J41" si="0">SUM(G25:I25)</f>
        <v>5.9216E-3</v>
      </c>
      <c r="K25" s="104" t="s">
        <v>42</v>
      </c>
      <c r="L25" s="105"/>
      <c r="M25" s="105"/>
      <c r="N25" s="105">
        <f t="shared" ref="N25:N30" si="1">ROUND(D25*I25,2)</f>
        <v>0</v>
      </c>
      <c r="O25" s="105">
        <f t="shared" ref="O25:O34"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160</v>
      </c>
      <c r="B31" s="78"/>
      <c r="C31" s="78"/>
      <c r="D31" s="100">
        <f>IF($C$14&lt;0,0,$C$14)</f>
        <v>0</v>
      </c>
      <c r="E31" s="101" t="s">
        <v>41</v>
      </c>
      <c r="F31" s="102" t="s">
        <v>8</v>
      </c>
      <c r="G31" s="103"/>
      <c r="H31" s="103"/>
      <c r="I31" s="103">
        <f>'Rider Rates'!B15</f>
        <v>-9.7000000000000005E-4</v>
      </c>
      <c r="J31" s="103">
        <f>SUM(G31:I31)</f>
        <v>-9.7000000000000005E-4</v>
      </c>
      <c r="K31" s="104" t="s">
        <v>42</v>
      </c>
      <c r="L31" s="105"/>
      <c r="M31" s="105"/>
      <c r="N31" s="105">
        <f>ROUND(D31*I31,2)</f>
        <v>0</v>
      </c>
      <c r="O31" s="105">
        <f t="shared" si="2"/>
        <v>0</v>
      </c>
      <c r="P31" s="245">
        <f>'Rider Rates'!$D$15</f>
        <v>45474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41" t="s">
        <v>238</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211</v>
      </c>
      <c r="B33" s="78"/>
      <c r="C33" s="78"/>
      <c r="D33" s="100"/>
      <c r="E33" s="101" t="s">
        <v>115</v>
      </c>
      <c r="F33" s="102"/>
      <c r="G33" s="103"/>
      <c r="H33" s="103"/>
      <c r="I33" s="103">
        <f>'Rider Rates'!D48</f>
        <v>1.39</v>
      </c>
      <c r="J33" s="103">
        <f>SUM(G33:I33)</f>
        <v>1.39</v>
      </c>
      <c r="K33" s="104" t="s">
        <v>42</v>
      </c>
      <c r="L33" s="105"/>
      <c r="M33" s="105"/>
      <c r="N33" s="105">
        <f>J33</f>
        <v>1.39</v>
      </c>
      <c r="O33" s="105">
        <f>SUM(L33:N33)</f>
        <v>1.39</v>
      </c>
      <c r="P33" s="245">
        <f>'Rider Rates'!E48</f>
        <v>45474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190</v>
      </c>
      <c r="B34" s="78"/>
      <c r="C34" s="78"/>
      <c r="D34" s="100">
        <f>IF($C$14&lt;0,0,$C$14)</f>
        <v>0</v>
      </c>
      <c r="E34" s="113" t="s">
        <v>41</v>
      </c>
      <c r="F34" s="102" t="s">
        <v>8</v>
      </c>
      <c r="G34" s="103"/>
      <c r="H34" s="103">
        <f>'Rider Rates'!$B$55</f>
        <v>4.3837099999999997E-2</v>
      </c>
      <c r="I34" s="103"/>
      <c r="J34" s="103">
        <f>SUM(G34:I34)</f>
        <v>4.3837099999999997E-2</v>
      </c>
      <c r="K34" s="104" t="s">
        <v>42</v>
      </c>
      <c r="L34" s="105"/>
      <c r="M34" s="105">
        <f>ROUND(D34*H34,2)</f>
        <v>0</v>
      </c>
      <c r="N34" s="205"/>
      <c r="O34" s="105">
        <f t="shared" si="2"/>
        <v>0</v>
      </c>
      <c r="P34" s="245">
        <f>'Rider Rates'!$D$55</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96</v>
      </c>
      <c r="B35" s="78"/>
      <c r="C35" s="78"/>
      <c r="D35" s="100">
        <f>IF('Customer Info'!C34=TRUE,0,IF($C$14&lt;0,0,$C$14))</f>
        <v>0</v>
      </c>
      <c r="E35" s="101" t="s">
        <v>41</v>
      </c>
      <c r="F35" s="102" t="s">
        <v>8</v>
      </c>
      <c r="G35" s="103"/>
      <c r="H35" s="103"/>
      <c r="I35" s="103">
        <f>'Rider Rates'!$B$67+'Rider Rates'!$C$67</f>
        <v>0</v>
      </c>
      <c r="J35" s="103">
        <f t="shared" si="0"/>
        <v>0</v>
      </c>
      <c r="K35" s="104" t="s">
        <v>42</v>
      </c>
      <c r="L35" s="105"/>
      <c r="M35" s="105"/>
      <c r="N35" s="105">
        <f>ROUND($D$35*'Rider Rates'!$B$67,2)+ROUND($D$35*'Rider Rates'!$C$67,2)</f>
        <v>0</v>
      </c>
      <c r="O35" s="105">
        <f>SUM(L35:N35)</f>
        <v>0</v>
      </c>
      <c r="P35" s="245">
        <f>'Rider Rates'!$D$67</f>
        <v>45444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81</v>
      </c>
      <c r="B36" s="78"/>
      <c r="C36" s="78"/>
      <c r="D36" s="195">
        <f>$N$21</f>
        <v>10</v>
      </c>
      <c r="E36" s="101" t="s">
        <v>122</v>
      </c>
      <c r="F36" s="102" t="s">
        <v>8</v>
      </c>
      <c r="G36" s="111"/>
      <c r="H36" s="112"/>
      <c r="I36" s="120">
        <f>'Rider Rates'!$B$83</f>
        <v>2.9347000000000002E-2</v>
      </c>
      <c r="J36" s="120">
        <f t="shared" si="0"/>
        <v>2.9347000000000002E-2</v>
      </c>
      <c r="K36" s="104"/>
      <c r="L36" s="105"/>
      <c r="M36" s="105"/>
      <c r="N36" s="105">
        <f>ROUND(D36*I36,2)</f>
        <v>0.28999999999999998</v>
      </c>
      <c r="O36" s="105">
        <f>SUM(L36:N36)</f>
        <v>0.28999999999999998</v>
      </c>
      <c r="P36" s="245">
        <f>'Rider Rates'!$D$83</f>
        <v>45383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ht="13" x14ac:dyDescent="0.3">
      <c r="A37" s="99" t="s">
        <v>82</v>
      </c>
      <c r="B37" s="78"/>
      <c r="C37" s="78"/>
      <c r="D37" s="195">
        <f>$N$21</f>
        <v>10</v>
      </c>
      <c r="E37" s="101" t="s">
        <v>122</v>
      </c>
      <c r="F37" s="102" t="s">
        <v>8</v>
      </c>
      <c r="G37" s="114"/>
      <c r="H37" s="115"/>
      <c r="I37" s="120">
        <f>'Rider Rates'!$B$85</f>
        <v>6.6985699999999995E-2</v>
      </c>
      <c r="J37" s="120">
        <f t="shared" si="0"/>
        <v>6.6985699999999995E-2</v>
      </c>
      <c r="K37" s="104"/>
      <c r="L37" s="105"/>
      <c r="M37" s="105"/>
      <c r="N37" s="105">
        <f>ROUND(D37*I37,2)</f>
        <v>0.67</v>
      </c>
      <c r="O37" s="105">
        <f>SUM(L37:N37)</f>
        <v>0.67</v>
      </c>
      <c r="P37" s="245">
        <f>'Rider Rates'!$D$85</f>
        <v>45167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10" t="s">
        <v>207</v>
      </c>
      <c r="B38" s="78"/>
      <c r="C38" s="78"/>
      <c r="D38" s="195"/>
      <c r="E38" s="113" t="s">
        <v>115</v>
      </c>
      <c r="F38" s="106"/>
      <c r="G38" s="114"/>
      <c r="H38" s="115"/>
      <c r="I38" s="196">
        <f>'Rider Rates'!$B$88</f>
        <v>1.42</v>
      </c>
      <c r="J38" s="196">
        <f t="shared" si="0"/>
        <v>1.42</v>
      </c>
      <c r="K38" s="104"/>
      <c r="L38" s="105"/>
      <c r="M38" s="105"/>
      <c r="N38" s="105">
        <f>I38</f>
        <v>1.42</v>
      </c>
      <c r="O38" s="105">
        <f>SUM(L38:N38)</f>
        <v>1.42</v>
      </c>
      <c r="P38" s="245">
        <f>'Rider Rates'!$D$88</f>
        <v>45442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157</v>
      </c>
      <c r="B39" s="78"/>
      <c r="C39" s="78"/>
      <c r="D39" s="195">
        <f>$N$21</f>
        <v>10</v>
      </c>
      <c r="E39" s="101" t="s">
        <v>122</v>
      </c>
      <c r="F39" s="102" t="s">
        <v>8</v>
      </c>
      <c r="G39" s="114"/>
      <c r="H39" s="115"/>
      <c r="I39" s="120">
        <f>'Rider Rates'!$B$103</f>
        <v>0.21398439999999999</v>
      </c>
      <c r="J39" s="120">
        <f t="shared" si="0"/>
        <v>0.21398439999999999</v>
      </c>
      <c r="K39" s="104"/>
      <c r="L39" s="105"/>
      <c r="M39" s="105"/>
      <c r="N39" s="105">
        <f>ROUND(D39*I39,2)</f>
        <v>2.14</v>
      </c>
      <c r="O39" s="105">
        <f t="shared" ref="O39:O43" si="3">SUM(L39:N39)</f>
        <v>2.14</v>
      </c>
      <c r="P39" s="245">
        <f>'Rider Rates'!$D$103</f>
        <v>45351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210" t="s">
        <v>210</v>
      </c>
      <c r="B40" s="78"/>
      <c r="C40" s="78"/>
      <c r="D40" s="195"/>
      <c r="E40" s="113" t="s">
        <v>115</v>
      </c>
      <c r="F40" s="106"/>
      <c r="G40" s="114"/>
      <c r="H40" s="115"/>
      <c r="I40" s="196">
        <f>'Rider Rates'!$B$106</f>
        <v>0</v>
      </c>
      <c r="J40" s="196">
        <f t="shared" si="0"/>
        <v>0</v>
      </c>
      <c r="K40" s="104"/>
      <c r="L40" s="105"/>
      <c r="M40" s="105"/>
      <c r="N40" s="105">
        <f>I40</f>
        <v>0</v>
      </c>
      <c r="O40" s="105">
        <f t="shared" si="3"/>
        <v>0</v>
      </c>
      <c r="P40" s="245">
        <f>'Rider Rates'!$D$106</f>
        <v>44894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218</v>
      </c>
      <c r="B41" s="78"/>
      <c r="C41" s="78"/>
      <c r="D41" s="195"/>
      <c r="E41" s="113" t="s">
        <v>115</v>
      </c>
      <c r="F41" s="106"/>
      <c r="G41" s="114"/>
      <c r="H41" s="115"/>
      <c r="I41" s="258">
        <f>'Rider Rates'!B119</f>
        <v>1.26</v>
      </c>
      <c r="J41" s="196">
        <f t="shared" si="0"/>
        <v>1.26</v>
      </c>
      <c r="K41" s="104"/>
      <c r="L41" s="105"/>
      <c r="M41" s="105"/>
      <c r="N41" s="260">
        <f>I41</f>
        <v>1.26</v>
      </c>
      <c r="O41" s="105">
        <f t="shared" si="3"/>
        <v>1.26</v>
      </c>
      <c r="P41" s="245">
        <f>'Rider Rates'!D119</f>
        <v>45226</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209</v>
      </c>
      <c r="B42" s="78"/>
      <c r="C42" s="78"/>
      <c r="D42" s="100">
        <f>IF($C$14&lt;1,0,$C$14)</f>
        <v>0</v>
      </c>
      <c r="E42" s="101" t="s">
        <v>41</v>
      </c>
      <c r="F42" s="249" t="s">
        <v>8</v>
      </c>
      <c r="G42" s="103"/>
      <c r="H42" s="103"/>
      <c r="I42" s="237">
        <f>'Rider Rates'!$B$115</f>
        <v>-2.3000000000000001E-4</v>
      </c>
      <c r="J42" s="237">
        <f>SUM(G42:I42)</f>
        <v>-2.3000000000000001E-4</v>
      </c>
      <c r="K42" s="104" t="s">
        <v>42</v>
      </c>
      <c r="L42" s="105"/>
      <c r="M42" s="105"/>
      <c r="N42" s="105">
        <f>D42*J42</f>
        <v>0</v>
      </c>
      <c r="O42" s="105">
        <f t="shared" si="3"/>
        <v>0</v>
      </c>
      <c r="P42" s="245">
        <f>'Rider Rates'!D115</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231</v>
      </c>
      <c r="B43" s="78"/>
      <c r="C43" s="78"/>
      <c r="D43" s="100"/>
      <c r="E43" s="101" t="s">
        <v>115</v>
      </c>
      <c r="F43" s="102" t="s">
        <v>8</v>
      </c>
      <c r="G43" s="263"/>
      <c r="H43" s="263"/>
      <c r="I43" s="263">
        <f>'Rider Rates'!$B$123</f>
        <v>0.1</v>
      </c>
      <c r="J43" s="263">
        <f>SUM(G43:I43)</f>
        <v>0.1</v>
      </c>
      <c r="K43" s="104"/>
      <c r="L43" s="209"/>
      <c r="M43" s="209"/>
      <c r="N43" s="209">
        <f>J43</f>
        <v>0.1</v>
      </c>
      <c r="O43" s="209">
        <f t="shared" si="3"/>
        <v>0.1</v>
      </c>
      <c r="P43" s="264">
        <f>'Rider Rates'!$E$123</f>
        <v>44927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41" t="s">
        <v>243</v>
      </c>
      <c r="B44" s="78"/>
      <c r="C44" s="78"/>
      <c r="D44" s="100">
        <f>C14</f>
        <v>0</v>
      </c>
      <c r="E44" s="101" t="s">
        <v>41</v>
      </c>
      <c r="F44" s="249" t="s">
        <v>8</v>
      </c>
      <c r="G44" s="103"/>
      <c r="H44" s="103"/>
      <c r="I44" s="103">
        <f>'Rider Rates'!$B$128</f>
        <v>0</v>
      </c>
      <c r="J44" s="237">
        <f>SUM(G44:I44)</f>
        <v>0</v>
      </c>
      <c r="K44" s="104" t="s">
        <v>42</v>
      </c>
      <c r="L44" s="105"/>
      <c r="M44" s="105"/>
      <c r="N44" s="105">
        <f>D44*J44</f>
        <v>0</v>
      </c>
      <c r="O44" s="105">
        <f>SUM(L44:N44)</f>
        <v>0</v>
      </c>
      <c r="P44" s="245">
        <f>'Rider Rates'!D128</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242</v>
      </c>
      <c r="B45" s="78"/>
      <c r="C45" s="78"/>
      <c r="D45" s="100"/>
      <c r="E45" s="101" t="s">
        <v>115</v>
      </c>
      <c r="F45" s="102" t="s">
        <v>8</v>
      </c>
      <c r="G45" s="263"/>
      <c r="H45" s="263"/>
      <c r="I45" s="263">
        <f>'Rider Rates'!$B$135</f>
        <v>0</v>
      </c>
      <c r="J45" s="263">
        <f>SUM(G45:I45)</f>
        <v>0</v>
      </c>
      <c r="K45" s="104"/>
      <c r="L45" s="209"/>
      <c r="M45" s="209"/>
      <c r="N45" s="209">
        <f>J45</f>
        <v>0</v>
      </c>
      <c r="O45" s="209">
        <f>SUM(L45:N45)</f>
        <v>0</v>
      </c>
      <c r="P45" s="264">
        <f>'Rider Rates'!$D$131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41" t="s">
        <v>244</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179" t="s">
        <v>71</v>
      </c>
      <c r="B47" s="148"/>
      <c r="C47" s="148"/>
      <c r="D47" s="180"/>
      <c r="E47" s="181"/>
      <c r="F47" s="182"/>
      <c r="G47" s="182"/>
      <c r="H47" s="182"/>
      <c r="I47" s="182"/>
      <c r="J47" s="182"/>
      <c r="K47" s="183"/>
      <c r="L47" s="169">
        <f>SUM(L25:L46)</f>
        <v>0</v>
      </c>
      <c r="M47" s="169">
        <f t="shared" ref="M47:O47" si="4">SUM(M25:M46)</f>
        <v>0</v>
      </c>
      <c r="N47" s="169">
        <f t="shared" si="4"/>
        <v>7.27</v>
      </c>
      <c r="O47" s="169">
        <f t="shared" si="4"/>
        <v>7.27</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ht="13" x14ac:dyDescent="0.3">
      <c r="A49" s="170"/>
      <c r="B49" s="170"/>
      <c r="C49" s="170"/>
      <c r="D49" s="170"/>
      <c r="E49" s="170"/>
      <c r="F49" s="170"/>
      <c r="G49" s="170"/>
      <c r="H49" s="170"/>
      <c r="I49" s="170"/>
      <c r="J49" s="170"/>
      <c r="K49" s="170"/>
      <c r="L49" s="186">
        <f>L21+L47</f>
        <v>0</v>
      </c>
      <c r="M49" s="186">
        <f>M21+M47</f>
        <v>0</v>
      </c>
      <c r="N49" s="186">
        <f>N21+N47</f>
        <v>17.27</v>
      </c>
      <c r="O49" s="187">
        <f>O21+O47</f>
        <v>17.27</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ht="13" x14ac:dyDescent="0.3">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ht="13" x14ac:dyDescent="0.3">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ht="13" x14ac:dyDescent="0.3">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148" t="s">
        <v>117</v>
      </c>
      <c r="B53" s="151"/>
      <c r="C53" s="151"/>
      <c r="D53" s="151"/>
      <c r="E53" s="151"/>
      <c r="F53" s="151"/>
      <c r="G53" s="151"/>
      <c r="H53" s="151"/>
      <c r="I53" s="151"/>
      <c r="J53" s="151"/>
      <c r="K53" s="151"/>
      <c r="L53" s="151"/>
      <c r="M53" s="151"/>
      <c r="N53" s="151"/>
      <c r="O53" s="190">
        <f>IF($C$14&lt;0,O49,IF(O49&gt;O51,O49,I48))</f>
        <v>17.27</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ht="13" x14ac:dyDescent="0.3">
      <c r="A56" s="78"/>
      <c r="B56" s="78"/>
      <c r="C56" s="78"/>
      <c r="D56" s="78"/>
      <c r="E56" s="78"/>
      <c r="F56" s="78"/>
      <c r="G56" s="78"/>
      <c r="H56" s="192"/>
      <c r="I56" s="242" t="s">
        <v>191</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5">
      <c r="A57" s="78"/>
    </row>
    <row r="58" spans="1:236" x14ac:dyDescent="0.25">
      <c r="A58" s="78"/>
    </row>
    <row r="59" spans="1:236" x14ac:dyDescent="0.25">
      <c r="A59" s="78"/>
    </row>
    <row r="60" spans="1:236" x14ac:dyDescent="0.25">
      <c r="A60" s="78"/>
    </row>
    <row r="61" spans="1:236" x14ac:dyDescent="0.25">
      <c r="A61" s="78"/>
    </row>
    <row r="62" spans="1:236" x14ac:dyDescent="0.25">
      <c r="A62" s="78"/>
    </row>
  </sheetData>
  <sheetProtection algorithmName="SHA-512" hashValue="b8USlEUM9QMEC0Owmiu5D43Kws2uoQqJaB7702aF7QHqrH3/vMl/cFhHgj1HSnv+mJXeIV4krDzCUXdCe+NMrA==" saltValue="chspZdUccQof3xs5Ch2FW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8" zoomScale="80" zoomScaleNormal="80" workbookViewId="0">
      <selection activeCell="G34" sqref="G34:G50"/>
    </sheetView>
  </sheetViews>
  <sheetFormatPr defaultRowHeight="12.5" x14ac:dyDescent="0.25"/>
  <cols>
    <col min="1" max="1" width="37.54296875" style="349" customWidth="1"/>
    <col min="2" max="2" width="2.1796875" style="349" customWidth="1"/>
    <col min="3" max="3" width="14.54296875" style="349" customWidth="1"/>
    <col min="4" max="4" width="15.26953125" style="349" customWidth="1"/>
    <col min="5" max="5" width="9.81640625" style="349" customWidth="1"/>
    <col min="6" max="6" width="5.54296875" style="349" customWidth="1"/>
    <col min="7" max="8" width="13.26953125" style="349" customWidth="1"/>
    <col min="9" max="9" width="14.54296875" style="349" customWidth="1"/>
    <col min="10" max="10" width="14.81640625" style="349" bestFit="1" customWidth="1"/>
    <col min="11" max="11" width="7" style="349" customWidth="1"/>
    <col min="12" max="12" width="15.1796875" style="349" customWidth="1"/>
    <col min="13" max="13" width="17.26953125" style="349" bestFit="1" customWidth="1"/>
    <col min="14" max="14" width="16.7265625" style="349" customWidth="1"/>
    <col min="15" max="15" width="17.26953125" style="349" bestFit="1" customWidth="1"/>
    <col min="16" max="16" width="12.81640625" style="349" bestFit="1" customWidth="1"/>
    <col min="17" max="17" width="8.7265625" style="349"/>
    <col min="18" max="18" width="13.8164062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320</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c r="L5" s="350"/>
      <c r="M5" s="350"/>
      <c r="N5" s="350"/>
      <c r="O5" s="350"/>
      <c r="P5" s="350"/>
    </row>
    <row r="6" spans="1:30" x14ac:dyDescent="0.25">
      <c r="A6" s="351">
        <f ca="1">TODAY()</f>
        <v>45476</v>
      </c>
      <c r="B6" s="352" t="s">
        <v>321</v>
      </c>
      <c r="C6" s="352"/>
      <c r="D6" s="352"/>
      <c r="E6" s="352"/>
      <c r="F6" s="352"/>
      <c r="G6" s="352"/>
      <c r="H6" s="352"/>
      <c r="I6" s="352"/>
      <c r="J6" s="352"/>
      <c r="K6" s="352"/>
      <c r="L6" s="352"/>
      <c r="M6" s="352"/>
      <c r="N6" s="352"/>
      <c r="O6" s="352"/>
    </row>
    <row r="7" spans="1:30" x14ac:dyDescent="0.25">
      <c r="A7" s="504" t="s">
        <v>15</v>
      </c>
      <c r="B7" s="504"/>
      <c r="C7" s="504"/>
      <c r="D7" s="504"/>
      <c r="E7" s="504"/>
      <c r="F7" s="504"/>
      <c r="G7" s="504"/>
      <c r="H7" s="504"/>
      <c r="I7" s="504"/>
      <c r="J7" s="504"/>
      <c r="K7" s="504"/>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62"/>
      <c r="K12" s="362"/>
      <c r="L12" s="362"/>
      <c r="M12" s="362"/>
      <c r="N12" s="362"/>
      <c r="O12" s="362"/>
      <c r="P12" s="362"/>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64" t="s">
        <v>27</v>
      </c>
      <c r="B13" s="353"/>
      <c r="C13" s="353"/>
      <c r="D13" s="353"/>
      <c r="E13" s="353"/>
      <c r="F13" s="353"/>
      <c r="G13" s="353"/>
      <c r="H13" s="353"/>
      <c r="I13" s="353"/>
      <c r="R13" s="353" t="s">
        <v>169</v>
      </c>
      <c r="S13" s="365">
        <v>1.8274700000000001E-2</v>
      </c>
      <c r="T13" s="365">
        <v>1.8274700000000001E-2</v>
      </c>
      <c r="U13" s="365">
        <v>1.8274700000000001E-2</v>
      </c>
      <c r="V13" s="365">
        <v>1.8274700000000001E-2</v>
      </c>
      <c r="W13" s="365">
        <v>1.8274700000000001E-2</v>
      </c>
      <c r="X13" s="365">
        <v>1.8274700000000001E-2</v>
      </c>
      <c r="Y13" s="365">
        <v>1.8274700000000001E-2</v>
      </c>
      <c r="Z13" s="365">
        <v>1.8274700000000001E-2</v>
      </c>
      <c r="AA13" s="365">
        <v>1.8274700000000001E-2</v>
      </c>
      <c r="AB13" s="365">
        <v>1.8274700000000001E-2</v>
      </c>
      <c r="AC13" s="365">
        <v>1.8274700000000001E-2</v>
      </c>
      <c r="AD13" s="365">
        <v>1.8274700000000001E-2</v>
      </c>
    </row>
    <row r="14" spans="1:30" x14ac:dyDescent="0.25">
      <c r="A14" s="353"/>
      <c r="B14" s="353"/>
      <c r="C14" s="353"/>
      <c r="D14" s="353"/>
      <c r="E14" s="353"/>
      <c r="F14" s="353"/>
      <c r="G14" s="353"/>
      <c r="H14" s="353"/>
      <c r="I14" s="353"/>
      <c r="R14" s="353" t="s">
        <v>170</v>
      </c>
      <c r="S14" s="365">
        <v>1.8274700000000001E-2</v>
      </c>
      <c r="T14" s="365">
        <v>1.8274700000000001E-2</v>
      </c>
      <c r="U14" s="365">
        <v>1.8274700000000001E-2</v>
      </c>
      <c r="V14" s="365">
        <v>1.8274700000000001E-2</v>
      </c>
      <c r="W14" s="365">
        <v>1.8274700000000001E-2</v>
      </c>
      <c r="X14" s="365">
        <v>1.8274700000000001E-2</v>
      </c>
      <c r="Y14" s="365">
        <v>1.8274700000000001E-2</v>
      </c>
      <c r="Z14" s="365">
        <v>1.8274700000000001E-2</v>
      </c>
      <c r="AA14" s="365">
        <v>1.8274700000000001E-2</v>
      </c>
      <c r="AB14" s="365">
        <v>1.8274700000000001E-2</v>
      </c>
      <c r="AC14" s="365">
        <v>1.8274700000000001E-2</v>
      </c>
      <c r="AD14" s="365">
        <v>1.8274700000000001E-2</v>
      </c>
    </row>
    <row r="15" spans="1:30" ht="13" x14ac:dyDescent="0.3">
      <c r="A15" s="366" t="s">
        <v>335</v>
      </c>
      <c r="B15" s="353"/>
      <c r="C15" s="356">
        <f>IF('Customer Info'!B21&lt;0,0,'Customer Info'!B21)</f>
        <v>0</v>
      </c>
      <c r="D15" s="353"/>
      <c r="E15" s="353"/>
      <c r="F15" s="353"/>
      <c r="G15" s="353"/>
      <c r="H15" s="353"/>
      <c r="I15" s="353"/>
      <c r="R15" s="353"/>
      <c r="S15" s="365"/>
      <c r="T15" s="365"/>
      <c r="U15" s="365"/>
      <c r="V15" s="365"/>
      <c r="W15" s="365"/>
      <c r="X15" s="365"/>
      <c r="Y15" s="365"/>
      <c r="Z15" s="365"/>
      <c r="AA15" s="365"/>
      <c r="AB15" s="365"/>
      <c r="AC15" s="365"/>
      <c r="AD15" s="365"/>
    </row>
    <row r="16" spans="1:30" ht="13" x14ac:dyDescent="0.3">
      <c r="A16" s="366" t="s">
        <v>336</v>
      </c>
      <c r="B16" s="353"/>
      <c r="C16" s="356">
        <f>IF('Customer Info'!B22&lt;0,0,'Customer Info'!B22)</f>
        <v>0</v>
      </c>
      <c r="D16" s="353"/>
      <c r="E16" s="353"/>
      <c r="F16" s="353"/>
      <c r="G16" s="353"/>
      <c r="H16" s="353"/>
      <c r="I16" s="353"/>
      <c r="R16" s="353"/>
      <c r="S16" s="365"/>
      <c r="T16" s="365"/>
      <c r="U16" s="365"/>
      <c r="V16" s="365"/>
      <c r="W16" s="365"/>
      <c r="X16" s="365"/>
      <c r="Y16" s="365"/>
      <c r="Z16" s="365"/>
      <c r="AA16" s="365"/>
      <c r="AB16" s="365"/>
      <c r="AC16" s="365"/>
      <c r="AD16" s="365"/>
    </row>
    <row r="17" spans="1:221" x14ac:dyDescent="0.25">
      <c r="A17" s="366" t="s">
        <v>337</v>
      </c>
      <c r="B17" s="367"/>
      <c r="C17" s="353">
        <f>C15+C16</f>
        <v>0</v>
      </c>
      <c r="D17" s="367" t="s">
        <v>41</v>
      </c>
      <c r="E17" s="367"/>
      <c r="F17" s="368"/>
      <c r="G17" s="367"/>
      <c r="H17" s="367"/>
      <c r="I17" s="367"/>
      <c r="R17" s="369" t="s">
        <v>188</v>
      </c>
      <c r="S17" s="349">
        <f>'Rider Rates'!$C$21</f>
        <v>7.0209999999999995E-2</v>
      </c>
      <c r="T17" s="349">
        <f>'Rider Rates'!$C$21</f>
        <v>7.0209999999999995E-2</v>
      </c>
      <c r="U17" s="349">
        <f>'Rider Rates'!$C$21</f>
        <v>7.0209999999999995E-2</v>
      </c>
      <c r="V17" s="349">
        <f>'Rider Rates'!$C$21</f>
        <v>7.0209999999999995E-2</v>
      </c>
      <c r="W17" s="349">
        <f>'Rider Rates'!$C$21</f>
        <v>7.0209999999999995E-2</v>
      </c>
      <c r="X17" s="349">
        <f>'Rider Rates'!$B$21</f>
        <v>7.0209999999999995E-2</v>
      </c>
      <c r="Y17" s="349">
        <f>'Rider Rates'!$B$21</f>
        <v>7.0209999999999995E-2</v>
      </c>
      <c r="Z17" s="349">
        <f>'Rider Rates'!$B$21</f>
        <v>7.0209999999999995E-2</v>
      </c>
      <c r="AA17" s="349">
        <f>'Rider Rates'!$B$21</f>
        <v>7.0209999999999995E-2</v>
      </c>
      <c r="AB17" s="349">
        <f>'Rider Rates'!$C$21</f>
        <v>7.0209999999999995E-2</v>
      </c>
      <c r="AC17" s="349">
        <f>'Rider Rates'!$C$21</f>
        <v>7.0209999999999995E-2</v>
      </c>
      <c r="AD17" s="349">
        <f>'Rider Rates'!$C$21</f>
        <v>7.0209999999999995E-2</v>
      </c>
    </row>
    <row r="18" spans="1:221" ht="13" x14ac:dyDescent="0.3">
      <c r="A18" s="367"/>
      <c r="B18" s="367"/>
      <c r="C18" s="368"/>
      <c r="D18" s="368"/>
      <c r="E18" s="368"/>
      <c r="F18" s="368"/>
      <c r="G18" s="354"/>
      <c r="H18" s="367"/>
      <c r="I18" s="367"/>
    </row>
    <row r="19" spans="1:221" ht="13" x14ac:dyDescent="0.3">
      <c r="A19" s="370" t="s">
        <v>124</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463" t="s">
        <v>65</v>
      </c>
      <c r="M20" s="463" t="s">
        <v>66</v>
      </c>
      <c r="N20" s="463" t="s">
        <v>67</v>
      </c>
      <c r="O20" s="463" t="s">
        <v>34</v>
      </c>
      <c r="P20" s="375" t="s">
        <v>57</v>
      </c>
    </row>
    <row r="21" spans="1:221" x14ac:dyDescent="0.25">
      <c r="A21" s="376" t="s">
        <v>32</v>
      </c>
      <c r="G21" s="377"/>
      <c r="H21" s="377"/>
      <c r="I21" s="250">
        <f>'Rider Rates'!B140</f>
        <v>10</v>
      </c>
      <c r="J21" s="250">
        <f>SUM(G21:I21)</f>
        <v>10</v>
      </c>
      <c r="L21" s="250"/>
      <c r="M21" s="250"/>
      <c r="N21" s="250">
        <f>I21</f>
        <v>10</v>
      </c>
      <c r="O21" s="250">
        <f>+SUM(L21:N21)</f>
        <v>10</v>
      </c>
      <c r="P21" s="378">
        <v>44531</v>
      </c>
    </row>
    <row r="22" spans="1:221" x14ac:dyDescent="0.25">
      <c r="A22" s="379" t="s">
        <v>333</v>
      </c>
      <c r="D22" s="380">
        <f>C15</f>
        <v>0</v>
      </c>
      <c r="E22" s="381" t="s">
        <v>41</v>
      </c>
      <c r="F22" s="382" t="s">
        <v>8</v>
      </c>
      <c r="G22" s="383"/>
      <c r="H22" s="383"/>
      <c r="I22" s="383">
        <f>'Rider Rates'!C140</f>
        <v>3.7427700000000001E-2</v>
      </c>
      <c r="J22" s="383">
        <f>SUM(G22:I22)</f>
        <v>3.7427700000000001E-2</v>
      </c>
      <c r="K22" s="384" t="s">
        <v>42</v>
      </c>
      <c r="L22" s="385"/>
      <c r="M22" s="385"/>
      <c r="N22" s="385">
        <f>ROUND($D22*I22,2)</f>
        <v>0</v>
      </c>
      <c r="O22" s="250">
        <f>+SUM(L22:N22)</f>
        <v>0</v>
      </c>
      <c r="P22" s="378">
        <f>'Rider Rates'!H140</f>
        <v>45444</v>
      </c>
    </row>
    <row r="23" spans="1:221" x14ac:dyDescent="0.25">
      <c r="A23" s="379" t="s">
        <v>334</v>
      </c>
      <c r="D23" s="380">
        <f>C16</f>
        <v>0</v>
      </c>
      <c r="E23" s="384" t="s">
        <v>92</v>
      </c>
      <c r="F23" s="382"/>
      <c r="G23" s="383"/>
      <c r="H23" s="383"/>
      <c r="I23" s="383">
        <f>'Rider Rates'!D140</f>
        <v>1.5787499999999999E-2</v>
      </c>
      <c r="J23" s="383">
        <f>SUM(G23:I23)</f>
        <v>1.5787499999999999E-2</v>
      </c>
      <c r="K23" s="384" t="s">
        <v>42</v>
      </c>
      <c r="L23" s="385"/>
      <c r="M23" s="385"/>
      <c r="N23" s="385">
        <f>ROUND($D23*I23,2)</f>
        <v>0</v>
      </c>
      <c r="O23" s="250">
        <f>+SUM(L23:N23)</f>
        <v>0</v>
      </c>
      <c r="P23" s="378">
        <f>'Rider Rates'!H140</f>
        <v>45444</v>
      </c>
    </row>
    <row r="24" spans="1:221" ht="13" x14ac:dyDescent="0.3">
      <c r="A24" s="386" t="s">
        <v>75</v>
      </c>
      <c r="B24" s="387"/>
      <c r="C24" s="387"/>
      <c r="D24" s="388"/>
      <c r="E24" s="388"/>
      <c r="F24" s="387"/>
      <c r="G24" s="387"/>
      <c r="I24" s="389"/>
      <c r="K24" s="390"/>
      <c r="L24" s="391"/>
      <c r="M24" s="392"/>
      <c r="N24" s="391">
        <f>SUM(N19:N23)</f>
        <v>10</v>
      </c>
      <c r="O24" s="391">
        <f>SUM(O21:O23)</f>
        <v>10</v>
      </c>
      <c r="R24" s="393"/>
      <c r="S24" s="394"/>
      <c r="T24" s="395"/>
      <c r="U24" s="353"/>
      <c r="V24" s="396"/>
      <c r="W24" s="353"/>
      <c r="X24" s="353"/>
      <c r="Y24" s="353"/>
      <c r="Z24" s="353"/>
      <c r="AA24" s="353"/>
      <c r="AB24" s="353"/>
      <c r="AC24" s="353"/>
      <c r="AD24" s="353"/>
    </row>
    <row r="25" spans="1:221" ht="13" x14ac:dyDescent="0.3">
      <c r="A25" s="397"/>
      <c r="B25" s="397"/>
      <c r="C25" s="397"/>
      <c r="D25" s="398"/>
      <c r="E25" s="398"/>
      <c r="F25" s="397"/>
      <c r="G25" s="398"/>
      <c r="H25" s="398"/>
      <c r="I25" s="398"/>
      <c r="J25" s="398"/>
      <c r="K25" s="399"/>
      <c r="L25" s="398"/>
      <c r="M25" s="398"/>
      <c r="N25" s="398"/>
      <c r="O25" s="398"/>
      <c r="P25" s="398"/>
      <c r="R25" s="400"/>
      <c r="S25" s="394"/>
      <c r="T25" s="395"/>
      <c r="U25" s="353"/>
      <c r="V25" s="396"/>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row>
    <row r="26" spans="1:221" ht="13" x14ac:dyDescent="0.3">
      <c r="A26" s="364" t="s">
        <v>70</v>
      </c>
      <c r="B26" s="401"/>
      <c r="C26" s="401"/>
      <c r="D26" s="402"/>
      <c r="E26" s="402"/>
      <c r="F26" s="401"/>
      <c r="G26" s="402"/>
      <c r="H26" s="402"/>
      <c r="I26" s="402"/>
      <c r="J26" s="402"/>
      <c r="K26" s="402"/>
      <c r="L26" s="402"/>
      <c r="M26" s="402"/>
      <c r="N26" s="402"/>
      <c r="O26" s="402"/>
      <c r="P26" s="353"/>
      <c r="R26" s="400"/>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P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79</v>
      </c>
      <c r="B28" s="405"/>
      <c r="C28" s="405"/>
      <c r="D28" s="380">
        <f>IF($C$17&lt;0,0,IF($C$17&gt;833000,833000,$C$17))</f>
        <v>0</v>
      </c>
      <c r="E28" s="381" t="s">
        <v>41</v>
      </c>
      <c r="F28" s="382" t="s">
        <v>8</v>
      </c>
      <c r="G28" s="406"/>
      <c r="H28" s="406"/>
      <c r="I28" s="406">
        <f>'Rider Rates'!$B$4</f>
        <v>5.9216E-3</v>
      </c>
      <c r="J28" s="407">
        <f t="shared" ref="J28:J48" si="0">SUM(G28:I28)</f>
        <v>5.9216E-3</v>
      </c>
      <c r="K28" s="384" t="s">
        <v>42</v>
      </c>
      <c r="L28" s="250"/>
      <c r="M28" s="250"/>
      <c r="N28" s="250">
        <f t="shared" ref="N28:N33" si="1">ROUND(D28*I28,2)</f>
        <v>0</v>
      </c>
      <c r="O28" s="250">
        <f t="shared" ref="O28:O49" si="2">SUM(L28:N28)</f>
        <v>0</v>
      </c>
      <c r="P28" s="378">
        <f>'Rider Rates'!$D$4</f>
        <v>45293</v>
      </c>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80</v>
      </c>
      <c r="B29" s="353"/>
      <c r="C29" s="353"/>
      <c r="D29" s="408">
        <f>IF($C$17&gt;833000,$C$17-833000,0)</f>
        <v>0</v>
      </c>
      <c r="E29" s="381" t="s">
        <v>41</v>
      </c>
      <c r="F29" s="382" t="s">
        <v>8</v>
      </c>
      <c r="G29" s="406"/>
      <c r="H29" s="406"/>
      <c r="I29" s="406">
        <f>'Rider Rates'!$B$5</f>
        <v>1.7560000000000001E-4</v>
      </c>
      <c r="J29" s="407">
        <f t="shared" si="0"/>
        <v>1.7560000000000001E-4</v>
      </c>
      <c r="K29" s="384" t="s">
        <v>42</v>
      </c>
      <c r="L29" s="250"/>
      <c r="M29" s="250"/>
      <c r="N29" s="250">
        <f t="shared" si="1"/>
        <v>0</v>
      </c>
      <c r="O29" s="250">
        <f t="shared" si="2"/>
        <v>0</v>
      </c>
      <c r="P29" s="378">
        <f>'Rider Rates'!$D$4</f>
        <v>45293</v>
      </c>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97</v>
      </c>
      <c r="B30" s="353"/>
      <c r="C30" s="353"/>
      <c r="D30" s="380">
        <f>IF($C$17&lt;0,0,IF($C$17&gt;2000,2000,$C$17))</f>
        <v>0</v>
      </c>
      <c r="E30" s="381" t="s">
        <v>41</v>
      </c>
      <c r="F30" s="382" t="s">
        <v>8</v>
      </c>
      <c r="G30" s="406"/>
      <c r="H30" s="406"/>
      <c r="I30" s="409">
        <f>'Rider Rates'!$B$8</f>
        <v>4.6499999999999996E-3</v>
      </c>
      <c r="J30" s="409">
        <f t="shared" si="0"/>
        <v>4.6499999999999996E-3</v>
      </c>
      <c r="K30" s="384" t="s">
        <v>42</v>
      </c>
      <c r="L30" s="250"/>
      <c r="M30" s="250"/>
      <c r="N30" s="250">
        <f t="shared" si="1"/>
        <v>0</v>
      </c>
      <c r="O30" s="250">
        <f t="shared" si="2"/>
        <v>0</v>
      </c>
      <c r="P30" s="378">
        <f>'Rider Rates'!$D$7</f>
        <v>44531</v>
      </c>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98</v>
      </c>
      <c r="B31" s="353"/>
      <c r="C31" s="353"/>
      <c r="D31" s="380">
        <f>IF($C$17&lt;=2000,0,IF($C$17=0,0,IF($C$17-2000&gt;13000,13000,$C$17-2000)))</f>
        <v>0</v>
      </c>
      <c r="E31" s="381" t="s">
        <v>41</v>
      </c>
      <c r="F31" s="382" t="s">
        <v>8</v>
      </c>
      <c r="G31" s="406"/>
      <c r="H31" s="406"/>
      <c r="I31" s="409">
        <f>'Rider Rates'!$B$9</f>
        <v>4.1900000000000001E-3</v>
      </c>
      <c r="J31" s="409">
        <f t="shared" si="0"/>
        <v>4.1900000000000001E-3</v>
      </c>
      <c r="K31" s="384" t="s">
        <v>42</v>
      </c>
      <c r="L31" s="250"/>
      <c r="M31" s="250"/>
      <c r="N31" s="250">
        <f t="shared" si="1"/>
        <v>0</v>
      </c>
      <c r="O31" s="250">
        <f t="shared" si="2"/>
        <v>0</v>
      </c>
      <c r="P31" s="378">
        <f>'Rider Rates'!$D$7</f>
        <v>44531</v>
      </c>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04" t="s">
        <v>99</v>
      </c>
      <c r="B32" s="353"/>
      <c r="C32" s="353"/>
      <c r="D32" s="380">
        <f>IF($C$17=0,0,IF($C$17-15000&gt;=0,$C$17-15000,0))</f>
        <v>0</v>
      </c>
      <c r="E32" s="381" t="s">
        <v>41</v>
      </c>
      <c r="F32" s="382" t="s">
        <v>8</v>
      </c>
      <c r="G32" s="406"/>
      <c r="H32" s="406"/>
      <c r="I32" s="409">
        <f>'Rider Rates'!$B$10</f>
        <v>3.63E-3</v>
      </c>
      <c r="J32" s="409">
        <f t="shared" si="0"/>
        <v>3.63E-3</v>
      </c>
      <c r="K32" s="384" t="s">
        <v>42</v>
      </c>
      <c r="L32" s="250"/>
      <c r="M32" s="250"/>
      <c r="N32" s="250">
        <f t="shared" si="1"/>
        <v>0</v>
      </c>
      <c r="O32" s="250">
        <f t="shared" si="2"/>
        <v>0</v>
      </c>
      <c r="P32" s="378">
        <f>'Rider Rates'!$D$7</f>
        <v>44531</v>
      </c>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04" t="s">
        <v>114</v>
      </c>
      <c r="B33" s="353"/>
      <c r="C33" s="353"/>
      <c r="D33" s="410">
        <f>$N$24</f>
        <v>10</v>
      </c>
      <c r="E33" s="381" t="s">
        <v>122</v>
      </c>
      <c r="F33" s="382" t="s">
        <v>8</v>
      </c>
      <c r="G33" s="406"/>
      <c r="H33" s="406"/>
      <c r="I33" s="411">
        <f>'Rider Rates'!$B$12</f>
        <v>0</v>
      </c>
      <c r="J33" s="411">
        <f t="shared" si="0"/>
        <v>0</v>
      </c>
      <c r="K33" s="384"/>
      <c r="L33" s="250"/>
      <c r="M33" s="250"/>
      <c r="N33" s="250">
        <f t="shared" si="1"/>
        <v>0</v>
      </c>
      <c r="O33" s="250">
        <f t="shared" si="2"/>
        <v>0</v>
      </c>
      <c r="P33" s="378">
        <f>'Rider Rates'!$D$12</f>
        <v>44531</v>
      </c>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160</v>
      </c>
      <c r="B34" s="353"/>
      <c r="C34" s="353"/>
      <c r="D34" s="380">
        <f>IF($C$17&lt;0,0,$C$17)</f>
        <v>0</v>
      </c>
      <c r="E34" s="381" t="s">
        <v>41</v>
      </c>
      <c r="F34" s="382" t="s">
        <v>8</v>
      </c>
      <c r="G34" s="406"/>
      <c r="H34" s="406"/>
      <c r="I34" s="406">
        <f>'Rider Rates'!$B$15</f>
        <v>-9.7000000000000005E-4</v>
      </c>
      <c r="J34" s="406">
        <f>SUM(G34:I34)</f>
        <v>-9.7000000000000005E-4</v>
      </c>
      <c r="K34" s="384" t="s">
        <v>42</v>
      </c>
      <c r="L34" s="250"/>
      <c r="M34" s="250"/>
      <c r="N34" s="250">
        <f>ROUND(D34*I34,2)</f>
        <v>0</v>
      </c>
      <c r="O34" s="250">
        <f t="shared" si="2"/>
        <v>0</v>
      </c>
      <c r="P34" s="378">
        <f>'Rider Rates'!$D$15</f>
        <v>45474</v>
      </c>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ht="13" x14ac:dyDescent="0.3">
      <c r="A35" s="412" t="s">
        <v>238</v>
      </c>
      <c r="B35" s="353"/>
      <c r="C35" s="353"/>
      <c r="D35" s="410">
        <f>$N$24</f>
        <v>10</v>
      </c>
      <c r="E35" s="381" t="s">
        <v>122</v>
      </c>
      <c r="F35" s="382" t="s">
        <v>8</v>
      </c>
      <c r="G35" s="406"/>
      <c r="H35" s="406"/>
      <c r="I35" s="411">
        <f>'Rider Rates'!$B$18+'Rider Rates'!$E$18</f>
        <v>0</v>
      </c>
      <c r="J35" s="411">
        <f>SUM(G35:I35)</f>
        <v>0</v>
      </c>
      <c r="K35" s="384"/>
      <c r="L35" s="250"/>
      <c r="M35" s="250"/>
      <c r="N35" s="250">
        <f>ROUND($D$35*'Rider Rates'!$B$18,2)+ROUND($D$35*'Rider Rates'!$E$18,2)</f>
        <v>0</v>
      </c>
      <c r="O35" s="250">
        <f t="shared" si="2"/>
        <v>0</v>
      </c>
      <c r="P35" s="378">
        <f>MAX('Rider Rates'!$D$18,'Rider Rates'!$F$18)</f>
        <v>44531</v>
      </c>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187</v>
      </c>
      <c r="B36" s="353"/>
      <c r="C36" s="353"/>
      <c r="D36" s="380">
        <f>'Customer Info'!$B$21+'Customer Info'!$B$22</f>
        <v>0</v>
      </c>
      <c r="E36" s="381" t="s">
        <v>41</v>
      </c>
      <c r="F36" s="382" t="s">
        <v>8</v>
      </c>
      <c r="G36" s="406"/>
      <c r="H36" s="406"/>
      <c r="I36" s="406"/>
      <c r="J36" s="413">
        <f>SUM(G36:H36)</f>
        <v>0</v>
      </c>
      <c r="K36" s="384" t="s">
        <v>42</v>
      </c>
      <c r="L36" s="250">
        <f>ROUND(D36*G36,2)</f>
        <v>0</v>
      </c>
      <c r="M36" s="250"/>
      <c r="N36" s="250"/>
      <c r="O36" s="250">
        <f t="shared" si="2"/>
        <v>0</v>
      </c>
      <c r="P36" s="378">
        <f>'Rider Rates'!$D$21</f>
        <v>45444</v>
      </c>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4" t="s">
        <v>173</v>
      </c>
      <c r="B37" s="353"/>
      <c r="C37" s="353"/>
      <c r="D37" s="380">
        <f>'Customer Info'!$B$21+'Customer Info'!$B$22</f>
        <v>0</v>
      </c>
      <c r="E37" s="381" t="s">
        <v>41</v>
      </c>
      <c r="F37" s="382" t="s">
        <v>8</v>
      </c>
      <c r="G37" s="406"/>
      <c r="H37" s="406"/>
      <c r="I37" s="406"/>
      <c r="J37" s="413">
        <f>SUM(G37:H37)</f>
        <v>0</v>
      </c>
      <c r="K37" s="384" t="s">
        <v>42</v>
      </c>
      <c r="L37" s="250">
        <f>ROUND(D37*G37,2)</f>
        <v>0</v>
      </c>
      <c r="M37" s="250"/>
      <c r="N37" s="250"/>
      <c r="O37" s="250">
        <f t="shared" si="2"/>
        <v>0</v>
      </c>
      <c r="P37" s="378">
        <f>'Rider Rates'!$D$29</f>
        <v>45444</v>
      </c>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2" t="s">
        <v>194</v>
      </c>
      <c r="B38" s="353"/>
      <c r="C38" s="353"/>
      <c r="D38" s="380">
        <f>'Customer Info'!$B$21+'Customer Info'!$B$22</f>
        <v>0</v>
      </c>
      <c r="E38" s="381" t="s">
        <v>41</v>
      </c>
      <c r="F38" s="382" t="s">
        <v>8</v>
      </c>
      <c r="G38" s="406"/>
      <c r="H38" s="406"/>
      <c r="I38" s="406"/>
      <c r="J38" s="413">
        <f>SUM(G38:H38)</f>
        <v>0</v>
      </c>
      <c r="K38" s="384" t="s">
        <v>42</v>
      </c>
      <c r="L38" s="250">
        <f>ROUND(D38*G38,2)</f>
        <v>0</v>
      </c>
      <c r="M38" s="250"/>
      <c r="N38" s="250"/>
      <c r="O38" s="250">
        <f>SUM(L38:N38)</f>
        <v>0</v>
      </c>
      <c r="P38" s="378">
        <f>'Rider Rates'!$D$45</f>
        <v>45383</v>
      </c>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4" t="s">
        <v>211</v>
      </c>
      <c r="B39" s="353"/>
      <c r="C39" s="353"/>
      <c r="D39" s="380"/>
      <c r="E39" s="381" t="s">
        <v>115</v>
      </c>
      <c r="F39" s="382" t="s">
        <v>15</v>
      </c>
      <c r="G39" s="406"/>
      <c r="H39" s="406"/>
      <c r="I39" s="406">
        <f>'Rider Rates'!D48</f>
        <v>1.39</v>
      </c>
      <c r="J39" s="406">
        <f>SUM(G39:I39)</f>
        <v>1.39</v>
      </c>
      <c r="K39" s="384" t="s">
        <v>42</v>
      </c>
      <c r="L39" s="250"/>
      <c r="M39" s="250"/>
      <c r="N39" s="250">
        <f>J39</f>
        <v>1.39</v>
      </c>
      <c r="O39" s="250">
        <f>SUM(L39:N39)</f>
        <v>1.39</v>
      </c>
      <c r="P39" s="378">
        <f>'Rider Rates'!E48</f>
        <v>45474</v>
      </c>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12" t="s">
        <v>190</v>
      </c>
      <c r="B40" s="353"/>
      <c r="C40" s="353"/>
      <c r="D40" s="380">
        <f>IF($C$17&lt;0,0,$C$17)</f>
        <v>0</v>
      </c>
      <c r="E40" s="415" t="s">
        <v>41</v>
      </c>
      <c r="F40" s="382" t="s">
        <v>8</v>
      </c>
      <c r="G40" s="406"/>
      <c r="H40" s="406">
        <f>'Rider Rates'!$B$55</f>
        <v>4.3837099999999997E-2</v>
      </c>
      <c r="I40" s="406"/>
      <c r="J40" s="406">
        <f>SUM(G40:I40)</f>
        <v>4.3837099999999997E-2</v>
      </c>
      <c r="K40" s="384" t="s">
        <v>42</v>
      </c>
      <c r="L40" s="250"/>
      <c r="M40" s="250">
        <f>ROUND(D40*H40,2)</f>
        <v>0</v>
      </c>
      <c r="N40" s="416"/>
      <c r="O40" s="250">
        <f t="shared" si="2"/>
        <v>0</v>
      </c>
      <c r="P40" s="378">
        <f>'Rider Rates'!$D$55</f>
        <v>45383</v>
      </c>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f>IF('Customer Info'!C34=TRUE,0,IF($C$17&lt;0,0,$C$17))</f>
        <v>0</v>
      </c>
      <c r="E41" s="381" t="s">
        <v>41</v>
      </c>
      <c r="F41" s="382" t="s">
        <v>8</v>
      </c>
      <c r="G41" s="406"/>
      <c r="H41" s="406"/>
      <c r="I41" s="406">
        <f>'Rider Rates'!$B$67+'Rider Rates'!$C$67</f>
        <v>0</v>
      </c>
      <c r="J41" s="406">
        <f t="shared" si="0"/>
        <v>0</v>
      </c>
      <c r="K41" s="384" t="s">
        <v>42</v>
      </c>
      <c r="L41" s="250"/>
      <c r="M41" s="250"/>
      <c r="N41" s="250">
        <f>ROUND($D$41*'Rider Rates'!$B$67,2)+ROUND($D$41*'Rider Rates'!$C$67,2)</f>
        <v>0</v>
      </c>
      <c r="O41" s="250">
        <f t="shared" si="2"/>
        <v>0</v>
      </c>
      <c r="P41" s="378">
        <f>'Rider Rates'!$D$67</f>
        <v>45444</v>
      </c>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$N$24</f>
        <v>10</v>
      </c>
      <c r="E42" s="381" t="s">
        <v>122</v>
      </c>
      <c r="F42" s="382" t="s">
        <v>8</v>
      </c>
      <c r="G42" s="417"/>
      <c r="H42" s="373"/>
      <c r="I42" s="418">
        <f>'Rider Rates'!$B$83</f>
        <v>2.9347000000000002E-2</v>
      </c>
      <c r="J42" s="418">
        <f t="shared" si="0"/>
        <v>2.9347000000000002E-2</v>
      </c>
      <c r="K42" s="384"/>
      <c r="L42" s="250"/>
      <c r="M42" s="250"/>
      <c r="N42" s="250">
        <f>ROUND(D42*I42,2)</f>
        <v>0.28999999999999998</v>
      </c>
      <c r="O42" s="250">
        <f t="shared" si="2"/>
        <v>0.28999999999999998</v>
      </c>
      <c r="P42" s="378">
        <f>'Rider Rates'!$D$83</f>
        <v>45383</v>
      </c>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$N$24</f>
        <v>10</v>
      </c>
      <c r="E43" s="381" t="s">
        <v>122</v>
      </c>
      <c r="F43" s="382" t="s">
        <v>8</v>
      </c>
      <c r="G43" s="419"/>
      <c r="H43" s="373"/>
      <c r="I43" s="418">
        <f>'Rider Rates'!$B$85</f>
        <v>6.6985699999999995E-2</v>
      </c>
      <c r="J43" s="418">
        <f t="shared" si="0"/>
        <v>6.6985699999999995E-2</v>
      </c>
      <c r="K43" s="384"/>
      <c r="L43" s="250"/>
      <c r="M43" s="250"/>
      <c r="N43" s="250">
        <f>ROUND(D43*I43,2)</f>
        <v>0.67</v>
      </c>
      <c r="O43" s="250">
        <f t="shared" si="2"/>
        <v>0.67</v>
      </c>
      <c r="P43" s="378">
        <f>'Rider Rates'!$D$85</f>
        <v>45167</v>
      </c>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Rates'!$B$88</f>
        <v>1.42</v>
      </c>
      <c r="J44" s="420">
        <f t="shared" si="0"/>
        <v>1.42</v>
      </c>
      <c r="K44" s="384"/>
      <c r="L44" s="250"/>
      <c r="M44" s="250"/>
      <c r="N44" s="250">
        <f>I44</f>
        <v>1.42</v>
      </c>
      <c r="O44" s="250">
        <f t="shared" si="2"/>
        <v>1.42</v>
      </c>
      <c r="P44" s="378">
        <f>'Rider Rates'!$D$88</f>
        <v>45442</v>
      </c>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IF($C$17&lt;0,0,$C$17)</f>
        <v>0</v>
      </c>
      <c r="E45" s="381" t="s">
        <v>41</v>
      </c>
      <c r="F45" s="382" t="s">
        <v>8</v>
      </c>
      <c r="G45" s="406"/>
      <c r="H45" s="406"/>
      <c r="I45" s="406"/>
      <c r="J45" s="406">
        <f>'Rider Rates'!$B$92</f>
        <v>0</v>
      </c>
      <c r="K45" s="384" t="s">
        <v>42</v>
      </c>
      <c r="L45" s="250"/>
      <c r="M45" s="250"/>
      <c r="N45" s="250"/>
      <c r="O45" s="250">
        <f>ROUND($D45*('Rider Rates'!B$92),2)</f>
        <v>0</v>
      </c>
      <c r="P45" s="378">
        <f>'Rider Rates'!$D$92</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$N$24</f>
        <v>10</v>
      </c>
      <c r="E46" s="381" t="s">
        <v>122</v>
      </c>
      <c r="F46" s="382" t="s">
        <v>8</v>
      </c>
      <c r="G46" s="419"/>
      <c r="H46" s="373"/>
      <c r="I46" s="418">
        <f>'Rider Rates'!$B$103</f>
        <v>0.21398439999999999</v>
      </c>
      <c r="J46" s="418">
        <f t="shared" si="0"/>
        <v>0.21398439999999999</v>
      </c>
      <c r="K46" s="384"/>
      <c r="L46" s="250"/>
      <c r="M46" s="250"/>
      <c r="N46" s="250">
        <f>ROUND(D46*I46,2)</f>
        <v>2.14</v>
      </c>
      <c r="O46" s="250">
        <f t="shared" si="2"/>
        <v>2.14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Rates'!$B$106</f>
        <v>0</v>
      </c>
      <c r="J47" s="420">
        <f t="shared" si="0"/>
        <v>0</v>
      </c>
      <c r="K47" s="384"/>
      <c r="L47" s="250"/>
      <c r="M47" s="250"/>
      <c r="N47" s="250">
        <f>I47</f>
        <v>0</v>
      </c>
      <c r="O47" s="250">
        <f t="shared" si="2"/>
        <v>0</v>
      </c>
      <c r="P47" s="378">
        <f>'Rider Rates'!$D$106</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Rates'!B119</f>
        <v>1.26</v>
      </c>
      <c r="J48" s="420">
        <f t="shared" si="0"/>
        <v>1.26</v>
      </c>
      <c r="K48" s="384"/>
      <c r="L48" s="250"/>
      <c r="M48" s="250"/>
      <c r="N48" s="422">
        <f>I48</f>
        <v>1.26</v>
      </c>
      <c r="O48" s="250">
        <f t="shared" si="2"/>
        <v>1.26</v>
      </c>
      <c r="P48" s="378">
        <f>'Rider Rates'!D119</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21" x14ac:dyDescent="0.25">
      <c r="A49" s="404" t="s">
        <v>158</v>
      </c>
      <c r="B49" s="353"/>
      <c r="C49" s="353"/>
      <c r="D49" s="380">
        <f>'Customer Info'!$B$21+'Customer Info'!$B$22</f>
        <v>0</v>
      </c>
      <c r="E49" s="381" t="s">
        <v>41</v>
      </c>
      <c r="F49" s="382" t="s">
        <v>8</v>
      </c>
      <c r="G49" s="406"/>
      <c r="H49" s="406"/>
      <c r="I49" s="418"/>
      <c r="J49" s="413">
        <f>SUM(G49:H49)</f>
        <v>0</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21" x14ac:dyDescent="0.25">
      <c r="A50" s="412" t="s">
        <v>209</v>
      </c>
      <c r="B50" s="353"/>
      <c r="C50" s="353"/>
      <c r="D50" s="380">
        <f>IF($C$17&lt;1,0,$C$17)</f>
        <v>0</v>
      </c>
      <c r="E50" s="381" t="s">
        <v>41</v>
      </c>
      <c r="F50" s="375" t="s">
        <v>8</v>
      </c>
      <c r="G50" s="383"/>
      <c r="H50" s="383"/>
      <c r="I50" s="423">
        <f>'Rider Rates'!B115</f>
        <v>-2.3000000000000001E-4</v>
      </c>
      <c r="J50" s="423">
        <f>SUM(G50:I50)</f>
        <v>-2.3000000000000001E-4</v>
      </c>
      <c r="K50" s="384" t="s">
        <v>42</v>
      </c>
      <c r="L50" s="250"/>
      <c r="M50" s="250"/>
      <c r="N50" s="250">
        <f>D50*J50</f>
        <v>0</v>
      </c>
      <c r="O50" s="250">
        <f>SUM(L50:N50)</f>
        <v>0</v>
      </c>
      <c r="P50" s="378">
        <f>'Rider Rates'!D115</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21" x14ac:dyDescent="0.25">
      <c r="A51" s="414" t="s">
        <v>231</v>
      </c>
      <c r="B51" s="353"/>
      <c r="C51" s="353"/>
      <c r="D51" s="380"/>
      <c r="E51" s="381" t="s">
        <v>115</v>
      </c>
      <c r="F51" s="382" t="s">
        <v>8</v>
      </c>
      <c r="G51" s="424"/>
      <c r="H51" s="424"/>
      <c r="I51" s="424">
        <f>'Rider Rates'!$B$123</f>
        <v>0.1</v>
      </c>
      <c r="J51" s="424">
        <f>SUM(G51:I51)</f>
        <v>0.1</v>
      </c>
      <c r="K51" s="384"/>
      <c r="L51" s="425"/>
      <c r="M51" s="425"/>
      <c r="N51" s="425">
        <f>J51</f>
        <v>0.1</v>
      </c>
      <c r="O51" s="425">
        <f>SUM(L51:N51)</f>
        <v>0.1</v>
      </c>
      <c r="P51" s="426">
        <f>'Rider Rates'!$E$123</f>
        <v>44927</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21" x14ac:dyDescent="0.25">
      <c r="A52" s="414" t="s">
        <v>243</v>
      </c>
      <c r="B52" s="353"/>
      <c r="C52" s="353"/>
      <c r="D52" s="380">
        <f>C17</f>
        <v>0</v>
      </c>
      <c r="E52" s="381" t="s">
        <v>41</v>
      </c>
      <c r="F52" s="375" t="s">
        <v>8</v>
      </c>
      <c r="G52" s="406"/>
      <c r="H52" s="406"/>
      <c r="I52" s="406">
        <f>'Rider Rates'!$B$128</f>
        <v>0</v>
      </c>
      <c r="J52" s="413">
        <f>SUM(G52:I52)</f>
        <v>0</v>
      </c>
      <c r="K52" s="384" t="s">
        <v>42</v>
      </c>
      <c r="L52" s="250"/>
      <c r="M52" s="250"/>
      <c r="N52" s="250">
        <f>D52*J52</f>
        <v>0</v>
      </c>
      <c r="O52" s="250">
        <f>SUM(L52:N52)</f>
        <v>0</v>
      </c>
      <c r="P52" s="378">
        <f>'Rider Rates'!D128</f>
        <v>44531</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21" x14ac:dyDescent="0.25">
      <c r="A53" s="414" t="s">
        <v>242</v>
      </c>
      <c r="B53" s="353"/>
      <c r="C53" s="353"/>
      <c r="D53" s="380"/>
      <c r="E53" s="381" t="s">
        <v>115</v>
      </c>
      <c r="F53" s="382" t="s">
        <v>8</v>
      </c>
      <c r="G53" s="424"/>
      <c r="H53" s="424"/>
      <c r="I53" s="424">
        <f>'Rider Rates'!$B$135</f>
        <v>0</v>
      </c>
      <c r="J53" s="424">
        <f>SUM(G53:I53)</f>
        <v>0</v>
      </c>
      <c r="K53" s="384"/>
      <c r="L53" s="425"/>
      <c r="M53" s="425"/>
      <c r="N53" s="425">
        <f>J53</f>
        <v>0</v>
      </c>
      <c r="O53" s="425">
        <f>SUM(L53:N53)</f>
        <v>0</v>
      </c>
      <c r="P53" s="426">
        <f>'Rider Rates'!$D$131</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21" x14ac:dyDescent="0.25">
      <c r="A54" s="414" t="s">
        <v>244</v>
      </c>
      <c r="B54" s="353"/>
      <c r="C54" s="353"/>
      <c r="D54" s="380"/>
      <c r="E54" s="381"/>
      <c r="F54" s="382"/>
      <c r="G54" s="424"/>
      <c r="H54" s="424"/>
      <c r="I54" s="424"/>
      <c r="J54" s="424"/>
      <c r="K54" s="384"/>
      <c r="L54" s="425"/>
      <c r="M54" s="425"/>
      <c r="N54" s="425"/>
      <c r="O54" s="425"/>
      <c r="P54" s="426"/>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21" ht="13" x14ac:dyDescent="0.3">
      <c r="A55" s="427" t="s">
        <v>71</v>
      </c>
      <c r="B55" s="364"/>
      <c r="C55" s="364"/>
      <c r="D55" s="428"/>
      <c r="E55" s="429"/>
      <c r="F55" s="430"/>
      <c r="G55" s="430"/>
      <c r="H55" s="430"/>
      <c r="I55" s="430"/>
      <c r="J55" s="430"/>
      <c r="K55" s="431"/>
      <c r="L55" s="432">
        <f>SUM(L28:L54)</f>
        <v>0</v>
      </c>
      <c r="M55" s="432">
        <f t="shared" ref="M55:O55" si="3">SUM(M28:M54)</f>
        <v>0</v>
      </c>
      <c r="N55" s="432">
        <f t="shared" si="3"/>
        <v>7.27</v>
      </c>
      <c r="O55" s="432">
        <f t="shared" si="3"/>
        <v>7.27</v>
      </c>
      <c r="P55" s="433"/>
      <c r="Q55" s="403"/>
      <c r="R55" s="401"/>
      <c r="S55" s="401"/>
      <c r="T55" s="434"/>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21" ht="13" x14ac:dyDescent="0.3">
      <c r="A56" s="353"/>
      <c r="B56" s="353"/>
      <c r="C56" s="353"/>
      <c r="D56" s="380"/>
      <c r="E56" s="415"/>
      <c r="F56" s="403"/>
      <c r="G56" s="403"/>
      <c r="H56" s="403"/>
      <c r="I56" s="403"/>
      <c r="J56" s="400"/>
      <c r="K56" s="384"/>
      <c r="L56" s="403"/>
      <c r="M56" s="403"/>
      <c r="N56" s="403"/>
      <c r="O56" s="403"/>
      <c r="P56" s="435"/>
      <c r="Q56" s="403"/>
      <c r="R56" s="401"/>
      <c r="S56" s="401"/>
      <c r="T56" s="434"/>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21" ht="13" x14ac:dyDescent="0.3">
      <c r="A57" s="397"/>
      <c r="B57" s="397"/>
      <c r="C57" s="397"/>
      <c r="D57" s="397"/>
      <c r="E57" s="397"/>
      <c r="F57" s="397"/>
      <c r="G57" s="397"/>
      <c r="H57" s="397"/>
      <c r="I57" s="397"/>
      <c r="J57" s="397"/>
      <c r="K57" s="397"/>
      <c r="L57" s="436">
        <f>L24+L55</f>
        <v>0</v>
      </c>
      <c r="M57" s="436">
        <f>M24+M55</f>
        <v>0</v>
      </c>
      <c r="N57" s="436">
        <f>N24+N55</f>
        <v>17.27</v>
      </c>
      <c r="O57" s="437">
        <f>O24+O55</f>
        <v>17.27</v>
      </c>
      <c r="P57" s="437"/>
      <c r="Q57" s="403"/>
      <c r="R57" s="401"/>
      <c r="S57" s="401"/>
      <c r="T57" s="434"/>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21" ht="13" x14ac:dyDescent="0.3">
      <c r="A58" s="438"/>
      <c r="B58" s="353"/>
      <c r="C58" s="353"/>
      <c r="D58" s="353"/>
      <c r="E58" s="353"/>
      <c r="F58" s="353"/>
      <c r="G58" s="353"/>
      <c r="H58" s="353"/>
      <c r="I58" s="353"/>
      <c r="J58" s="353"/>
      <c r="K58" s="353"/>
      <c r="L58" s="353"/>
      <c r="M58" s="353"/>
      <c r="Q58" s="401"/>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21" ht="13" x14ac:dyDescent="0.3">
      <c r="A59" s="439"/>
      <c r="B59" s="353"/>
      <c r="C59" s="353"/>
      <c r="D59" s="353"/>
      <c r="E59" s="353"/>
      <c r="F59" s="353"/>
      <c r="G59" s="353"/>
      <c r="H59" s="353"/>
      <c r="I59" s="353"/>
      <c r="J59" s="353"/>
      <c r="K59" s="353"/>
      <c r="L59" s="353"/>
      <c r="M59" s="353"/>
      <c r="Q59" s="401"/>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21" ht="13" x14ac:dyDescent="0.3">
      <c r="A60" s="401" t="s">
        <v>93</v>
      </c>
      <c r="B60" s="353"/>
      <c r="C60" s="353"/>
      <c r="D60" s="401"/>
      <c r="E60" s="353"/>
      <c r="F60" s="353"/>
      <c r="G60" s="353"/>
      <c r="H60" s="353"/>
      <c r="I60" s="353"/>
      <c r="J60" s="353"/>
      <c r="K60" s="353"/>
      <c r="L60" s="353"/>
      <c r="M60" s="353"/>
      <c r="N60" s="353"/>
      <c r="O60" s="395">
        <f>IF($C$17&lt;=0,MIN(O21,O57), O21)</f>
        <v>10</v>
      </c>
      <c r="Q60" s="401"/>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21" ht="13" x14ac:dyDescent="0.3">
      <c r="A61" s="439"/>
      <c r="B61" s="401"/>
      <c r="C61" s="401"/>
      <c r="D61" s="401"/>
      <c r="E61" s="401"/>
      <c r="F61" s="401"/>
      <c r="G61" s="401"/>
      <c r="H61" s="401"/>
      <c r="I61" s="353"/>
      <c r="J61" s="353"/>
      <c r="K61" s="353"/>
      <c r="L61" s="353"/>
      <c r="M61" s="353"/>
      <c r="Q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21" ht="13" x14ac:dyDescent="0.3">
      <c r="A62" s="364" t="s">
        <v>117</v>
      </c>
      <c r="O62" s="440">
        <f>IF($C$17&lt;0,O57,IF(O57&gt;O60,O57,O60))</f>
        <v>17.27</v>
      </c>
      <c r="P62" s="441"/>
      <c r="Q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21" x14ac:dyDescent="0.25">
      <c r="A63" s="439"/>
    </row>
    <row r="64" spans="1:221" ht="13" x14ac:dyDescent="0.3">
      <c r="A64" s="439"/>
      <c r="I64" s="401" t="s">
        <v>121</v>
      </c>
      <c r="J64" s="401"/>
      <c r="K64" s="401"/>
      <c r="L64" s="442"/>
      <c r="M64" s="442"/>
      <c r="N64" s="442"/>
      <c r="O64" s="442">
        <f>ROUND(IF($C$17&lt;1,0,O57/($C$17*100)*10000),2)</f>
        <v>0</v>
      </c>
      <c r="P64" s="387" t="s">
        <v>87</v>
      </c>
    </row>
    <row r="65" spans="1:16" ht="13" x14ac:dyDescent="0.3">
      <c r="A65" s="439"/>
      <c r="I65" s="443" t="s">
        <v>191</v>
      </c>
      <c r="J65" s="353"/>
      <c r="K65" s="353"/>
      <c r="L65" s="353"/>
      <c r="M65" s="353"/>
      <c r="N65" s="353"/>
      <c r="O65" s="444">
        <f>ROUND(IF($C$17&lt;1,0,(L57)/($C$17*100)*10000),2)</f>
        <v>0</v>
      </c>
      <c r="P65" s="356" t="s">
        <v>87</v>
      </c>
    </row>
    <row r="66" spans="1:16" x14ac:dyDescent="0.25">
      <c r="A66" s="439"/>
    </row>
    <row r="67" spans="1:16" x14ac:dyDescent="0.25">
      <c r="A67" s="439"/>
    </row>
    <row r="68" spans="1:16" x14ac:dyDescent="0.25">
      <c r="A68" s="439"/>
    </row>
    <row r="69" spans="1:16" x14ac:dyDescent="0.25">
      <c r="A69" s="439"/>
    </row>
    <row r="70" spans="1:16" x14ac:dyDescent="0.25">
      <c r="A70" s="439"/>
    </row>
    <row r="71" spans="1:16" x14ac:dyDescent="0.25">
      <c r="A71" s="439"/>
    </row>
    <row r="72" spans="1:16" x14ac:dyDescent="0.25">
      <c r="A72" s="439"/>
    </row>
  </sheetData>
  <sheetProtection algorithmName="SHA-512" hashValue="7e4JctS+6aeDWINR+TGASSaOuUL/1n/VuLsBeyIPVAmm18SmkCVTZZbt2cMO7RtcUGCx//f1twAtlDcySzR9iw==" saltValue="U1IVqI7Udr/zzJtw5F2eZ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603250</xdr:colOff>
                    <xdr:row>80</xdr:row>
                    <xdr:rowOff>38100</xdr:rowOff>
                  </from>
                  <to>
                    <xdr:col>14</xdr:col>
                    <xdr:colOff>1123950</xdr:colOff>
                    <xdr:row>81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1"/>
  <sheetViews>
    <sheetView showGridLines="0" zoomScale="80" zoomScaleNormal="80" workbookViewId="0">
      <selection activeCell="G42" sqref="G42"/>
    </sheetView>
  </sheetViews>
  <sheetFormatPr defaultRowHeight="12.5" x14ac:dyDescent="0.25"/>
  <cols>
    <col min="1" max="1" width="31" customWidth="1"/>
    <col min="2" max="2" width="2.1796875" customWidth="1"/>
    <col min="3" max="3" width="21.1796875" customWidth="1"/>
    <col min="4" max="4" width="15.26953125" customWidth="1"/>
    <col min="5" max="5" width="10.1796875" customWidth="1"/>
    <col min="6" max="6" width="5.54296875" customWidth="1"/>
    <col min="7" max="8" width="13.26953125" customWidth="1"/>
    <col min="9" max="9" width="14.54296875" customWidth="1"/>
    <col min="10" max="10" width="13.26953125" customWidth="1"/>
    <col min="11" max="11" width="7" customWidth="1"/>
    <col min="12" max="12" width="15.1796875" customWidth="1"/>
    <col min="13" max="13" width="17.26953125" bestFit="1" customWidth="1"/>
    <col min="14" max="14" width="16.7265625" customWidth="1"/>
    <col min="15" max="15" width="19.1796875" bestFit="1" customWidth="1"/>
    <col min="16" max="16" width="12.81640625" bestFit="1" customWidth="1"/>
    <col min="18" max="18" width="9.17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270</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row>
    <row r="6" spans="1:30" x14ac:dyDescent="0.25">
      <c r="A6" s="76">
        <f ca="1">TODAY()</f>
        <v>45476</v>
      </c>
      <c r="B6" s="210" t="s">
        <v>269</v>
      </c>
      <c r="C6" s="76"/>
      <c r="D6" s="76"/>
      <c r="E6" s="76"/>
      <c r="F6" s="76"/>
      <c r="G6" s="76"/>
      <c r="H6" s="76"/>
      <c r="I6" s="76"/>
    </row>
    <row r="7" spans="1:30" ht="25" x14ac:dyDescent="0.5">
      <c r="A7" s="506"/>
      <c r="B7" s="506"/>
      <c r="C7" s="506"/>
      <c r="D7" s="506"/>
      <c r="E7" s="506"/>
      <c r="F7" s="506"/>
      <c r="G7" s="506"/>
      <c r="H7" s="506"/>
      <c r="I7" s="506"/>
      <c r="J7" s="506"/>
      <c r="K7" s="506"/>
      <c r="L7" s="506"/>
      <c r="M7" s="506"/>
      <c r="N7" s="506"/>
      <c r="O7" s="506"/>
      <c r="P7" s="506"/>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c r="B16" s="31"/>
      <c r="C16" s="32"/>
      <c r="D16" s="31"/>
      <c r="E16" s="31"/>
      <c r="F16" s="33"/>
      <c r="G16" s="23" t="s">
        <v>15</v>
      </c>
      <c r="H16" s="31"/>
    </row>
    <row r="17" spans="1:221" ht="13" x14ac:dyDescent="0.3">
      <c r="A17" s="31"/>
      <c r="B17" s="31"/>
      <c r="C17" s="33"/>
      <c r="D17" s="33"/>
      <c r="E17" s="33"/>
      <c r="F17" s="33"/>
      <c r="G17" s="23" t="s">
        <v>15</v>
      </c>
      <c r="H17" s="31"/>
      <c r="I17" s="52" t="s">
        <v>15</v>
      </c>
    </row>
    <row r="19" spans="1:221" ht="13" x14ac:dyDescent="0.3">
      <c r="A19" s="28" t="s">
        <v>31</v>
      </c>
      <c r="B19" s="22"/>
      <c r="C19" s="22"/>
      <c r="D19" s="22"/>
      <c r="E19" s="22"/>
      <c r="F19" s="22"/>
      <c r="G19" s="490" t="s">
        <v>68</v>
      </c>
      <c r="H19" s="491"/>
      <c r="I19" s="491"/>
      <c r="J19" s="492"/>
      <c r="K19" s="22"/>
      <c r="L19" s="493" t="s">
        <v>69</v>
      </c>
      <c r="M19" s="493"/>
      <c r="N19" s="493"/>
      <c r="O19" s="493"/>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f>'Rider Rates'!$D$7</f>
        <v>44531</v>
      </c>
    </row>
    <row r="22" spans="1:221" x14ac:dyDescent="0.25">
      <c r="A22" t="s">
        <v>73</v>
      </c>
      <c r="D22" s="1">
        <f>MAX(MIN($C$15,1000),-1000)</f>
        <v>0</v>
      </c>
      <c r="E22" s="35" t="s">
        <v>41</v>
      </c>
      <c r="F22" s="4" t="s">
        <v>8</v>
      </c>
      <c r="G22" s="84"/>
      <c r="H22" s="84"/>
      <c r="I22" s="84">
        <v>1.8332399999999999E-2</v>
      </c>
      <c r="J22" s="84">
        <f>SUM(G22:I22)</f>
        <v>1.8332399999999999E-2</v>
      </c>
      <c r="K22" s="36" t="s">
        <v>42</v>
      </c>
      <c r="L22" s="87"/>
      <c r="M22" s="87"/>
      <c r="N22" s="87">
        <f>IF(C15&lt;0,0,ROUND($D22*I22,2))</f>
        <v>0</v>
      </c>
      <c r="O22" s="209">
        <f>SUM(L22:N22)</f>
        <v>0</v>
      </c>
      <c r="P22" s="245">
        <v>45261</v>
      </c>
    </row>
    <row r="23" spans="1:221" x14ac:dyDescent="0.25">
      <c r="A23" t="s">
        <v>74</v>
      </c>
      <c r="D23" s="1">
        <f>IF($C$15&gt;0,MAX($C$15-1000,0),MIN($C$15+1000,0))</f>
        <v>0</v>
      </c>
      <c r="E23" s="35" t="s">
        <v>41</v>
      </c>
      <c r="F23" s="4" t="s">
        <v>8</v>
      </c>
      <c r="G23" s="84"/>
      <c r="H23" s="84"/>
      <c r="I23" s="84">
        <v>1.8332399999999999E-2</v>
      </c>
      <c r="J23" s="84">
        <f>SUM(G23:I23)</f>
        <v>1.8332399999999999E-2</v>
      </c>
      <c r="K23" s="36" t="s">
        <v>42</v>
      </c>
      <c r="L23" s="87"/>
      <c r="M23" s="87"/>
      <c r="N23" s="87">
        <f>ROUND($D23*I23,2)</f>
        <v>0</v>
      </c>
      <c r="O23" s="87">
        <f>SUM(L23:N23)</f>
        <v>0</v>
      </c>
      <c r="P23" s="245">
        <v>45261</v>
      </c>
    </row>
    <row r="24" spans="1:221" ht="13" x14ac:dyDescent="0.3">
      <c r="A24" s="37" t="s">
        <v>50</v>
      </c>
      <c r="B24" s="37"/>
      <c r="C24" s="37"/>
      <c r="D24" s="38"/>
      <c r="E24" s="38"/>
      <c r="F24" s="37"/>
      <c r="G24" s="37"/>
      <c r="H24" s="37"/>
      <c r="I24" s="37"/>
      <c r="J24" s="37"/>
      <c r="K24" s="39"/>
      <c r="L24" s="40"/>
      <c r="M24" s="40"/>
      <c r="N24" s="40">
        <f>SUM(N21:N23)</f>
        <v>9.4</v>
      </c>
      <c r="O24" s="40">
        <f>SUM(O21:O23)</f>
        <v>9.4</v>
      </c>
    </row>
    <row r="25" spans="1:221" ht="13" x14ac:dyDescent="0.3">
      <c r="A25" s="89"/>
      <c r="B25" s="89"/>
      <c r="C25" s="90"/>
      <c r="D25" s="90"/>
      <c r="E25" s="90"/>
      <c r="F25" s="90"/>
      <c r="G25" s="91"/>
      <c r="H25" s="91"/>
      <c r="I25" s="91"/>
      <c r="J25" s="91"/>
      <c r="K25" s="89"/>
      <c r="L25" s="89"/>
      <c r="M25" s="89"/>
      <c r="N25" s="89"/>
      <c r="O25" s="89"/>
      <c r="P25" s="89"/>
    </row>
    <row r="26" spans="1:221" ht="13" x14ac:dyDescent="0.3">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176"/>
      <c r="C28" s="176"/>
      <c r="D28" s="100">
        <f>IF($C$15&lt;0,0,IF($C$15&gt;833000,833000,$C$15))</f>
        <v>0</v>
      </c>
      <c r="E28" s="101" t="s">
        <v>41</v>
      </c>
      <c r="F28" s="102" t="s">
        <v>8</v>
      </c>
      <c r="G28" s="103"/>
      <c r="H28" s="103"/>
      <c r="I28" s="103">
        <f>'Rider Rates'!$B$4</f>
        <v>5.9216E-3</v>
      </c>
      <c r="J28" s="103">
        <f t="shared" ref="J28:J44" si="0">SUM(G28:I28)</f>
        <v>5.9216E-3</v>
      </c>
      <c r="K28" s="104" t="s">
        <v>42</v>
      </c>
      <c r="L28" s="105"/>
      <c r="M28" s="105"/>
      <c r="N28" s="105">
        <f t="shared" ref="N28:N33" si="1">ROUND(D28*I28,2)</f>
        <v>0</v>
      </c>
      <c r="O28" s="105">
        <f t="shared" ref="O28:O44" si="2">SUM(L28:N28)</f>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45293</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160</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ht="13" x14ac:dyDescent="0.3">
      <c r="A34" s="210" t="s">
        <v>238</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211</v>
      </c>
      <c r="B35" s="78"/>
      <c r="C35" s="78"/>
      <c r="D35" s="100">
        <f>IF($C$15&lt;0,0,IF($C$15&gt;833000,833000,$C$15))</f>
        <v>0</v>
      </c>
      <c r="E35" s="101" t="s">
        <v>41</v>
      </c>
      <c r="F35" s="102" t="s">
        <v>8</v>
      </c>
      <c r="G35" s="103"/>
      <c r="H35" s="103"/>
      <c r="I35" s="103">
        <f>'Rider Rates'!D49</f>
        <v>1.8006999999999999E-3</v>
      </c>
      <c r="J35" s="103">
        <f>SUM(G35:I35)</f>
        <v>1.8006999999999999E-3</v>
      </c>
      <c r="K35" s="104" t="s">
        <v>42</v>
      </c>
      <c r="L35" s="105"/>
      <c r="M35" s="105"/>
      <c r="N35" s="105">
        <f>D35*J35</f>
        <v>0</v>
      </c>
      <c r="O35" s="105">
        <f t="shared" si="2"/>
        <v>0</v>
      </c>
      <c r="P35" s="245">
        <f>'Rider Rates'!E49</f>
        <v>45474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190</v>
      </c>
      <c r="B36" s="78"/>
      <c r="C36" s="78"/>
      <c r="D36" s="100">
        <f>IF($C$15&lt;0,0,$C$15)</f>
        <v>0</v>
      </c>
      <c r="E36" s="113" t="s">
        <v>41</v>
      </c>
      <c r="F36" s="102" t="s">
        <v>8</v>
      </c>
      <c r="G36" s="103"/>
      <c r="H36" s="103">
        <f>'Rider Rates'!$B$56</f>
        <v>2.3467399999999999E-2</v>
      </c>
      <c r="I36" s="103"/>
      <c r="J36" s="103">
        <f>SUM(G36:I36)</f>
        <v>2.3467399999999999E-2</v>
      </c>
      <c r="K36" s="104" t="s">
        <v>42</v>
      </c>
      <c r="L36" s="105"/>
      <c r="M36" s="105">
        <f>ROUND(D36*H36,2)</f>
        <v>0</v>
      </c>
      <c r="N36" s="205"/>
      <c r="O36" s="105">
        <f t="shared" si="2"/>
        <v>0</v>
      </c>
      <c r="P36" s="245">
        <f>'Rider Rates'!$D$56</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96</v>
      </c>
      <c r="B37" s="78"/>
      <c r="C37" s="78"/>
      <c r="D37" s="100">
        <f>IF('Customer Info'!C34=TRUE,0,IF($C$15&lt;0,0,$C$15))</f>
        <v>0</v>
      </c>
      <c r="E37" s="101" t="s">
        <v>41</v>
      </c>
      <c r="F37" s="102" t="s">
        <v>8</v>
      </c>
      <c r="G37" s="103"/>
      <c r="H37" s="103"/>
      <c r="I37" s="103">
        <f>'Rider Rates'!$B$68+'Rider Rates'!$C$68</f>
        <v>0</v>
      </c>
      <c r="J37" s="103">
        <f t="shared" si="0"/>
        <v>0</v>
      </c>
      <c r="K37" s="104" t="s">
        <v>42</v>
      </c>
      <c r="L37" s="105"/>
      <c r="M37" s="105"/>
      <c r="N37" s="105">
        <f>ROUND($D$37*'Rider Rates'!$B$68,2)+ROUND($D$37*'Rider Rates'!$C$68,2)</f>
        <v>0</v>
      </c>
      <c r="O37" s="105">
        <f t="shared" si="2"/>
        <v>0</v>
      </c>
      <c r="P37" s="245">
        <f>'Rider Rates'!$D$68</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c r="E38" s="101" t="s">
        <v>115</v>
      </c>
      <c r="F38" s="102"/>
      <c r="G38" s="103"/>
      <c r="H38" s="103"/>
      <c r="I38" s="196">
        <f>'Rider Rates'!$B$75</f>
        <v>0</v>
      </c>
      <c r="J38" s="196">
        <f>IF('Customer Info'!C34=TRUE,0,SUM(G38:I38))</f>
        <v>0</v>
      </c>
      <c r="K38" s="104"/>
      <c r="L38" s="105"/>
      <c r="M38" s="105"/>
      <c r="N38" s="105">
        <f>J38</f>
        <v>0</v>
      </c>
      <c r="O38" s="105">
        <f>SUM(L38:N38)</f>
        <v>0</v>
      </c>
      <c r="P38" s="245">
        <f>'Rider Rates'!$D$75</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81</v>
      </c>
      <c r="B39" s="78"/>
      <c r="C39" s="78"/>
      <c r="D39" s="195">
        <f>$N$24</f>
        <v>9.4</v>
      </c>
      <c r="E39" s="101" t="s">
        <v>122</v>
      </c>
      <c r="F39" s="102" t="s">
        <v>8</v>
      </c>
      <c r="G39" s="111"/>
      <c r="H39" s="112"/>
      <c r="I39" s="120">
        <f>'Rider Rates'!$B$83</f>
        <v>2.9347000000000002E-2</v>
      </c>
      <c r="J39" s="120">
        <f t="shared" si="0"/>
        <v>2.9347000000000002E-2</v>
      </c>
      <c r="K39" s="104"/>
      <c r="L39" s="105"/>
      <c r="M39" s="105"/>
      <c r="N39" s="105">
        <f>ROUND(D39*I39,2)</f>
        <v>0.28000000000000003</v>
      </c>
      <c r="O39" s="105">
        <f t="shared" si="2"/>
        <v>0.28000000000000003</v>
      </c>
      <c r="P39" s="245">
        <f>'Rider Rates'!$D$83</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82</v>
      </c>
      <c r="B40" s="78"/>
      <c r="C40" s="78"/>
      <c r="D40" s="195">
        <f>$N$24</f>
        <v>9.4</v>
      </c>
      <c r="E40" s="101" t="s">
        <v>122</v>
      </c>
      <c r="F40" s="102" t="s">
        <v>8</v>
      </c>
      <c r="G40" s="114"/>
      <c r="H40" s="115"/>
      <c r="I40" s="120">
        <f>'Rider Rates'!$B$85</f>
        <v>6.6985699999999995E-2</v>
      </c>
      <c r="J40" s="120">
        <f t="shared" si="0"/>
        <v>6.6985699999999995E-2</v>
      </c>
      <c r="K40" s="104"/>
      <c r="L40" s="105"/>
      <c r="M40" s="105"/>
      <c r="N40" s="105">
        <f>ROUND(D40*I40,2)</f>
        <v>0.63</v>
      </c>
      <c r="O40" s="105">
        <f t="shared" si="2"/>
        <v>0.63</v>
      </c>
      <c r="P40" s="245">
        <f>'Rider Rates'!$D$85</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207</v>
      </c>
      <c r="B41" s="78"/>
      <c r="C41" s="78"/>
      <c r="D41" s="195"/>
      <c r="E41" s="113" t="s">
        <v>115</v>
      </c>
      <c r="F41" s="106"/>
      <c r="G41" s="114"/>
      <c r="H41" s="115"/>
      <c r="I41" s="196">
        <f>'Rider Rates'!$B$89</f>
        <v>11.97</v>
      </c>
      <c r="J41" s="196">
        <f t="shared" si="0"/>
        <v>11.97</v>
      </c>
      <c r="K41" s="104"/>
      <c r="L41" s="105"/>
      <c r="M41" s="105"/>
      <c r="N41" s="105">
        <f>I41</f>
        <v>11.97</v>
      </c>
      <c r="O41" s="105">
        <f t="shared" si="2"/>
        <v>11.97</v>
      </c>
      <c r="P41" s="245">
        <f>'Rider Rates'!$D$89</f>
        <v>45442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157</v>
      </c>
      <c r="B42" s="78"/>
      <c r="C42" s="78"/>
      <c r="D42" s="195">
        <f>$N$24</f>
        <v>9.4</v>
      </c>
      <c r="E42" s="101" t="s">
        <v>122</v>
      </c>
      <c r="F42" s="102" t="s">
        <v>8</v>
      </c>
      <c r="G42" s="114"/>
      <c r="H42" s="115"/>
      <c r="I42" s="120">
        <f>'Rider Rates'!$B$103</f>
        <v>0.21398439999999999</v>
      </c>
      <c r="J42" s="120">
        <f t="shared" si="0"/>
        <v>0.21398439999999999</v>
      </c>
      <c r="K42" s="104"/>
      <c r="L42" s="105"/>
      <c r="M42" s="105"/>
      <c r="N42" s="105">
        <f>ROUND(D42*I42,2)</f>
        <v>2.0099999999999998</v>
      </c>
      <c r="O42" s="105">
        <f t="shared" si="2"/>
        <v>2.0099999999999998</v>
      </c>
      <c r="P42" s="245">
        <f>'Rider Rates'!$D$103</f>
        <v>45351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210" t="s">
        <v>210</v>
      </c>
      <c r="B43" s="78"/>
      <c r="C43" s="78"/>
      <c r="D43" s="195"/>
      <c r="E43" s="113" t="s">
        <v>115</v>
      </c>
      <c r="F43" s="106"/>
      <c r="G43" s="114"/>
      <c r="H43" s="115"/>
      <c r="I43" s="196">
        <f>'Rider Rates'!$B$107</f>
        <v>0</v>
      </c>
      <c r="J43" s="196">
        <f t="shared" si="0"/>
        <v>0</v>
      </c>
      <c r="K43" s="104"/>
      <c r="L43" s="105"/>
      <c r="M43" s="105"/>
      <c r="N43" s="105">
        <f>I43</f>
        <v>0</v>
      </c>
      <c r="O43" s="105">
        <f t="shared" si="2"/>
        <v>0</v>
      </c>
      <c r="P43" s="245">
        <f>'Rider Rates'!$D$107</f>
        <v>44894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218</v>
      </c>
      <c r="B44" s="78"/>
      <c r="C44" s="78"/>
      <c r="D44" s="195"/>
      <c r="E44" s="113" t="s">
        <v>115</v>
      </c>
      <c r="F44" s="106"/>
      <c r="G44" s="114"/>
      <c r="H44" s="115"/>
      <c r="I44" s="258">
        <f>'Rider Rates'!B120</f>
        <v>5.83</v>
      </c>
      <c r="J44" s="196">
        <f t="shared" si="0"/>
        <v>5.83</v>
      </c>
      <c r="K44" s="104"/>
      <c r="L44" s="105"/>
      <c r="M44" s="105"/>
      <c r="N44" s="260">
        <f>I44</f>
        <v>5.83</v>
      </c>
      <c r="O44" s="105">
        <f t="shared" si="2"/>
        <v>5.83</v>
      </c>
      <c r="P44" s="245">
        <f>'Rider Rates'!D120</f>
        <v>45226</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209</v>
      </c>
      <c r="B45" s="78"/>
      <c r="C45" s="78"/>
      <c r="D45" s="100">
        <f>IF($C$15&lt;1,0,$C$15)</f>
        <v>0</v>
      </c>
      <c r="E45" s="101" t="s">
        <v>41</v>
      </c>
      <c r="F45" s="249" t="s">
        <v>8</v>
      </c>
      <c r="G45" s="165"/>
      <c r="H45" s="165"/>
      <c r="I45" s="251">
        <f>'Rider Rates'!B116</f>
        <v>-6.2E-4</v>
      </c>
      <c r="J45" s="251">
        <f>SUM(G45:I45)</f>
        <v>-6.2E-4</v>
      </c>
      <c r="K45" s="104" t="s">
        <v>42</v>
      </c>
      <c r="L45" s="105"/>
      <c r="M45" s="105"/>
      <c r="N45" s="105">
        <f>D45*J45</f>
        <v>0</v>
      </c>
      <c r="O45" s="105">
        <f>SUM(L45:N45)</f>
        <v>0</v>
      </c>
      <c r="P45" s="245">
        <f>'Rider Rates'!D116</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78" t="s">
        <v>234</v>
      </c>
      <c r="B46" s="78"/>
      <c r="C46" s="78"/>
      <c r="D46" s="100">
        <f>IF(C15&lt;0,0,IF(C15&gt;833000,833000,C15))</f>
        <v>0</v>
      </c>
      <c r="E46" s="101" t="s">
        <v>41</v>
      </c>
      <c r="F46" s="102" t="s">
        <v>8</v>
      </c>
      <c r="G46" s="265"/>
      <c r="H46" s="265"/>
      <c r="I46" s="265">
        <f>'Rider Rates'!B124</f>
        <v>2.9050000000000001E-4</v>
      </c>
      <c r="J46" s="265">
        <f>SUM(G46:I46)</f>
        <v>2.9050000000000001E-4</v>
      </c>
      <c r="K46" s="104" t="s">
        <v>42</v>
      </c>
      <c r="L46" s="266"/>
      <c r="M46" s="266"/>
      <c r="N46" s="266">
        <f>IF(D46*J46&gt;'Rider Rates'!$C$124,'Rider Rates'!$C$124,D46*J46)</f>
        <v>0</v>
      </c>
      <c r="O46" s="266">
        <f>SUM(L46:N46)</f>
        <v>0</v>
      </c>
      <c r="P46" s="264">
        <f>'Rider Rates'!$E$124</f>
        <v>45292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78" t="s">
        <v>235</v>
      </c>
      <c r="B47" s="78"/>
      <c r="C47" s="78"/>
      <c r="D47" s="123">
        <f>IF(C15&gt;833000,C15-833000,0)</f>
        <v>0</v>
      </c>
      <c r="E47" s="101" t="s">
        <v>41</v>
      </c>
      <c r="F47" s="102" t="s">
        <v>8</v>
      </c>
      <c r="G47" s="265"/>
      <c r="H47" s="265"/>
      <c r="I47" s="265">
        <f>'Rider Rates'!B125</f>
        <v>0</v>
      </c>
      <c r="J47" s="265">
        <f>SUM(G47:I47)</f>
        <v>0</v>
      </c>
      <c r="K47" s="104" t="s">
        <v>42</v>
      </c>
      <c r="L47" s="266"/>
      <c r="M47" s="266"/>
      <c r="N47" s="266">
        <f>D47*J47</f>
        <v>0</v>
      </c>
      <c r="O47" s="266">
        <f>SUM(L47:N47)</f>
        <v>0</v>
      </c>
      <c r="P47" s="264">
        <f>'Rider Rates'!$E$125</f>
        <v>44927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243</v>
      </c>
      <c r="B48" s="78"/>
      <c r="C48" s="78"/>
      <c r="D48" s="100">
        <f>C15</f>
        <v>0</v>
      </c>
      <c r="E48" s="101" t="s">
        <v>41</v>
      </c>
      <c r="F48" s="249" t="s">
        <v>8</v>
      </c>
      <c r="G48" s="103"/>
      <c r="H48" s="103"/>
      <c r="I48" s="103">
        <f>'Rider Rates'!$B$129</f>
        <v>0</v>
      </c>
      <c r="J48" s="237">
        <f>SUM(G48:I48)</f>
        <v>0</v>
      </c>
      <c r="K48" s="104" t="s">
        <v>42</v>
      </c>
      <c r="L48" s="105"/>
      <c r="M48" s="105"/>
      <c r="N48" s="105">
        <f>D48*J48</f>
        <v>0</v>
      </c>
      <c r="O48" s="105">
        <f>SUM(L48:N48)</f>
        <v>0</v>
      </c>
      <c r="P48" s="245">
        <f>'Rider Rates'!$D$129</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242</v>
      </c>
      <c r="B49" s="78"/>
      <c r="C49" s="78"/>
      <c r="D49" s="100"/>
      <c r="E49" s="101" t="s">
        <v>115</v>
      </c>
      <c r="F49" s="102" t="s">
        <v>8</v>
      </c>
      <c r="G49" s="263"/>
      <c r="H49" s="263"/>
      <c r="I49" s="263">
        <f>'Rider Rates'!$B$136</f>
        <v>0</v>
      </c>
      <c r="J49" s="263">
        <f>SUM(G49:I49)</f>
        <v>0</v>
      </c>
      <c r="K49" s="104"/>
      <c r="L49" s="209"/>
      <c r="M49" s="209"/>
      <c r="N49" s="209">
        <f>J49</f>
        <v>0</v>
      </c>
      <c r="O49" s="209">
        <f>SUM(L49:N49)</f>
        <v>0</v>
      </c>
      <c r="P49" s="264">
        <f>'Rider Rates'!D136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244</v>
      </c>
      <c r="B50" s="78"/>
      <c r="C50" s="78"/>
      <c r="D50" s="100"/>
      <c r="E50" s="101"/>
      <c r="F50" s="102"/>
      <c r="G50" s="263"/>
      <c r="H50" s="263"/>
      <c r="I50" s="263"/>
      <c r="J50" s="263"/>
      <c r="K50" s="104"/>
      <c r="L50" s="209"/>
      <c r="M50" s="209"/>
      <c r="N50" s="209"/>
      <c r="O50" s="209"/>
      <c r="P50" s="26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ht="13" x14ac:dyDescent="0.3">
      <c r="A51" s="179" t="s">
        <v>71</v>
      </c>
      <c r="B51" s="148"/>
      <c r="C51" s="148"/>
      <c r="D51" s="180"/>
      <c r="E51" s="181"/>
      <c r="F51" s="182"/>
      <c r="G51" s="182"/>
      <c r="H51" s="182"/>
      <c r="I51" s="182"/>
      <c r="J51" s="182"/>
      <c r="K51" s="183"/>
      <c r="L51" s="169">
        <f>SUM(L28:L50)</f>
        <v>0</v>
      </c>
      <c r="M51" s="169">
        <f t="shared" ref="M51:O51" si="3">SUM(M28:M50)</f>
        <v>0</v>
      </c>
      <c r="N51" s="169">
        <f t="shared" si="3"/>
        <v>20.72</v>
      </c>
      <c r="O51" s="169">
        <f t="shared" si="3"/>
        <v>20.72</v>
      </c>
      <c r="P51" s="18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c r="B52" s="78"/>
      <c r="C52" s="78"/>
      <c r="D52" s="100"/>
      <c r="E52" s="113"/>
      <c r="F52" s="106"/>
      <c r="G52" s="106"/>
      <c r="H52" s="106"/>
      <c r="I52" s="106"/>
      <c r="J52" s="107"/>
      <c r="K52" s="104"/>
      <c r="L52" s="106"/>
      <c r="M52" s="106"/>
      <c r="N52" s="106"/>
      <c r="O52" s="106"/>
      <c r="P52" s="1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ht="13" x14ac:dyDescent="0.3">
      <c r="A53" s="185" t="s">
        <v>94</v>
      </c>
      <c r="B53" s="170"/>
      <c r="C53" s="170"/>
      <c r="D53" s="170"/>
      <c r="E53" s="170"/>
      <c r="F53" s="170"/>
      <c r="G53" s="170"/>
      <c r="H53" s="170"/>
      <c r="I53" s="170"/>
      <c r="J53" s="170"/>
      <c r="K53" s="170"/>
      <c r="L53" s="186">
        <f>L24+L51</f>
        <v>0</v>
      </c>
      <c r="M53" s="186">
        <f>M24+M51</f>
        <v>0</v>
      </c>
      <c r="N53" s="186">
        <f>N24+N51</f>
        <v>30.119999999999997</v>
      </c>
      <c r="O53" s="187">
        <f>O24+O51</f>
        <v>30.119999999999997</v>
      </c>
      <c r="P53" s="187"/>
      <c r="Q53" s="106"/>
      <c r="R53" s="188"/>
      <c r="S53" s="108"/>
      <c r="T53" s="109"/>
      <c r="U53" s="78"/>
      <c r="V53" s="10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78"/>
      <c r="B55" s="78"/>
      <c r="C55" s="78"/>
      <c r="D55" s="78"/>
      <c r="E55" s="78"/>
      <c r="F55" s="78"/>
      <c r="G55" s="78"/>
      <c r="H55" s="78"/>
      <c r="I55" s="78"/>
      <c r="J55" s="78"/>
      <c r="K55" s="78"/>
      <c r="L55" s="78"/>
      <c r="M55" s="78"/>
      <c r="N55" s="151"/>
      <c r="O55" s="151"/>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66" t="s">
        <v>93</v>
      </c>
      <c r="B56" s="78"/>
      <c r="C56" s="78"/>
      <c r="D56" s="78"/>
      <c r="E56" s="78"/>
      <c r="F56" s="78"/>
      <c r="G56" s="78"/>
      <c r="H56" s="78"/>
      <c r="I56" s="78"/>
      <c r="J56" s="78"/>
      <c r="K56" s="78"/>
      <c r="L56" s="78"/>
      <c r="M56" s="78"/>
      <c r="N56" s="78"/>
      <c r="O56" s="109">
        <f>O21+O51</f>
        <v>30.119999999999997</v>
      </c>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66" t="s">
        <v>15</v>
      </c>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48" t="s">
        <v>117</v>
      </c>
      <c r="B58" s="151"/>
      <c r="C58" s="151"/>
      <c r="D58" s="151"/>
      <c r="E58" s="151"/>
      <c r="F58" s="151"/>
      <c r="G58" s="151"/>
      <c r="H58" s="151"/>
      <c r="I58" s="151"/>
      <c r="J58" s="151"/>
      <c r="K58" s="151"/>
      <c r="L58" s="151"/>
      <c r="M58" s="151"/>
      <c r="N58" s="151"/>
      <c r="O58" s="190">
        <f>IF($D$17&lt;0,O53,IF(O53&gt;O56,O53,O56))</f>
        <v>30.119999999999997</v>
      </c>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5" customHeight="1" x14ac:dyDescent="0.3">
      <c r="A59" s="148"/>
      <c r="B59" s="151"/>
      <c r="C59" s="151"/>
      <c r="D59" s="151"/>
      <c r="E59" s="151"/>
      <c r="F59" s="151"/>
      <c r="G59" s="151"/>
      <c r="H59" s="151"/>
      <c r="I59" s="151"/>
      <c r="J59" s="151"/>
      <c r="K59" s="151"/>
      <c r="L59" s="151"/>
      <c r="M59" s="151"/>
      <c r="N59" s="151"/>
      <c r="O59" s="190"/>
      <c r="P59" s="160"/>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row>
    <row r="60" spans="1:236" ht="13" x14ac:dyDescent="0.3">
      <c r="A60" s="148"/>
      <c r="B60" s="166"/>
      <c r="C60" s="166"/>
      <c r="D60" s="166"/>
      <c r="E60" s="166"/>
      <c r="F60" s="166"/>
      <c r="G60" s="166"/>
      <c r="H60" s="166"/>
      <c r="I60" s="166" t="s">
        <v>121</v>
      </c>
      <c r="J60" s="166"/>
      <c r="K60" s="166"/>
      <c r="L60" s="191"/>
      <c r="M60" s="191"/>
      <c r="N60" s="191"/>
      <c r="O60" s="191">
        <f>ROUND(IF($C$15&lt;1,0,O53/($C$15*100)*10000),2)</f>
        <v>0</v>
      </c>
      <c r="P60" s="37" t="s">
        <v>87</v>
      </c>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HE60" s="78"/>
      <c r="HF60" s="78"/>
      <c r="HG60" s="78"/>
      <c r="HH60" s="78"/>
      <c r="HI60" s="78"/>
      <c r="HJ60" s="78"/>
      <c r="HK60" s="78"/>
      <c r="HL60" s="78"/>
      <c r="HM60" s="78"/>
      <c r="HN60" s="78"/>
    </row>
    <row r="61" spans="1:236" ht="13" x14ac:dyDescent="0.3">
      <c r="B61" s="78"/>
      <c r="C61" s="78"/>
      <c r="D61" s="78"/>
      <c r="E61" s="78"/>
      <c r="F61" s="78"/>
      <c r="G61" s="78"/>
      <c r="H61" s="192"/>
      <c r="I61" s="242" t="s">
        <v>191</v>
      </c>
      <c r="J61" s="78"/>
      <c r="K61" s="78"/>
      <c r="L61" s="78"/>
      <c r="M61" s="78"/>
      <c r="N61" s="78"/>
      <c r="O61" s="243">
        <f>ROUND(IF($C$15&lt;1,0,(L53)/($C$15*100)*10000),2)</f>
        <v>0</v>
      </c>
      <c r="P61" s="25" t="s">
        <v>87</v>
      </c>
      <c r="Q61" s="78"/>
      <c r="R61" s="78"/>
      <c r="S61" s="78"/>
      <c r="T61" s="78"/>
      <c r="U61" s="78"/>
      <c r="V61" s="78"/>
      <c r="W61" s="78"/>
      <c r="X61" s="78"/>
      <c r="Y61" s="78"/>
      <c r="Z61" s="78"/>
      <c r="AA61" s="78"/>
      <c r="AB61" s="78"/>
      <c r="AC61" s="78"/>
      <c r="AD61" s="78"/>
      <c r="AE61" s="78"/>
      <c r="AF61" s="78"/>
      <c r="AG61" s="78"/>
      <c r="AH61" s="78"/>
      <c r="AI61" s="78"/>
      <c r="AJ61" s="78"/>
      <c r="AK61" s="78"/>
    </row>
  </sheetData>
  <sheetProtection algorithmName="SHA-512" hashValue="OUiYad3SVYWPZbQ0ENbUlLh2igyxRpAk/VKFh/A3HxiuXtrTCuYhzdwfQOkMLNAIH7FBm8urpFq5cVg10xAX9Q==" saltValue="G6ks9R9Dg5Phn9qtMceSP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57150</xdr:colOff>
                    <xdr:row>0</xdr:row>
                    <xdr:rowOff>38100</xdr:rowOff>
                  </from>
                  <to>
                    <xdr:col>0</xdr:col>
                    <xdr:colOff>571500</xdr:colOff>
                    <xdr:row>0</xdr:row>
                    <xdr:rowOff>247650</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285750</xdr:colOff>
                    <xdr:row>68</xdr:row>
                    <xdr:rowOff>76200</xdr:rowOff>
                  </from>
                  <to>
                    <xdr:col>15</xdr:col>
                    <xdr:colOff>812800</xdr:colOff>
                    <xdr:row>69</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6"/>
  <sheetViews>
    <sheetView showGridLines="0" topLeftCell="A25" zoomScale="80" zoomScaleNormal="80" workbookViewId="0">
      <selection activeCell="O63" sqref="O63"/>
    </sheetView>
  </sheetViews>
  <sheetFormatPr defaultRowHeight="12.5" x14ac:dyDescent="0.25"/>
  <cols>
    <col min="1" max="1" width="31" customWidth="1"/>
    <col min="2" max="2" width="2.1796875" customWidth="1"/>
    <col min="3" max="3" width="21.1796875" customWidth="1"/>
    <col min="4" max="4" width="15.26953125" customWidth="1"/>
    <col min="5" max="5" width="10.1796875" customWidth="1"/>
    <col min="6" max="6" width="5.54296875" customWidth="1"/>
    <col min="7" max="8" width="13.26953125" customWidth="1"/>
    <col min="9" max="9" width="14.54296875" customWidth="1"/>
    <col min="10" max="10" width="13.26953125" customWidth="1"/>
    <col min="11" max="11" width="7" customWidth="1"/>
    <col min="12" max="12" width="15.1796875" customWidth="1"/>
    <col min="13" max="13" width="17.26953125" bestFit="1" customWidth="1"/>
    <col min="14" max="14" width="16.7265625" customWidth="1"/>
    <col min="15" max="15" width="19.1796875" bestFit="1" customWidth="1"/>
    <col min="16" max="16" width="12.81640625" bestFit="1" customWidth="1"/>
    <col min="18" max="18" width="9.17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84</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row>
    <row r="6" spans="1:30" x14ac:dyDescent="0.25">
      <c r="A6" s="329">
        <f ca="1">TODAY()</f>
        <v>45476</v>
      </c>
      <c r="B6" s="210" t="s">
        <v>230</v>
      </c>
      <c r="C6" s="329"/>
      <c r="D6" s="329"/>
      <c r="E6" s="329"/>
      <c r="F6" s="329"/>
      <c r="G6" s="329"/>
      <c r="H6" s="329"/>
      <c r="I6" s="329"/>
    </row>
    <row r="7" spans="1:30" ht="25" x14ac:dyDescent="0.5">
      <c r="A7" s="506"/>
      <c r="B7" s="506"/>
      <c r="C7" s="506"/>
      <c r="D7" s="506"/>
      <c r="E7" s="506"/>
      <c r="F7" s="506"/>
      <c r="G7" s="506"/>
      <c r="H7" s="506"/>
      <c r="I7" s="506"/>
      <c r="J7" s="506"/>
      <c r="K7" s="506"/>
      <c r="L7" s="506"/>
      <c r="M7" s="506"/>
      <c r="N7" s="506"/>
      <c r="O7" s="506"/>
      <c r="P7" s="506"/>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t="s">
        <v>226</v>
      </c>
      <c r="B16" s="31"/>
      <c r="C16" s="32">
        <f>'Customer Info'!B21</f>
        <v>0</v>
      </c>
      <c r="D16" s="31" t="s">
        <v>41</v>
      </c>
      <c r="E16" s="31"/>
      <c r="F16" s="33"/>
      <c r="G16" s="23" t="s">
        <v>15</v>
      </c>
      <c r="H16" s="31"/>
    </row>
    <row r="17" spans="1:221" ht="13" x14ac:dyDescent="0.3">
      <c r="A17" s="31" t="s">
        <v>227</v>
      </c>
      <c r="B17" s="31"/>
      <c r="C17" s="32">
        <f>'Customer Info'!B22</f>
        <v>0</v>
      </c>
      <c r="D17" s="262" t="s">
        <v>41</v>
      </c>
      <c r="E17" s="33"/>
      <c r="F17" s="33"/>
      <c r="G17" s="23" t="s">
        <v>15</v>
      </c>
      <c r="H17" s="31"/>
      <c r="I17" s="52" t="s">
        <v>15</v>
      </c>
    </row>
    <row r="19" spans="1:221" ht="13" x14ac:dyDescent="0.3">
      <c r="A19" s="28" t="s">
        <v>31</v>
      </c>
      <c r="B19" s="22"/>
      <c r="C19" s="22"/>
      <c r="D19" s="22"/>
      <c r="E19" s="22"/>
      <c r="F19" s="22"/>
      <c r="G19" s="490" t="s">
        <v>68</v>
      </c>
      <c r="H19" s="491"/>
      <c r="I19" s="491"/>
      <c r="J19" s="492"/>
      <c r="K19" s="22"/>
      <c r="L19" s="493" t="s">
        <v>69</v>
      </c>
      <c r="M19" s="493"/>
      <c r="N19" s="493"/>
      <c r="O19" s="493"/>
    </row>
    <row r="20" spans="1:221" ht="13" x14ac:dyDescent="0.3">
      <c r="A20" s="18"/>
      <c r="B20" s="18"/>
      <c r="C20" s="18"/>
      <c r="D20" s="18"/>
      <c r="E20" s="18"/>
      <c r="F20" s="18"/>
      <c r="G20" s="8" t="s">
        <v>65</v>
      </c>
      <c r="H20" s="8" t="s">
        <v>66</v>
      </c>
      <c r="I20" s="8" t="s">
        <v>67</v>
      </c>
      <c r="J20" s="112" t="s">
        <v>34</v>
      </c>
      <c r="K20" s="18"/>
      <c r="L20" s="330" t="s">
        <v>65</v>
      </c>
      <c r="M20" s="330" t="s">
        <v>66</v>
      </c>
      <c r="N20" s="330"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160</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238</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187</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163</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220</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194</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45383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211</v>
      </c>
      <c r="B38" s="78"/>
      <c r="C38" s="78"/>
      <c r="D38" s="100">
        <f>IF($C$15&lt;0,0,IF($C$15&gt;833000,833000,$C$15))</f>
        <v>0</v>
      </c>
      <c r="E38" s="101" t="s">
        <v>41</v>
      </c>
      <c r="F38" s="102" t="s">
        <v>8</v>
      </c>
      <c r="G38" s="103"/>
      <c r="H38" s="103"/>
      <c r="I38" s="103">
        <f>'Rider Rates'!D49</f>
        <v>1.8006999999999999E-3</v>
      </c>
      <c r="J38" s="103">
        <f>SUM(G38:I38)</f>
        <v>1.8006999999999999E-3</v>
      </c>
      <c r="K38" s="104" t="s">
        <v>42</v>
      </c>
      <c r="L38" s="105"/>
      <c r="M38" s="105"/>
      <c r="N38" s="105">
        <f>D38*J38</f>
        <v>0</v>
      </c>
      <c r="O38" s="105">
        <f t="shared" si="2"/>
        <v>0</v>
      </c>
      <c r="P38" s="245">
        <f>'Rider Rates'!E49</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190</v>
      </c>
      <c r="B39" s="78"/>
      <c r="C39" s="78"/>
      <c r="D39" s="100">
        <f>IF($C$15&lt;0,0,$C$15)</f>
        <v>0</v>
      </c>
      <c r="E39" s="113" t="s">
        <v>41</v>
      </c>
      <c r="F39" s="102" t="s">
        <v>8</v>
      </c>
      <c r="G39" s="103"/>
      <c r="H39" s="103">
        <f>'Rider Rates'!$B$56</f>
        <v>2.3467399999999999E-2</v>
      </c>
      <c r="I39" s="103"/>
      <c r="J39" s="103">
        <f>SUM(G39:I39)</f>
        <v>2.3467399999999999E-2</v>
      </c>
      <c r="K39" s="104" t="s">
        <v>42</v>
      </c>
      <c r="L39" s="105"/>
      <c r="M39" s="105">
        <f>ROUND(D39*H39,2)</f>
        <v>0</v>
      </c>
      <c r="N39" s="205"/>
      <c r="O39" s="105">
        <f t="shared" si="2"/>
        <v>0</v>
      </c>
      <c r="P39" s="245">
        <f>'Rider Rates'!$D$56</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f>IF('Customer Info'!C34=TRUE,0,IF($C$15&lt;0,0,$C$15))</f>
        <v>0</v>
      </c>
      <c r="E40" s="101" t="s">
        <v>41</v>
      </c>
      <c r="F40" s="102" t="s">
        <v>8</v>
      </c>
      <c r="G40" s="103"/>
      <c r="H40" s="103"/>
      <c r="I40" s="103">
        <f>'Rider Rates'!$B$68+'Rider Rates'!$C$68</f>
        <v>0</v>
      </c>
      <c r="J40" s="103">
        <f t="shared" si="0"/>
        <v>0</v>
      </c>
      <c r="K40" s="104" t="s">
        <v>42</v>
      </c>
      <c r="L40" s="105"/>
      <c r="M40" s="105"/>
      <c r="N40" s="105">
        <f>ROUND($D$40*'Rider Rates'!$B$68,2)+ROUND($D$40*'Rider Rates'!$C$68,2)</f>
        <v>0</v>
      </c>
      <c r="O40" s="105">
        <f t="shared" si="2"/>
        <v>0</v>
      </c>
      <c r="P40" s="245">
        <f>'Rider Rates'!$D$68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96</v>
      </c>
      <c r="B41" s="78"/>
      <c r="C41" s="78"/>
      <c r="D41" s="100"/>
      <c r="E41" s="101" t="s">
        <v>115</v>
      </c>
      <c r="F41" s="102"/>
      <c r="G41" s="103"/>
      <c r="H41" s="103"/>
      <c r="I41" s="196">
        <f>'Rider Rates'!$B$75</f>
        <v>0</v>
      </c>
      <c r="J41" s="196">
        <f>IF('Customer Info'!C34=TRUE,0,SUM(G41:I41))</f>
        <v>0</v>
      </c>
      <c r="K41" s="104"/>
      <c r="L41" s="105"/>
      <c r="M41" s="105"/>
      <c r="N41" s="105">
        <f>J41</f>
        <v>0</v>
      </c>
      <c r="O41" s="105">
        <f>SUM(L41:N41)</f>
        <v>0</v>
      </c>
      <c r="P41" s="245">
        <f>'Rider Rates'!$D$75</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81</v>
      </c>
      <c r="B42" s="78"/>
      <c r="C42" s="78"/>
      <c r="D42" s="195">
        <f>$N$23</f>
        <v>9.4</v>
      </c>
      <c r="E42" s="101" t="s">
        <v>122</v>
      </c>
      <c r="F42" s="102" t="s">
        <v>8</v>
      </c>
      <c r="G42" s="111"/>
      <c r="H42" s="112"/>
      <c r="I42" s="120">
        <f>'Rider Rates'!$B$83</f>
        <v>2.9347000000000002E-2</v>
      </c>
      <c r="J42" s="120">
        <f t="shared" si="0"/>
        <v>2.9347000000000002E-2</v>
      </c>
      <c r="K42" s="104"/>
      <c r="L42" s="105"/>
      <c r="M42" s="105"/>
      <c r="N42" s="105">
        <f>ROUND(D42*I42,2)</f>
        <v>0.28000000000000003</v>
      </c>
      <c r="O42" s="105">
        <f t="shared" si="2"/>
        <v>0.28000000000000003</v>
      </c>
      <c r="P42" s="245">
        <f>'Rider Rates'!$D$83</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82</v>
      </c>
      <c r="B43" s="78"/>
      <c r="C43" s="78"/>
      <c r="D43" s="195">
        <f>$N$23</f>
        <v>9.4</v>
      </c>
      <c r="E43" s="101" t="s">
        <v>122</v>
      </c>
      <c r="F43" s="102" t="s">
        <v>8</v>
      </c>
      <c r="G43" s="114"/>
      <c r="H43" s="115"/>
      <c r="I43" s="120">
        <f>'Rider Rates'!$B$85</f>
        <v>6.6985699999999995E-2</v>
      </c>
      <c r="J43" s="120">
        <f t="shared" si="0"/>
        <v>6.6985699999999995E-2</v>
      </c>
      <c r="K43" s="104"/>
      <c r="L43" s="105"/>
      <c r="M43" s="105"/>
      <c r="N43" s="105">
        <f>ROUND(D43*I43,2)</f>
        <v>0.63</v>
      </c>
      <c r="O43" s="105">
        <f t="shared" si="2"/>
        <v>0.63</v>
      </c>
      <c r="P43" s="245">
        <f>'Rider Rates'!$D$85</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207</v>
      </c>
      <c r="B44" s="78"/>
      <c r="C44" s="78"/>
      <c r="D44" s="195"/>
      <c r="E44" s="113" t="s">
        <v>115</v>
      </c>
      <c r="F44" s="106"/>
      <c r="G44" s="114"/>
      <c r="H44" s="115"/>
      <c r="I44" s="196">
        <f>'Rider Rates'!$B$89</f>
        <v>11.97</v>
      </c>
      <c r="J44" s="196">
        <f t="shared" si="0"/>
        <v>11.97</v>
      </c>
      <c r="K44" s="104"/>
      <c r="L44" s="105"/>
      <c r="M44" s="105"/>
      <c r="N44" s="105">
        <f>I44</f>
        <v>11.97</v>
      </c>
      <c r="O44" s="105">
        <f t="shared" si="2"/>
        <v>11.97</v>
      </c>
      <c r="P44" s="245">
        <f>'Rider Rates'!$D$89</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240</v>
      </c>
      <c r="B45" s="78"/>
      <c r="C45" s="78"/>
      <c r="D45" s="100">
        <f>IF($C$15&lt;0,0,$C$15)</f>
        <v>0</v>
      </c>
      <c r="E45" s="101" t="s">
        <v>41</v>
      </c>
      <c r="F45" s="102" t="s">
        <v>8</v>
      </c>
      <c r="G45" s="103"/>
      <c r="H45" s="103"/>
      <c r="I45" s="103"/>
      <c r="J45" s="103">
        <f>'Rider Rates'!$B$93</f>
        <v>0</v>
      </c>
      <c r="K45" s="104" t="s">
        <v>42</v>
      </c>
      <c r="L45" s="105"/>
      <c r="M45" s="105"/>
      <c r="N45" s="105"/>
      <c r="O45" s="105">
        <f>ROUND($D45*('Rider Rates'!B$93),2)</f>
        <v>0</v>
      </c>
      <c r="P45" s="245">
        <f>'Rider Rates'!$D$93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157</v>
      </c>
      <c r="B46" s="78"/>
      <c r="C46" s="78"/>
      <c r="D46" s="195">
        <f>$N$23</f>
        <v>9.4</v>
      </c>
      <c r="E46" s="101" t="s">
        <v>122</v>
      </c>
      <c r="F46" s="102" t="s">
        <v>8</v>
      </c>
      <c r="G46" s="114"/>
      <c r="H46" s="115"/>
      <c r="I46" s="120">
        <f>'Rider Rates'!$B$103</f>
        <v>0.21398439999999999</v>
      </c>
      <c r="J46" s="120">
        <f t="shared" si="0"/>
        <v>0.21398439999999999</v>
      </c>
      <c r="K46" s="104"/>
      <c r="L46" s="105"/>
      <c r="M46" s="105"/>
      <c r="N46" s="105">
        <f>ROUND(D46*I46,2)</f>
        <v>2.0099999999999998</v>
      </c>
      <c r="O46" s="105">
        <f t="shared" si="2"/>
        <v>2.0099999999999998</v>
      </c>
      <c r="P46" s="245">
        <f>'Rider Rates'!$D$103</f>
        <v>45351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210</v>
      </c>
      <c r="B47" s="78"/>
      <c r="C47" s="78"/>
      <c r="D47" s="195"/>
      <c r="E47" s="113" t="s">
        <v>115</v>
      </c>
      <c r="F47" s="106"/>
      <c r="G47" s="114"/>
      <c r="H47" s="115"/>
      <c r="I47" s="196">
        <f>'Rider Rates'!$B$107</f>
        <v>0</v>
      </c>
      <c r="J47" s="196">
        <f t="shared" si="0"/>
        <v>0</v>
      </c>
      <c r="K47" s="104"/>
      <c r="L47" s="105"/>
      <c r="M47" s="105"/>
      <c r="N47" s="105">
        <f>I47</f>
        <v>0</v>
      </c>
      <c r="O47" s="105">
        <f t="shared" si="2"/>
        <v>0</v>
      </c>
      <c r="P47" s="245">
        <f>'Rider Rates'!$D$107</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218</v>
      </c>
      <c r="B48" s="78"/>
      <c r="C48" s="78"/>
      <c r="D48" s="195"/>
      <c r="E48" s="113" t="s">
        <v>115</v>
      </c>
      <c r="F48" s="106"/>
      <c r="G48" s="114"/>
      <c r="H48" s="115"/>
      <c r="I48" s="258">
        <f>'Rider Rates'!B120</f>
        <v>5.83</v>
      </c>
      <c r="J48" s="196">
        <f t="shared" si="0"/>
        <v>5.83</v>
      </c>
      <c r="K48" s="104"/>
      <c r="L48" s="105"/>
      <c r="M48" s="105"/>
      <c r="N48" s="260">
        <f>I48</f>
        <v>5.83</v>
      </c>
      <c r="O48" s="105">
        <f t="shared" si="2"/>
        <v>5.83</v>
      </c>
      <c r="P48" s="245">
        <f>'Rider Rates'!D120</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158</v>
      </c>
      <c r="B49" s="78"/>
      <c r="C49" s="78"/>
      <c r="D49" s="100">
        <f>C16+C17</f>
        <v>0</v>
      </c>
      <c r="E49" s="101" t="s">
        <v>41</v>
      </c>
      <c r="F49" s="102" t="s">
        <v>8</v>
      </c>
      <c r="G49" s="103"/>
      <c r="H49" s="103"/>
      <c r="I49" s="120"/>
      <c r="J49" s="237">
        <f>SUM(G49:H49)</f>
        <v>0</v>
      </c>
      <c r="K49" s="104" t="s">
        <v>42</v>
      </c>
      <c r="L49" s="105"/>
      <c r="M49" s="105"/>
      <c r="N49" s="105"/>
      <c r="O49" s="105">
        <f t="shared" si="2"/>
        <v>0</v>
      </c>
      <c r="P49" s="245">
        <f>'Rider Rates'!$D$110</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209</v>
      </c>
      <c r="B50" s="78"/>
      <c r="C50" s="78"/>
      <c r="D50" s="100">
        <f>IF($C$15&lt;1,0,$C$15)</f>
        <v>0</v>
      </c>
      <c r="E50" s="101" t="s">
        <v>41</v>
      </c>
      <c r="F50" s="249" t="s">
        <v>8</v>
      </c>
      <c r="G50" s="165"/>
      <c r="H50" s="165"/>
      <c r="I50" s="251">
        <f>'Rider Rates'!B116</f>
        <v>-6.2E-4</v>
      </c>
      <c r="J50" s="251">
        <f>SUM(G50:I50)</f>
        <v>-6.2E-4</v>
      </c>
      <c r="K50" s="104" t="s">
        <v>42</v>
      </c>
      <c r="L50" s="105"/>
      <c r="M50" s="105"/>
      <c r="N50" s="105">
        <f>D50*J50</f>
        <v>0</v>
      </c>
      <c r="O50" s="105">
        <f>SUM(L50:N50)</f>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234</v>
      </c>
      <c r="B51" s="78"/>
      <c r="C51" s="78"/>
      <c r="D51" s="100">
        <f>IF(C15&lt;0,0,IF(C15&gt;833000,833000,C15))</f>
        <v>0</v>
      </c>
      <c r="E51" s="101" t="s">
        <v>41</v>
      </c>
      <c r="F51" s="102" t="s">
        <v>8</v>
      </c>
      <c r="G51" s="265"/>
      <c r="H51" s="265"/>
      <c r="I51" s="265">
        <f>'Rider Rates'!$B$124</f>
        <v>2.9050000000000001E-4</v>
      </c>
      <c r="J51" s="265">
        <f>SUM(G51:I51)</f>
        <v>2.9050000000000001E-4</v>
      </c>
      <c r="K51" s="104" t="s">
        <v>42</v>
      </c>
      <c r="L51" s="266"/>
      <c r="M51" s="266"/>
      <c r="N51" s="266">
        <f>IF(D51*J51&gt;'Rider Rates'!$C$124,'Rider Rates'!$C$124,D51*J51)</f>
        <v>0</v>
      </c>
      <c r="O51" s="266">
        <f>SUM(L51:N51)</f>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235</v>
      </c>
      <c r="B52" s="78"/>
      <c r="C52" s="78"/>
      <c r="D52" s="123">
        <f>IF(C15&gt;833000,C15-833000,0)</f>
        <v>0</v>
      </c>
      <c r="E52" s="101" t="s">
        <v>41</v>
      </c>
      <c r="F52" s="102" t="s">
        <v>8</v>
      </c>
      <c r="G52" s="265"/>
      <c r="H52" s="265"/>
      <c r="I52" s="265">
        <f>'Rider Rates'!$B$125</f>
        <v>0</v>
      </c>
      <c r="J52" s="265">
        <f>SUM(G52:I52)</f>
        <v>0</v>
      </c>
      <c r="K52" s="104" t="s">
        <v>42</v>
      </c>
      <c r="L52" s="266"/>
      <c r="M52" s="266"/>
      <c r="N52" s="266">
        <f>D52*J52</f>
        <v>0</v>
      </c>
      <c r="O52" s="266">
        <f>SUM(L52:N52)</f>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243</v>
      </c>
      <c r="B53" s="78"/>
      <c r="C53" s="78"/>
      <c r="D53" s="100">
        <f>C15</f>
        <v>0</v>
      </c>
      <c r="E53" s="101" t="s">
        <v>41</v>
      </c>
      <c r="F53" s="249" t="s">
        <v>8</v>
      </c>
      <c r="G53" s="103"/>
      <c r="H53" s="103"/>
      <c r="I53" s="103">
        <f>'Rider Rates'!$B$129</f>
        <v>0</v>
      </c>
      <c r="J53" s="237">
        <f>SUM(G53:I53)</f>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242</v>
      </c>
      <c r="B54" s="78"/>
      <c r="C54" s="78"/>
      <c r="D54" s="100"/>
      <c r="E54" s="101" t="s">
        <v>115</v>
      </c>
      <c r="F54" s="102" t="s">
        <v>8</v>
      </c>
      <c r="G54" s="263"/>
      <c r="H54" s="263"/>
      <c r="I54" s="263">
        <f>'Rider Rates'!$B$136</f>
        <v>0</v>
      </c>
      <c r="J54" s="263">
        <f>SUM(G54:I54)</f>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79" t="s">
        <v>71</v>
      </c>
      <c r="B56" s="148"/>
      <c r="C56" s="148"/>
      <c r="D56" s="180"/>
      <c r="E56" s="181"/>
      <c r="F56" s="182"/>
      <c r="G56" s="182"/>
      <c r="H56" s="182"/>
      <c r="I56" s="182"/>
      <c r="J56" s="182"/>
      <c r="K56" s="183"/>
      <c r="L56" s="169">
        <f>SUM(L27:L55)</f>
        <v>0</v>
      </c>
      <c r="M56" s="169">
        <f t="shared" ref="M56:O56" si="3">SUM(M27:M55)</f>
        <v>0</v>
      </c>
      <c r="N56" s="169">
        <f t="shared" si="3"/>
        <v>20.72</v>
      </c>
      <c r="O56" s="169">
        <f t="shared" si="3"/>
        <v>20.72</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85" t="s">
        <v>94</v>
      </c>
      <c r="B58" s="170"/>
      <c r="C58" s="170"/>
      <c r="D58" s="170"/>
      <c r="E58" s="170"/>
      <c r="F58" s="170"/>
      <c r="G58" s="170"/>
      <c r="H58" s="170"/>
      <c r="I58" s="170"/>
      <c r="J58" s="170"/>
      <c r="K58" s="170"/>
      <c r="L58" s="186">
        <f>L23+L56</f>
        <v>0</v>
      </c>
      <c r="M58" s="186">
        <f>M23+M56</f>
        <v>0</v>
      </c>
      <c r="N58" s="186">
        <f>N23+N56</f>
        <v>30.119999999999997</v>
      </c>
      <c r="O58" s="187">
        <f>O23+O56</f>
        <v>30.119999999999997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93</v>
      </c>
      <c r="B61" s="78"/>
      <c r="C61" s="78"/>
      <c r="D61" s="78"/>
      <c r="E61" s="78"/>
      <c r="F61" s="78"/>
      <c r="G61" s="78"/>
      <c r="H61" s="78"/>
      <c r="I61" s="78"/>
      <c r="J61" s="78"/>
      <c r="K61" s="78"/>
      <c r="L61" s="78"/>
      <c r="M61" s="78"/>
      <c r="N61" s="78"/>
      <c r="O61" s="109">
        <f>O21+O56</f>
        <v>30.119999999999997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3" x14ac:dyDescent="0.3">
      <c r="A63" s="148" t="s">
        <v>117</v>
      </c>
      <c r="B63" s="151"/>
      <c r="C63" s="151"/>
      <c r="D63" s="151"/>
      <c r="E63" s="151"/>
      <c r="F63" s="151"/>
      <c r="G63" s="151"/>
      <c r="H63" s="151"/>
      <c r="I63" s="151"/>
      <c r="J63" s="151"/>
      <c r="K63" s="151"/>
      <c r="L63" s="151"/>
      <c r="M63" s="151"/>
      <c r="N63" s="151"/>
      <c r="O63" s="190">
        <f>IF($D$17&lt;0,O58,IF(O58&gt;O61,O58,O61))</f>
        <v>30.119999999999997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3">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ht="13" x14ac:dyDescent="0.3">
      <c r="A65" s="148"/>
      <c r="B65" s="166"/>
      <c r="C65" s="166"/>
      <c r="D65" s="166"/>
      <c r="E65" s="166"/>
      <c r="F65" s="166"/>
      <c r="G65" s="166"/>
      <c r="H65" s="166"/>
      <c r="I65" s="166" t="s">
        <v>121</v>
      </c>
      <c r="J65" s="166"/>
      <c r="K65" s="166"/>
      <c r="L65" s="191"/>
      <c r="M65" s="191"/>
      <c r="N65" s="191"/>
      <c r="O65" s="191">
        <f>ROUND(IF($C$15&lt;1,0,O58/($C$15*100)*10000),2)</f>
        <v>0</v>
      </c>
      <c r="P65" s="37" t="s">
        <v>87</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ht="13" x14ac:dyDescent="0.3">
      <c r="B66" s="78"/>
      <c r="C66" s="78"/>
      <c r="D66" s="78"/>
      <c r="E66" s="78"/>
      <c r="F66" s="78"/>
      <c r="G66" s="78"/>
      <c r="H66" s="192"/>
      <c r="I66" s="242" t="s">
        <v>191</v>
      </c>
      <c r="J66" s="78"/>
      <c r="K66" s="78"/>
      <c r="L66" s="78"/>
      <c r="M66" s="78"/>
      <c r="N66" s="78"/>
      <c r="O66" s="243">
        <f>ROUND(IF($C$15&lt;1,0,(L58)/($C$15*100)*10000),2)</f>
        <v>0</v>
      </c>
      <c r="P66" s="25" t="s">
        <v>87</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GjT6mKnGb23aojzZd9dAFNd+W/WDC9wGp/WGfnqjVDmR1Es6IuVHd1Du4LV95mQJZBGa7W78TL2Nf9aUfpk+pg==" saltValue="/OfzJIfaci5kLf8e3dkJj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57150</xdr:colOff>
                    <xdr:row>0</xdr:row>
                    <xdr:rowOff>38100</xdr:rowOff>
                  </from>
                  <to>
                    <xdr:col>0</xdr:col>
                    <xdr:colOff>571500</xdr:colOff>
                    <xdr:row>0</xdr:row>
                    <xdr:rowOff>247650</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9"/>
  <sheetViews>
    <sheetView showGridLines="0" zoomScale="80" zoomScaleNormal="80" workbookViewId="0">
      <selection activeCell="G46" sqref="G46"/>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290</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282">
        <f ca="1">TODAY()</f>
        <v>45476</v>
      </c>
      <c r="B6" s="99" t="s">
        <v>292</v>
      </c>
      <c r="C6" s="282"/>
      <c r="D6" s="282"/>
      <c r="E6" s="282"/>
      <c r="F6" s="282"/>
      <c r="G6" s="282"/>
      <c r="H6" s="282"/>
      <c r="I6" s="282"/>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285</v>
      </c>
      <c r="B17" s="31"/>
      <c r="C17" s="32">
        <f>'Customer Info'!$B$27</f>
        <v>0</v>
      </c>
      <c r="D17" s="32">
        <f>$C$17*$C$20</f>
        <v>0</v>
      </c>
      <c r="E17" s="31" t="s">
        <v>288</v>
      </c>
      <c r="F17" s="33"/>
      <c r="G17" s="31"/>
      <c r="H17" s="31"/>
      <c r="I17" s="31"/>
      <c r="J17" s="31"/>
      <c r="K17" s="31"/>
      <c r="L17" s="31"/>
      <c r="M17" s="31"/>
      <c r="N17" s="31"/>
      <c r="O17" s="31"/>
    </row>
    <row r="18" spans="1:30" x14ac:dyDescent="0.25">
      <c r="A18" s="31" t="s">
        <v>286</v>
      </c>
      <c r="B18" s="31"/>
      <c r="C18" s="285">
        <f>IF('Customer Info'!$B$18=0,0,ROUND(MAX(ROUND('Customer Info'!$B$18*'GS SEC OAD'!C20,1),ROUND('Customer Info'!$B$19*'GS SEC OAD'!C20,1))/'Customer Info'!$D$29,1))</f>
        <v>0</v>
      </c>
      <c r="D18" s="285">
        <f>$C$18</f>
        <v>0</v>
      </c>
      <c r="E18" s="31" t="s">
        <v>289</v>
      </c>
      <c r="F18" s="33"/>
      <c r="G18" s="31"/>
      <c r="H18" s="31"/>
      <c r="I18" s="31"/>
      <c r="J18" s="31"/>
      <c r="K18" s="31"/>
      <c r="L18" s="31"/>
      <c r="M18" s="31"/>
      <c r="N18" s="31"/>
      <c r="O18" s="31"/>
    </row>
    <row r="19" spans="1:30" x14ac:dyDescent="0.25">
      <c r="A19" s="31" t="s">
        <v>287</v>
      </c>
      <c r="B19" s="31"/>
      <c r="C19" s="32"/>
      <c r="D19" s="285">
        <f>MAX(100,ROUND(1.15*(MAX('Customer Info'!$B$18*'GS SEC OAD'!C20,'Customer Info'!$B$19*'GS SEC OAD'!C20)),1))</f>
        <v>100</v>
      </c>
      <c r="E19" s="31" t="s">
        <v>289</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8" t="s">
        <v>15</v>
      </c>
      <c r="E21" s="508"/>
      <c r="F21" s="508"/>
      <c r="G21" s="508"/>
      <c r="H21" s="508"/>
      <c r="K21" s="31"/>
      <c r="L21" s="31"/>
      <c r="M21" s="31"/>
      <c r="N21" s="31"/>
      <c r="O21" s="50"/>
    </row>
    <row r="22" spans="1:30" ht="13" x14ac:dyDescent="0.3">
      <c r="A22" s="31" t="s">
        <v>15</v>
      </c>
      <c r="B22" s="31"/>
      <c r="C22" s="82" t="s">
        <v>15</v>
      </c>
      <c r="D22" s="508" t="s">
        <v>15</v>
      </c>
      <c r="E22" s="508"/>
      <c r="F22" s="508"/>
      <c r="G22" s="508"/>
      <c r="H22" s="508"/>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0" t="s">
        <v>68</v>
      </c>
      <c r="H24" s="491"/>
      <c r="I24" s="491"/>
      <c r="J24" s="492"/>
      <c r="K24" s="22"/>
      <c r="L24" s="493" t="s">
        <v>69</v>
      </c>
      <c r="M24" s="493"/>
      <c r="N24" s="493"/>
      <c r="O24" s="493"/>
    </row>
    <row r="25" spans="1:30" ht="13" x14ac:dyDescent="0.3">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261</v>
      </c>
      <c r="D29" s="49">
        <f>IF(D18&lt;=100,0,ROUND(IF(D18-D19&gt;0,D18-D19),1))</f>
        <v>0</v>
      </c>
      <c r="E29" s="29" t="s">
        <v>259</v>
      </c>
      <c r="F29" s="4" t="s">
        <v>8</v>
      </c>
      <c r="G29" s="116"/>
      <c r="H29" s="85"/>
      <c r="I29" s="85">
        <v>1.25</v>
      </c>
      <c r="J29" s="116">
        <f>SUM(G29:I29)</f>
        <v>1.25</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9.4</v>
      </c>
      <c r="O30" s="40">
        <f>SUM(O26:O29)</f>
        <v>9.4</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238</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211</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45474</v>
      </c>
    </row>
    <row r="41" spans="1:221" x14ac:dyDescent="0.25">
      <c r="A41" s="210" t="s">
        <v>190</v>
      </c>
      <c r="B41" s="78"/>
      <c r="C41" s="78"/>
      <c r="D41" s="1">
        <f>IF($C$16&lt;0,0,$C$16)</f>
        <v>0</v>
      </c>
      <c r="E41" s="113" t="s">
        <v>41</v>
      </c>
      <c r="F41" s="102" t="s">
        <v>8</v>
      </c>
      <c r="G41" s="103"/>
      <c r="H41" s="103">
        <f>'Rider Rates'!$B$57</f>
        <v>6.0079999999999997E-4</v>
      </c>
      <c r="I41" s="103"/>
      <c r="J41" s="103">
        <f>SUM(G41:I41)</f>
        <v>6.0079999999999997E-4</v>
      </c>
      <c r="K41" s="104" t="s">
        <v>42</v>
      </c>
      <c r="L41" s="105"/>
      <c r="M41" s="105">
        <f>ROUND(D41*H41,2)</f>
        <v>0</v>
      </c>
      <c r="N41" s="205"/>
      <c r="O41" s="105">
        <f t="shared" si="0"/>
        <v>0</v>
      </c>
      <c r="P41" s="245">
        <f>'Rider Rates'!$D$57</f>
        <v>45383</v>
      </c>
    </row>
    <row r="42" spans="1:221" x14ac:dyDescent="0.25">
      <c r="A42" s="210" t="s">
        <v>190</v>
      </c>
      <c r="B42" s="78"/>
      <c r="C42" s="78"/>
      <c r="D42" s="49">
        <f>D28</f>
        <v>0</v>
      </c>
      <c r="E42" s="35" t="s">
        <v>64</v>
      </c>
      <c r="F42" s="4" t="s">
        <v>8</v>
      </c>
      <c r="G42" s="103"/>
      <c r="H42" s="239">
        <f>'Rider Rates'!$B$62</f>
        <v>6.73</v>
      </c>
      <c r="I42" s="103"/>
      <c r="J42" s="239">
        <f>SUM(G42:I42)</f>
        <v>6.73</v>
      </c>
      <c r="K42" s="104" t="s">
        <v>44</v>
      </c>
      <c r="L42" s="105"/>
      <c r="M42" s="105">
        <f>ROUND(D42*H42,2)</f>
        <v>0</v>
      </c>
      <c r="N42" s="205"/>
      <c r="O42" s="105">
        <f t="shared" si="0"/>
        <v>0</v>
      </c>
      <c r="P42" s="245">
        <f>'Rider Rates'!$D$62</f>
        <v>45383</v>
      </c>
    </row>
    <row r="43" spans="1:221" x14ac:dyDescent="0.25">
      <c r="A43" s="99" t="s">
        <v>83</v>
      </c>
      <c r="B43" s="78"/>
      <c r="C43" s="78"/>
      <c r="D43" s="1">
        <f>IF('Customer Info'!C34=TRUE,0,IF($C$16&lt;0,0,$C$16))</f>
        <v>0</v>
      </c>
      <c r="E43" s="101" t="s">
        <v>41</v>
      </c>
      <c r="F43" s="102" t="s">
        <v>8</v>
      </c>
      <c r="G43" s="103"/>
      <c r="H43" s="103"/>
      <c r="I43" s="103">
        <f>'Rider Rates'!$B$69+'Rider Rates'!$C$69</f>
        <v>0</v>
      </c>
      <c r="J43" s="103">
        <f>SUM(G43:I43)</f>
        <v>0</v>
      </c>
      <c r="K43" s="104" t="s">
        <v>42</v>
      </c>
      <c r="L43" s="105"/>
      <c r="M43" s="105"/>
      <c r="N43" s="87">
        <f>ROUND($D$43*'Rider Rates'!$B$69,2)+ROUND($D$43*'Rider Rates'!$C$69,2)</f>
        <v>0</v>
      </c>
      <c r="O43" s="209">
        <f t="shared" si="0"/>
        <v>0</v>
      </c>
      <c r="P43" s="245">
        <f>'Rider Rates'!$D$69</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Rates'!$B$79</f>
        <v>0</v>
      </c>
      <c r="J44" s="239">
        <f>SUM(G44:I44)</f>
        <v>0</v>
      </c>
      <c r="K44" s="104" t="s">
        <v>42</v>
      </c>
      <c r="L44" s="105"/>
      <c r="M44" s="105"/>
      <c r="N44" s="87">
        <f>ROUND($D44*I44,2)</f>
        <v>0</v>
      </c>
      <c r="O44" s="209">
        <f>SUM(L44:N44)</f>
        <v>0</v>
      </c>
      <c r="P44" s="245">
        <f>'Rider Rates'!$D$79</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9.4</v>
      </c>
      <c r="E45" s="101" t="s">
        <v>122</v>
      </c>
      <c r="F45" s="102" t="s">
        <v>8</v>
      </c>
      <c r="G45" s="111"/>
      <c r="H45" s="112"/>
      <c r="I45" s="120">
        <f>'Rider Rates'!$B$83</f>
        <v>2.9347000000000002E-2</v>
      </c>
      <c r="J45" s="120">
        <f>SUM(H45:I45)</f>
        <v>2.9347000000000002E-2</v>
      </c>
      <c r="K45" s="104"/>
      <c r="L45" s="105"/>
      <c r="M45" s="105"/>
      <c r="N45" s="105">
        <f>ROUND(N$30*I45,2)</f>
        <v>0.28000000000000003</v>
      </c>
      <c r="O45" s="209">
        <f t="shared" si="0"/>
        <v>0.28000000000000003</v>
      </c>
      <c r="P45" s="245">
        <f>'Rider Rates'!$D$83</f>
        <v>45383</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9.4</v>
      </c>
      <c r="E46" s="101" t="s">
        <v>122</v>
      </c>
      <c r="F46" s="102" t="s">
        <v>8</v>
      </c>
      <c r="G46" s="114"/>
      <c r="H46" s="115"/>
      <c r="I46" s="120">
        <f>'Rider Rates'!$B$85</f>
        <v>6.6985699999999995E-2</v>
      </c>
      <c r="J46" s="120">
        <f>SUM(H46:I46)</f>
        <v>6.6985699999999995E-2</v>
      </c>
      <c r="K46" s="104"/>
      <c r="L46" s="105"/>
      <c r="M46" s="105"/>
      <c r="N46" s="105">
        <f>ROUND(N$30*I46,2)</f>
        <v>0.63</v>
      </c>
      <c r="O46" s="209">
        <f t="shared" si="0"/>
        <v>0.63</v>
      </c>
      <c r="P46" s="245">
        <f>'Rider Rates'!$D$85</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207</v>
      </c>
      <c r="B47" s="78"/>
      <c r="C47" s="78"/>
      <c r="D47" s="195"/>
      <c r="E47" s="113" t="s">
        <v>115</v>
      </c>
      <c r="F47" s="106"/>
      <c r="G47" s="114"/>
      <c r="H47" s="115"/>
      <c r="I47" s="196">
        <f>'Rider Rates'!$B$89</f>
        <v>11.97</v>
      </c>
      <c r="J47" s="196">
        <f>SUM(G47:I47)</f>
        <v>11.97</v>
      </c>
      <c r="K47" s="104"/>
      <c r="L47" s="105"/>
      <c r="M47" s="105"/>
      <c r="N47" s="105">
        <f>I47</f>
        <v>11.97</v>
      </c>
      <c r="O47" s="105">
        <f>SUM(L47:N47)</f>
        <v>11.97</v>
      </c>
      <c r="P47" s="245">
        <f>'Rider Rates'!$D$89</f>
        <v>45442</v>
      </c>
    </row>
    <row r="48" spans="1:221" ht="13" x14ac:dyDescent="0.3">
      <c r="A48" s="99" t="s">
        <v>157</v>
      </c>
      <c r="B48" s="78"/>
      <c r="C48" s="78"/>
      <c r="D48" s="208">
        <f>$N$30</f>
        <v>9.4</v>
      </c>
      <c r="E48" s="101" t="s">
        <v>122</v>
      </c>
      <c r="F48" s="102" t="s">
        <v>8</v>
      </c>
      <c r="G48" s="114"/>
      <c r="H48" s="115"/>
      <c r="I48" s="120">
        <f>'Rider Rates'!$B$103</f>
        <v>0.21398439999999999</v>
      </c>
      <c r="J48" s="120">
        <f>SUM(H48:I48)</f>
        <v>0.21398439999999999</v>
      </c>
      <c r="K48" s="104"/>
      <c r="L48" s="105"/>
      <c r="M48" s="105"/>
      <c r="N48" s="105">
        <f>ROUND(N$30*I48,2)</f>
        <v>2.0099999999999998</v>
      </c>
      <c r="O48" s="105">
        <f t="shared" si="0"/>
        <v>2.0099999999999998</v>
      </c>
      <c r="P48" s="245">
        <f>'Rider Rates'!$D$103</f>
        <v>45351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210</v>
      </c>
      <c r="B49" s="78"/>
      <c r="C49" s="78"/>
      <c r="D49" s="195"/>
      <c r="E49" s="113" t="s">
        <v>115</v>
      </c>
      <c r="F49" s="106"/>
      <c r="G49" s="114"/>
      <c r="H49" s="115"/>
      <c r="I49" s="196">
        <f>'Rider Rates'!$B$107</f>
        <v>0</v>
      </c>
      <c r="J49" s="196">
        <f t="shared" ref="J49:J55" si="1">SUM(G49:I49)</f>
        <v>0</v>
      </c>
      <c r="K49" s="104"/>
      <c r="L49" s="105"/>
      <c r="M49" s="105"/>
      <c r="N49" s="105">
        <f>I49</f>
        <v>0</v>
      </c>
      <c r="O49" s="105">
        <f t="shared" ref="O49:O53" si="2">SUM(L49:N49)</f>
        <v>0</v>
      </c>
      <c r="P49" s="245">
        <f>'Rider Rates'!$D$107</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210" t="s">
        <v>218</v>
      </c>
      <c r="B50" s="78"/>
      <c r="C50" s="78"/>
      <c r="D50" s="195"/>
      <c r="E50" s="113" t="s">
        <v>115</v>
      </c>
      <c r="F50" s="106"/>
      <c r="G50" s="114"/>
      <c r="H50" s="115"/>
      <c r="I50" s="258">
        <f>'Rider Rates'!B120</f>
        <v>5.83</v>
      </c>
      <c r="J50" s="196">
        <f t="shared" si="1"/>
        <v>5.83</v>
      </c>
      <c r="K50" s="104"/>
      <c r="L50" s="105"/>
      <c r="M50" s="105"/>
      <c r="N50" s="260">
        <f>I50</f>
        <v>5.83</v>
      </c>
      <c r="O50" s="105">
        <f t="shared" si="2"/>
        <v>5.83</v>
      </c>
      <c r="P50" s="245">
        <f>'Rider Rates'!D120</f>
        <v>45226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209</v>
      </c>
      <c r="B51" s="78"/>
      <c r="C51" s="78"/>
      <c r="D51" s="1">
        <f>IF($C$16&lt;1,0,$C$16)</f>
        <v>0</v>
      </c>
      <c r="E51" s="101" t="s">
        <v>41</v>
      </c>
      <c r="F51" s="249" t="s">
        <v>8</v>
      </c>
      <c r="G51" s="165"/>
      <c r="H51" s="165"/>
      <c r="I51" s="251">
        <f>'Rider Rates'!B116</f>
        <v>-6.2E-4</v>
      </c>
      <c r="J51" s="251">
        <f t="shared" si="1"/>
        <v>-6.2E-4</v>
      </c>
      <c r="K51" s="104" t="s">
        <v>42</v>
      </c>
      <c r="L51" s="105"/>
      <c r="M51" s="105"/>
      <c r="N51" s="105">
        <f>D51*I51</f>
        <v>0</v>
      </c>
      <c r="O51" s="105">
        <f t="shared" si="2"/>
        <v>0</v>
      </c>
      <c r="P51" s="245">
        <f>'Rider Rates'!D116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00">
        <f>IF(C16&lt;0,0,IF(C16&gt;833000,833000,C16))</f>
        <v>0</v>
      </c>
      <c r="E52" s="101" t="s">
        <v>41</v>
      </c>
      <c r="F52" s="102" t="s">
        <v>8</v>
      </c>
      <c r="G52" s="265"/>
      <c r="H52" s="265"/>
      <c r="I52" s="265">
        <f>'Rider Rates'!$B$124</f>
        <v>2.9050000000000001E-4</v>
      </c>
      <c r="J52" s="265">
        <f t="shared" si="1"/>
        <v>2.9050000000000001E-4</v>
      </c>
      <c r="K52" s="104" t="s">
        <v>42</v>
      </c>
      <c r="L52" s="266"/>
      <c r="M52" s="266"/>
      <c r="N52" s="266">
        <f>IF(D52*J52&gt;'Rider Rates'!$C$124,'Rider Rates'!$C$124,D52*J52)</f>
        <v>0</v>
      </c>
      <c r="O52" s="266">
        <f t="shared" si="2"/>
        <v>0</v>
      </c>
      <c r="P52" s="264">
        <f>'Rider Rates'!$E$124</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235</v>
      </c>
      <c r="B53" s="78"/>
      <c r="C53" s="78"/>
      <c r="D53" s="123">
        <f>IF(C16&gt;833000,C16-833000,0)</f>
        <v>0</v>
      </c>
      <c r="E53" s="101" t="s">
        <v>41</v>
      </c>
      <c r="F53" s="102" t="s">
        <v>8</v>
      </c>
      <c r="G53" s="265"/>
      <c r="H53" s="265"/>
      <c r="I53" s="265">
        <f>'Rider Rates'!$B$125</f>
        <v>0</v>
      </c>
      <c r="J53" s="265">
        <f t="shared" si="1"/>
        <v>0</v>
      </c>
      <c r="K53" s="104" t="s">
        <v>42</v>
      </c>
      <c r="L53" s="266"/>
      <c r="M53" s="266"/>
      <c r="N53" s="266">
        <f>D53*J53</f>
        <v>0</v>
      </c>
      <c r="O53" s="266">
        <f t="shared" si="2"/>
        <v>0</v>
      </c>
      <c r="P53" s="264">
        <f>'Rider Rates'!$E$125</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f>D16</f>
        <v>0</v>
      </c>
      <c r="E54" s="101" t="s">
        <v>41</v>
      </c>
      <c r="F54" s="249" t="s">
        <v>8</v>
      </c>
      <c r="G54" s="103"/>
      <c r="H54" s="103"/>
      <c r="I54" s="103">
        <f>'Rider Rates'!$B$129</f>
        <v>0</v>
      </c>
      <c r="J54" s="237">
        <f t="shared" si="1"/>
        <v>0</v>
      </c>
      <c r="K54" s="104" t="s">
        <v>42</v>
      </c>
      <c r="L54" s="105"/>
      <c r="M54" s="105"/>
      <c r="N54" s="105">
        <f>D54*J54</f>
        <v>0</v>
      </c>
      <c r="O54" s="105">
        <f>SUM(L54:N54)</f>
        <v>0</v>
      </c>
      <c r="P54" s="245">
        <f>'Rider Rates'!$D$129</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242</v>
      </c>
      <c r="B55" s="78"/>
      <c r="C55" s="78"/>
      <c r="D55" s="100"/>
      <c r="E55" s="101" t="s">
        <v>115</v>
      </c>
      <c r="F55" s="102" t="s">
        <v>8</v>
      </c>
      <c r="G55" s="263"/>
      <c r="H55" s="263"/>
      <c r="I55" s="263">
        <f>'Rider Rates'!$B$136</f>
        <v>0</v>
      </c>
      <c r="J55" s="263">
        <f t="shared" si="1"/>
        <v>0</v>
      </c>
      <c r="K55" s="104"/>
      <c r="L55" s="209"/>
      <c r="M55" s="209"/>
      <c r="N55" s="209">
        <f>J55</f>
        <v>0</v>
      </c>
      <c r="O55" s="209">
        <f>SUM(L55:N55)</f>
        <v>0</v>
      </c>
      <c r="P55" s="264">
        <f>'Rider Rates'!$D$136</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244</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179" t="s">
        <v>71</v>
      </c>
      <c r="B57" s="148"/>
      <c r="C57" s="148"/>
      <c r="D57" s="180"/>
      <c r="E57" s="181"/>
      <c r="F57" s="182"/>
      <c r="G57" s="182"/>
      <c r="H57" s="182"/>
      <c r="I57" s="182"/>
      <c r="J57" s="182"/>
      <c r="K57" s="183"/>
      <c r="L57" s="169">
        <f>SUM(L34:L56)</f>
        <v>0</v>
      </c>
      <c r="M57" s="169">
        <f t="shared" ref="M57:O57" si="3">SUM(M34:M56)</f>
        <v>0</v>
      </c>
      <c r="N57" s="169">
        <f t="shared" si="3"/>
        <v>20.72</v>
      </c>
      <c r="O57" s="169">
        <f t="shared" si="3"/>
        <v>20.72</v>
      </c>
      <c r="P57" s="184"/>
    </row>
    <row r="58" spans="1:221" ht="13" x14ac:dyDescent="0.3">
      <c r="A58" s="37"/>
      <c r="D58" s="1"/>
      <c r="E58" s="35"/>
      <c r="F58" s="4"/>
      <c r="G58" s="42"/>
      <c r="H58" s="42"/>
      <c r="I58" s="42"/>
      <c r="J58" s="42"/>
      <c r="K58" s="36"/>
      <c r="L58" s="36"/>
      <c r="M58" s="36"/>
      <c r="N58" s="36"/>
      <c r="O58" s="34"/>
      <c r="P58" s="36"/>
    </row>
    <row r="59" spans="1:221" ht="13" x14ac:dyDescent="0.3">
      <c r="A59" s="284" t="s">
        <v>72</v>
      </c>
      <c r="B59" s="92"/>
      <c r="C59" s="92"/>
      <c r="D59" s="92"/>
      <c r="E59" s="92"/>
      <c r="F59" s="92"/>
      <c r="G59" s="92"/>
      <c r="H59" s="92"/>
      <c r="I59" s="92"/>
      <c r="J59" s="92"/>
      <c r="K59" s="92"/>
      <c r="L59" s="98">
        <f>L30+L57</f>
        <v>0</v>
      </c>
      <c r="M59" s="98">
        <f>M30+M57</f>
        <v>0</v>
      </c>
      <c r="N59" s="98">
        <f>N30+N57</f>
        <v>30.119999999999997</v>
      </c>
      <c r="O59" s="98">
        <f>O30+O57</f>
        <v>30.119999999999997</v>
      </c>
      <c r="P59" s="98"/>
    </row>
    <row r="60" spans="1:221" ht="13" x14ac:dyDescent="0.3">
      <c r="A60" s="37"/>
      <c r="B60" s="37"/>
      <c r="C60" s="37"/>
      <c r="D60" s="37"/>
      <c r="E60" s="37"/>
      <c r="F60" s="37"/>
      <c r="G60" s="37"/>
      <c r="H60" s="37"/>
      <c r="I60" s="37"/>
      <c r="J60" s="37"/>
      <c r="K60" s="37"/>
      <c r="L60" s="37"/>
      <c r="M60" s="37"/>
      <c r="N60" s="37"/>
      <c r="O60" s="40"/>
      <c r="P60" s="40"/>
    </row>
    <row r="61" spans="1:221" ht="13" x14ac:dyDescent="0.3">
      <c r="A61" s="37" t="s">
        <v>37</v>
      </c>
      <c r="B61" s="37"/>
      <c r="C61" s="37"/>
      <c r="D61" s="37"/>
      <c r="E61" s="37"/>
      <c r="F61" s="37"/>
      <c r="G61" s="37"/>
      <c r="H61" s="37"/>
      <c r="I61" s="37"/>
      <c r="J61" s="37"/>
      <c r="K61" s="37"/>
      <c r="L61" s="37"/>
      <c r="M61" s="37"/>
      <c r="N61" s="37"/>
      <c r="O61" s="45">
        <f>O26+O28+O57</f>
        <v>30.119999999999997</v>
      </c>
      <c r="P61" s="245">
        <v>40967</v>
      </c>
    </row>
    <row r="62" spans="1:221" ht="13" x14ac:dyDescent="0.3">
      <c r="A62" s="37"/>
      <c r="B62" s="37"/>
      <c r="C62" s="37"/>
      <c r="D62" s="37"/>
      <c r="E62" s="37"/>
      <c r="F62" s="37"/>
      <c r="G62" s="46"/>
      <c r="H62" s="46"/>
      <c r="I62" s="46"/>
      <c r="J62" s="46"/>
      <c r="K62" s="36"/>
      <c r="L62" s="36"/>
      <c r="M62" s="36"/>
      <c r="N62" s="36"/>
      <c r="O62" s="40"/>
    </row>
    <row r="63" spans="1:221" ht="13" x14ac:dyDescent="0.3">
      <c r="A63" s="41" t="s">
        <v>117</v>
      </c>
      <c r="B63" s="37"/>
      <c r="C63" s="37"/>
      <c r="D63" s="37"/>
      <c r="E63" s="37"/>
      <c r="F63" s="37"/>
      <c r="G63" s="46"/>
      <c r="H63" s="46"/>
      <c r="I63" s="46"/>
      <c r="J63" s="46"/>
      <c r="K63" s="36"/>
      <c r="L63" s="36"/>
      <c r="M63" s="36"/>
      <c r="N63" s="36"/>
      <c r="O63" s="138">
        <f>MAX($O$59,$O$61)</f>
        <v>30.119999999999997</v>
      </c>
    </row>
    <row r="64" spans="1:221" ht="13" x14ac:dyDescent="0.3">
      <c r="A64" s="37"/>
      <c r="B64" s="37"/>
      <c r="C64" s="37"/>
      <c r="D64" s="37"/>
      <c r="E64" s="37"/>
      <c r="F64" s="37"/>
      <c r="G64" s="46"/>
      <c r="H64" s="46"/>
      <c r="I64" s="46"/>
      <c r="J64" s="46"/>
      <c r="K64" s="36"/>
      <c r="L64" s="36"/>
      <c r="M64" s="36"/>
      <c r="N64" s="36"/>
      <c r="O64" s="40"/>
    </row>
    <row r="65" spans="1:16" ht="13" x14ac:dyDescent="0.3">
      <c r="A65" s="37"/>
      <c r="B65" s="37"/>
      <c r="C65" s="37"/>
      <c r="D65" s="37"/>
      <c r="E65" s="37"/>
      <c r="F65" s="37"/>
      <c r="G65" s="96" t="s">
        <v>86</v>
      </c>
      <c r="H65" s="46"/>
      <c r="I65" s="37"/>
      <c r="J65" s="46"/>
      <c r="K65" s="36"/>
      <c r="L65" s="191"/>
      <c r="M65" s="191"/>
      <c r="N65" s="191"/>
      <c r="O65" s="191">
        <f>ROUND(IF($C$16&lt;1,0,$O$63/($C$16*100)*10000),2)</f>
        <v>0</v>
      </c>
      <c r="P65" s="37" t="s">
        <v>87</v>
      </c>
    </row>
    <row r="66" spans="1:16" ht="13" x14ac:dyDescent="0.3">
      <c r="A66" s="37"/>
      <c r="B66" s="37"/>
      <c r="C66" s="37"/>
      <c r="D66" s="37"/>
      <c r="E66" s="37"/>
      <c r="F66" s="37"/>
      <c r="G66" s="242" t="s">
        <v>191</v>
      </c>
      <c r="H66" s="136"/>
      <c r="I66" s="133"/>
      <c r="J66" s="136"/>
      <c r="K66" s="137"/>
      <c r="L66" s="78"/>
      <c r="M66" s="78"/>
      <c r="N66" s="78"/>
      <c r="O66" s="243">
        <f>ROUND(IF($C$16&lt;1,0,(L59)/($C$16*100)*10000),2)</f>
        <v>0</v>
      </c>
      <c r="P66" s="25" t="s">
        <v>87</v>
      </c>
    </row>
    <row r="67" spans="1:16" ht="13" x14ac:dyDescent="0.3">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Info'!$C$32=TRUE,"Notice: Billing Charge does not include Self Assessed KWH Tax"," ")</f>
        <v xml:space="preserve"> </v>
      </c>
      <c r="E68" s="3"/>
      <c r="F68" s="4"/>
      <c r="G68" s="121"/>
      <c r="H68" s="55"/>
      <c r="I68" s="34"/>
      <c r="J68" s="55"/>
      <c r="K68" s="37"/>
      <c r="L68" s="37"/>
      <c r="M68" s="37"/>
      <c r="N68" s="34"/>
    </row>
    <row r="69" spans="1:16" ht="13" x14ac:dyDescent="0.3">
      <c r="A69" s="37"/>
      <c r="B69" s="37"/>
      <c r="C69" s="37"/>
      <c r="D69" s="54"/>
      <c r="E69" s="3"/>
      <c r="F69" s="4"/>
      <c r="G69" s="55"/>
      <c r="H69" s="55"/>
      <c r="I69" s="93"/>
      <c r="J69" s="55"/>
      <c r="K69" s="37"/>
      <c r="L69" s="37"/>
      <c r="M69" s="37"/>
      <c r="N69" s="37"/>
      <c r="O69" s="40"/>
    </row>
    <row r="70" spans="1:16" ht="13" x14ac:dyDescent="0.3">
      <c r="A70" s="37"/>
      <c r="B70" s="37"/>
      <c r="C70" s="37"/>
      <c r="D70" s="54"/>
      <c r="E70" s="3"/>
      <c r="F70" s="4"/>
      <c r="G70" s="55"/>
      <c r="H70" s="55"/>
      <c r="I70" s="55"/>
      <c r="J70" s="55"/>
      <c r="K70" s="37"/>
      <c r="L70" s="37"/>
      <c r="M70" s="37"/>
      <c r="N70" s="37"/>
      <c r="O70" s="40"/>
    </row>
    <row r="71" spans="1:16" ht="13" x14ac:dyDescent="0.3">
      <c r="A71" s="41"/>
      <c r="B71" s="37"/>
      <c r="C71" s="37"/>
      <c r="D71" s="37"/>
      <c r="E71" s="37"/>
      <c r="F71" s="37"/>
      <c r="G71" s="37"/>
      <c r="H71" s="37"/>
      <c r="J71" s="37"/>
      <c r="K71" s="37"/>
      <c r="L71" s="40"/>
      <c r="M71" s="40"/>
      <c r="N71" s="40"/>
      <c r="O71" s="138"/>
    </row>
    <row r="72" spans="1:16" ht="13" x14ac:dyDescent="0.3">
      <c r="B72" s="37"/>
      <c r="C72" s="37"/>
      <c r="D72" s="37"/>
      <c r="E72" s="37"/>
      <c r="F72" s="37"/>
      <c r="G72" s="96"/>
      <c r="H72" s="37"/>
      <c r="I72" s="37"/>
      <c r="J72" s="37"/>
      <c r="K72" s="37"/>
      <c r="L72" s="60"/>
      <c r="M72" s="60"/>
      <c r="N72" s="60"/>
      <c r="O72" s="130"/>
      <c r="P72" s="37"/>
    </row>
    <row r="73" spans="1:16" ht="13" x14ac:dyDescent="0.3">
      <c r="G73" s="133"/>
      <c r="H73" s="56"/>
      <c r="I73" s="133"/>
      <c r="J73" s="56"/>
      <c r="K73" s="56"/>
      <c r="L73" s="134"/>
      <c r="M73" s="134"/>
      <c r="N73" s="134"/>
      <c r="O73" s="135"/>
      <c r="P73" s="25"/>
    </row>
    <row r="75" spans="1:16" x14ac:dyDescent="0.25">
      <c r="A75" s="478"/>
    </row>
    <row r="76" spans="1:16" x14ac:dyDescent="0.25">
      <c r="A76" s="478"/>
    </row>
    <row r="77" spans="1:16" x14ac:dyDescent="0.25">
      <c r="A77" s="478"/>
    </row>
    <row r="78" spans="1:16" x14ac:dyDescent="0.25">
      <c r="A78" s="478"/>
    </row>
    <row r="79" spans="1:16" x14ac:dyDescent="0.25">
      <c r="A79" s="478"/>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sheetData>
  <sheetProtection algorithmName="SHA-512" hashValue="6/7ex1/9BG2wRErLLbn5bU1hW+vkYKS3/cKbJBAdpyjUjEff0D/Et8w1P7yYzU2bu/BvoTx3k53gwbvBtMA5XA==" saltValue="yVgV7ntKW0NM3YEvo434vw=="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412750</xdr:colOff>
                    <xdr:row>83</xdr:row>
                    <xdr:rowOff>76200</xdr:rowOff>
                  </from>
                  <to>
                    <xdr:col>16</xdr:col>
                    <xdr:colOff>38100</xdr:colOff>
                    <xdr:row>84</xdr:row>
                    <xdr:rowOff>133350</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9"/>
  <sheetViews>
    <sheetView showGridLines="0" zoomScale="80" zoomScaleNormal="80" workbookViewId="0">
      <selection activeCell="P29" sqref="P29"/>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0"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291</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282">
        <f ca="1">TODAY()</f>
        <v>45476</v>
      </c>
      <c r="B6" s="99" t="s">
        <v>293</v>
      </c>
      <c r="C6" s="274"/>
      <c r="D6" s="274"/>
      <c r="E6" s="274"/>
      <c r="F6" s="274"/>
      <c r="G6" s="274"/>
      <c r="H6" s="274"/>
      <c r="I6" s="274"/>
      <c r="J6" s="274"/>
      <c r="K6" s="274"/>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ROUND(C14*C20,1)</f>
        <v>0</v>
      </c>
      <c r="E14" s="29" t="s">
        <v>45</v>
      </c>
      <c r="F14" s="30"/>
      <c r="G14" s="29" t="s">
        <v>15</v>
      </c>
      <c r="I14" s="53" t="s">
        <v>15</v>
      </c>
      <c r="J14" s="29"/>
      <c r="K14" s="29"/>
      <c r="L14" s="29"/>
      <c r="M14" s="29"/>
      <c r="N14" s="29"/>
    </row>
    <row r="15" spans="1:256" x14ac:dyDescent="0.25">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5">
      <c r="A17" s="31" t="s">
        <v>285</v>
      </c>
      <c r="B17" s="31"/>
      <c r="C17" s="32">
        <f>'Customer Info'!$B$27</f>
        <v>0</v>
      </c>
      <c r="D17" s="32">
        <f>$C$17*$C$20</f>
        <v>0</v>
      </c>
      <c r="E17" s="31" t="s">
        <v>288</v>
      </c>
      <c r="F17" s="33"/>
      <c r="G17" s="31"/>
      <c r="H17" s="31"/>
      <c r="I17" s="31"/>
      <c r="J17" s="31"/>
      <c r="K17" s="31"/>
      <c r="L17" s="31"/>
      <c r="M17" s="31"/>
      <c r="N17" s="31"/>
      <c r="O17" s="31"/>
    </row>
    <row r="18" spans="1:30" x14ac:dyDescent="0.25">
      <c r="A18" s="31" t="s">
        <v>286</v>
      </c>
      <c r="B18" s="31"/>
      <c r="C18" s="285">
        <f>IF('Customer Info'!$B$18=0,0,ROUND(MAX(ROUND('Customer Info'!$B$18*$C$20,1),ROUND('Customer Info'!$B$19*$C$20,1))/'Customer Info'!$D$29,1))</f>
        <v>0</v>
      </c>
      <c r="D18" s="285">
        <f>$C$18*C20</f>
        <v>0</v>
      </c>
      <c r="E18" s="31" t="s">
        <v>289</v>
      </c>
      <c r="F18" s="33"/>
      <c r="G18" s="31"/>
      <c r="H18" s="31"/>
      <c r="I18" s="31"/>
      <c r="J18" s="31"/>
      <c r="K18" s="31"/>
      <c r="L18" s="31"/>
      <c r="M18" s="31"/>
      <c r="N18" s="31"/>
      <c r="O18" s="31"/>
    </row>
    <row r="19" spans="1:30" x14ac:dyDescent="0.25">
      <c r="A19" s="31" t="s">
        <v>287</v>
      </c>
      <c r="B19" s="31"/>
      <c r="C19" s="32"/>
      <c r="D19" s="285">
        <f>MAX(100,ROUND(1.15*(MAX('Customer Info'!$B$18*'GS PRI OAD'!C20,'Customer Info'!$B$19*'GS PRI OAD'!C20)),1))</f>
        <v>100</v>
      </c>
      <c r="E19" s="31" t="s">
        <v>289</v>
      </c>
      <c r="F19" s="33"/>
      <c r="G19" s="31"/>
      <c r="H19" s="31"/>
      <c r="I19" s="31"/>
      <c r="J19" s="31"/>
      <c r="K19" s="31"/>
      <c r="L19" s="31"/>
      <c r="M19" s="31"/>
      <c r="N19" s="31"/>
      <c r="O19" s="31"/>
    </row>
    <row r="20" spans="1:30" ht="13" x14ac:dyDescent="0.3">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08" t="s">
        <v>15</v>
      </c>
      <c r="E21" s="508"/>
      <c r="F21" s="508"/>
      <c r="G21" s="508"/>
      <c r="H21" s="508"/>
      <c r="K21" s="31"/>
      <c r="L21" s="31"/>
      <c r="M21" s="31"/>
      <c r="N21" s="31"/>
      <c r="O21" s="50"/>
    </row>
    <row r="22" spans="1:30" ht="13" x14ac:dyDescent="0.3">
      <c r="A22" s="31" t="s">
        <v>15</v>
      </c>
      <c r="B22" s="31"/>
      <c r="C22" s="82" t="s">
        <v>15</v>
      </c>
      <c r="D22" s="508" t="s">
        <v>15</v>
      </c>
      <c r="E22" s="508"/>
      <c r="F22" s="508"/>
      <c r="G22" s="508"/>
      <c r="H22" s="508"/>
      <c r="I22" s="23"/>
      <c r="J22" s="23"/>
      <c r="K22" s="31"/>
      <c r="L22" s="31"/>
      <c r="M22" s="31"/>
      <c r="N22" s="31"/>
      <c r="O22" s="50"/>
    </row>
    <row r="23" spans="1:30" ht="13" x14ac:dyDescent="0.3">
      <c r="A23" s="31"/>
      <c r="B23" s="31"/>
      <c r="C23" s="33"/>
      <c r="D23" s="33"/>
      <c r="E23" s="33"/>
      <c r="F23" s="33"/>
      <c r="G23" s="23"/>
      <c r="H23" s="23"/>
      <c r="I23" s="23"/>
      <c r="J23" s="23"/>
      <c r="K23" s="31"/>
      <c r="L23" s="31"/>
      <c r="M23" s="31"/>
      <c r="N23" s="31"/>
      <c r="O23" s="31"/>
    </row>
    <row r="24" spans="1:30" ht="13" x14ac:dyDescent="0.3">
      <c r="A24" s="28" t="s">
        <v>31</v>
      </c>
      <c r="B24" s="22"/>
      <c r="C24" s="22"/>
      <c r="D24" s="22"/>
      <c r="E24" s="22"/>
      <c r="F24" s="22"/>
      <c r="G24" s="490" t="s">
        <v>68</v>
      </c>
      <c r="H24" s="491"/>
      <c r="I24" s="491"/>
      <c r="J24" s="492"/>
      <c r="K24" s="22"/>
      <c r="L24" s="493" t="s">
        <v>69</v>
      </c>
      <c r="M24" s="493"/>
      <c r="N24" s="493"/>
      <c r="O24" s="493"/>
    </row>
    <row r="25" spans="1:30" ht="13" x14ac:dyDescent="0.3">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Info'!B14-100)*0.6,('Customer Info'!B16-100)*0.6),1)</f>
        <v>0</v>
      </c>
      <c r="E28" s="29" t="s">
        <v>45</v>
      </c>
      <c r="F28" s="4" t="s">
        <v>8</v>
      </c>
      <c r="G28" s="85"/>
      <c r="H28" s="85"/>
      <c r="I28" s="85">
        <v>6.46</v>
      </c>
      <c r="J28" s="85">
        <f>SUM(G28:I28)</f>
        <v>6.46</v>
      </c>
      <c r="K28" s="36" t="s">
        <v>44</v>
      </c>
      <c r="L28" s="87"/>
      <c r="M28" s="87"/>
      <c r="N28" s="87">
        <f>ROUND($D28*I28,2)</f>
        <v>0</v>
      </c>
      <c r="O28" s="209">
        <f>SUM(L28:N28)</f>
        <v>0</v>
      </c>
      <c r="P28" s="245">
        <v>45261</v>
      </c>
    </row>
    <row r="29" spans="1:30" x14ac:dyDescent="0.25">
      <c r="A29" t="s">
        <v>261</v>
      </c>
      <c r="D29" s="49">
        <f>IF(D18&lt;=100,0,ROUND(IF(D18-D19&gt;0,D18-D19),1))</f>
        <v>0</v>
      </c>
      <c r="E29" s="29" t="s">
        <v>259</v>
      </c>
      <c r="F29" s="4" t="s">
        <v>8</v>
      </c>
      <c r="G29" s="116"/>
      <c r="H29" s="85"/>
      <c r="I29" s="85">
        <v>1.21</v>
      </c>
      <c r="J29" s="116">
        <f>SUM(G29:I29)</f>
        <v>1.21</v>
      </c>
      <c r="K29" s="36" t="s">
        <v>44</v>
      </c>
      <c r="L29" s="87"/>
      <c r="M29" s="87"/>
      <c r="N29" s="87">
        <f>ROUND($D29*I29,2)</f>
        <v>0</v>
      </c>
      <c r="O29" s="87">
        <f>SUM(L29:N29)</f>
        <v>0</v>
      </c>
      <c r="P29" s="245">
        <v>44531</v>
      </c>
    </row>
    <row r="30" spans="1:30" ht="13" x14ac:dyDescent="0.3">
      <c r="A30" s="37" t="s">
        <v>50</v>
      </c>
      <c r="B30" s="37"/>
      <c r="C30" s="37"/>
      <c r="D30" s="38"/>
      <c r="E30" s="38"/>
      <c r="F30" s="37"/>
      <c r="G30" s="37"/>
      <c r="H30" s="37"/>
      <c r="I30" s="37"/>
      <c r="J30" s="37"/>
      <c r="K30" s="39"/>
      <c r="L30" s="40"/>
      <c r="M30" s="40"/>
      <c r="N30" s="40">
        <f>SUM(N26:N29)</f>
        <v>138.5</v>
      </c>
      <c r="O30" s="40">
        <f>SUM(O26:O29)</f>
        <v>138.5</v>
      </c>
    </row>
    <row r="31" spans="1:30" ht="13" x14ac:dyDescent="0.3">
      <c r="A31" s="89"/>
      <c r="B31" s="89"/>
      <c r="C31" s="90"/>
      <c r="D31" s="90"/>
      <c r="E31" s="90"/>
      <c r="F31" s="90"/>
      <c r="G31" s="91"/>
      <c r="H31" s="91"/>
      <c r="I31" s="91"/>
      <c r="J31" s="91"/>
      <c r="K31" s="89"/>
      <c r="L31" s="89"/>
      <c r="M31" s="89"/>
      <c r="N31" s="89"/>
      <c r="O31" s="89"/>
      <c r="P31" s="89"/>
    </row>
    <row r="32" spans="1:30" ht="13" x14ac:dyDescent="0.3">
      <c r="A32" s="41" t="s">
        <v>70</v>
      </c>
      <c r="D32" s="1"/>
      <c r="E32" s="1"/>
      <c r="K32" s="36"/>
      <c r="L32" s="36"/>
      <c r="M32" s="36"/>
      <c r="N32" s="36"/>
      <c r="O32" s="34"/>
      <c r="P32" s="34"/>
    </row>
    <row r="33" spans="1:221" ht="13" x14ac:dyDescent="0.3">
      <c r="A33" s="37"/>
      <c r="D33" s="1"/>
      <c r="E33" s="1"/>
      <c r="K33" s="36"/>
      <c r="L33" s="36"/>
      <c r="M33" s="36"/>
      <c r="N33" s="36"/>
      <c r="O33" s="34"/>
    </row>
    <row r="34" spans="1:221" x14ac:dyDescent="0.25">
      <c r="A34" s="78" t="s">
        <v>79</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5">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5">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ht="13" x14ac:dyDescent="0.3">
      <c r="A39" s="241" t="s">
        <v>238</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211</v>
      </c>
      <c r="B40" s="78"/>
      <c r="C40" s="78"/>
      <c r="D40" s="1">
        <f>IF($C$16&lt;0,0,IF($C$16&gt;833000,833000,$C$16))</f>
        <v>0</v>
      </c>
      <c r="E40" s="101" t="s">
        <v>41</v>
      </c>
      <c r="F40" s="102" t="s">
        <v>8</v>
      </c>
      <c r="G40" s="103"/>
      <c r="H40" s="103"/>
      <c r="I40" s="103">
        <f>'Rider Rates'!D49</f>
        <v>1.8006999999999999E-3</v>
      </c>
      <c r="J40" s="103">
        <f>SUM(G40:I40)</f>
        <v>1.8006999999999999E-3</v>
      </c>
      <c r="K40" s="104" t="s">
        <v>42</v>
      </c>
      <c r="L40" s="105"/>
      <c r="M40" s="105"/>
      <c r="N40" s="87">
        <f>D40*J40</f>
        <v>0</v>
      </c>
      <c r="O40" s="105">
        <f t="shared" si="0"/>
        <v>0</v>
      </c>
      <c r="P40" s="245">
        <f>'Rider Rates'!E49</f>
        <v>45474</v>
      </c>
    </row>
    <row r="41" spans="1:221" x14ac:dyDescent="0.25">
      <c r="A41" s="210" t="s">
        <v>190</v>
      </c>
      <c r="B41" s="78"/>
      <c r="C41" s="78"/>
      <c r="D41" s="1">
        <f>IF($C$16&lt;0,0,$C$16)</f>
        <v>0</v>
      </c>
      <c r="E41" s="113" t="s">
        <v>41</v>
      </c>
      <c r="F41" s="102" t="s">
        <v>8</v>
      </c>
      <c r="G41" s="103"/>
      <c r="H41" s="103">
        <f>'Rider Rates'!B58</f>
        <v>5.8060000000000002E-4</v>
      </c>
      <c r="I41" s="103"/>
      <c r="J41" s="103">
        <f>SUM(G41:I41)</f>
        <v>5.8060000000000002E-4</v>
      </c>
      <c r="K41" s="104" t="s">
        <v>42</v>
      </c>
      <c r="L41" s="105"/>
      <c r="M41" s="105">
        <f>ROUND(D41*H41,2)</f>
        <v>0</v>
      </c>
      <c r="N41" s="205"/>
      <c r="O41" s="105">
        <f t="shared" si="0"/>
        <v>0</v>
      </c>
      <c r="P41" s="245">
        <f>'Rider Rates'!$D$57</f>
        <v>45383</v>
      </c>
    </row>
    <row r="42" spans="1:221" x14ac:dyDescent="0.25">
      <c r="A42" s="210" t="s">
        <v>190</v>
      </c>
      <c r="B42" s="78"/>
      <c r="C42" s="78"/>
      <c r="D42" s="49">
        <f>D28</f>
        <v>0</v>
      </c>
      <c r="E42" s="35" t="s">
        <v>64</v>
      </c>
      <c r="F42" s="4" t="s">
        <v>8</v>
      </c>
      <c r="G42" s="103"/>
      <c r="H42" s="239">
        <f>'Rider Rates'!B63</f>
        <v>6.76</v>
      </c>
      <c r="I42" s="103"/>
      <c r="J42" s="239">
        <f>SUM(G42:I42)</f>
        <v>6.76</v>
      </c>
      <c r="K42" s="104" t="s">
        <v>44</v>
      </c>
      <c r="L42" s="105"/>
      <c r="M42" s="105">
        <f>ROUND(D42*H42,2)</f>
        <v>0</v>
      </c>
      <c r="N42" s="205"/>
      <c r="O42" s="105">
        <f t="shared" si="0"/>
        <v>0</v>
      </c>
      <c r="P42" s="245">
        <f>'Rider Rates'!$D$62</f>
        <v>45383</v>
      </c>
    </row>
    <row r="43" spans="1:221" x14ac:dyDescent="0.25">
      <c r="A43" s="99" t="s">
        <v>83</v>
      </c>
      <c r="B43" s="78"/>
      <c r="C43" s="78"/>
      <c r="D43" s="1">
        <f>IF('Customer Info'!C34=TRUE,0,IF($C$16&lt;0,0,$C$16))</f>
        <v>0</v>
      </c>
      <c r="E43" s="101" t="s">
        <v>41</v>
      </c>
      <c r="F43" s="102" t="s">
        <v>8</v>
      </c>
      <c r="G43" s="103"/>
      <c r="H43" s="103"/>
      <c r="I43" s="103">
        <f>'Rider Rates'!$B$69+'Rider Rates'!$C$69</f>
        <v>0</v>
      </c>
      <c r="J43" s="103">
        <f>SUM(G43:I43)</f>
        <v>0</v>
      </c>
      <c r="K43" s="104" t="s">
        <v>42</v>
      </c>
      <c r="L43" s="105"/>
      <c r="M43" s="105"/>
      <c r="N43" s="87">
        <f>ROUND($D$43*'Rider Rates'!$B$69,2)+ROUND($D$43*'Rider Rates'!$C$69,2)</f>
        <v>0</v>
      </c>
      <c r="O43" s="209">
        <f t="shared" si="0"/>
        <v>0</v>
      </c>
      <c r="P43" s="245">
        <f>'Rider Rates'!$D$69</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83</v>
      </c>
      <c r="B44" s="78"/>
      <c r="C44" s="78"/>
      <c r="D44" s="49">
        <f>IF('Customer Info'!C34=TRUE,0,$D$28)</f>
        <v>0</v>
      </c>
      <c r="E44" s="101" t="s">
        <v>45</v>
      </c>
      <c r="F44" s="102" t="s">
        <v>8</v>
      </c>
      <c r="G44" s="103"/>
      <c r="H44" s="103"/>
      <c r="I44" s="239">
        <f>'Rider Rates'!$B$79</f>
        <v>0</v>
      </c>
      <c r="J44" s="239">
        <f>SUM(G44:I44)</f>
        <v>0</v>
      </c>
      <c r="K44" s="104" t="s">
        <v>42</v>
      </c>
      <c r="L44" s="105"/>
      <c r="M44" s="105"/>
      <c r="N44" s="87">
        <f>ROUND($D44*I44,2)</f>
        <v>0</v>
      </c>
      <c r="O44" s="209">
        <f>SUM(L44:N44)</f>
        <v>0</v>
      </c>
      <c r="P44" s="245">
        <f>'Rider Rates'!$D$79</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81</v>
      </c>
      <c r="B45" s="78"/>
      <c r="C45" s="78"/>
      <c r="D45" s="208">
        <f>$N$30</f>
        <v>138.5</v>
      </c>
      <c r="E45" s="101" t="s">
        <v>122</v>
      </c>
      <c r="F45" s="102" t="s">
        <v>8</v>
      </c>
      <c r="G45" s="111"/>
      <c r="H45" s="112"/>
      <c r="I45" s="120">
        <f>'Rider Rates'!$B$83</f>
        <v>2.9347000000000002E-2</v>
      </c>
      <c r="J45" s="120">
        <f>SUM(H45:I45)</f>
        <v>2.9347000000000002E-2</v>
      </c>
      <c r="K45" s="104"/>
      <c r="L45" s="105"/>
      <c r="M45" s="105"/>
      <c r="N45" s="105">
        <f>ROUND(N$30*I45,2)</f>
        <v>4.0599999999999996</v>
      </c>
      <c r="O45" s="209">
        <f t="shared" si="0"/>
        <v>4.0599999999999996</v>
      </c>
      <c r="P45" s="245">
        <f>'Rider Rates'!$D$83</f>
        <v>45383</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99" t="s">
        <v>82</v>
      </c>
      <c r="B46" s="78"/>
      <c r="C46" s="78"/>
      <c r="D46" s="208">
        <f>$N$30</f>
        <v>138.5</v>
      </c>
      <c r="E46" s="101" t="s">
        <v>122</v>
      </c>
      <c r="F46" s="102" t="s">
        <v>8</v>
      </c>
      <c r="G46" s="114"/>
      <c r="H46" s="115"/>
      <c r="I46" s="120">
        <f>'Rider Rates'!$B$85</f>
        <v>6.6985699999999995E-2</v>
      </c>
      <c r="J46" s="120">
        <f>SUM(H46:I46)</f>
        <v>6.6985699999999995E-2</v>
      </c>
      <c r="K46" s="104"/>
      <c r="L46" s="105"/>
      <c r="M46" s="105"/>
      <c r="N46" s="105">
        <f>ROUND(N$30*I46,2)</f>
        <v>9.2799999999999994</v>
      </c>
      <c r="O46" s="209">
        <f t="shared" si="0"/>
        <v>9.2799999999999994</v>
      </c>
      <c r="P46" s="245">
        <f>'Rider Rates'!$D$85</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ht="13" x14ac:dyDescent="0.3">
      <c r="A47" s="210" t="s">
        <v>207</v>
      </c>
      <c r="B47" s="78"/>
      <c r="C47" s="78"/>
      <c r="D47" s="195"/>
      <c r="E47" s="113" t="s">
        <v>115</v>
      </c>
      <c r="F47" s="106"/>
      <c r="G47" s="114"/>
      <c r="H47" s="115"/>
      <c r="I47" s="196">
        <f>'Rider Rates'!$B$89</f>
        <v>11.97</v>
      </c>
      <c r="J47" s="196">
        <f>SUM(G47:I47)</f>
        <v>11.97</v>
      </c>
      <c r="K47" s="104"/>
      <c r="L47" s="105"/>
      <c r="M47" s="105"/>
      <c r="N47" s="105">
        <f>I47</f>
        <v>11.97</v>
      </c>
      <c r="O47" s="105">
        <f>SUM(L47:N47)</f>
        <v>11.97</v>
      </c>
      <c r="P47" s="245">
        <f>'Rider Rates'!$D$89</f>
        <v>45442</v>
      </c>
    </row>
    <row r="48" spans="1:221" ht="13" x14ac:dyDescent="0.3">
      <c r="A48" s="99" t="s">
        <v>157</v>
      </c>
      <c r="B48" s="78"/>
      <c r="C48" s="78"/>
      <c r="D48" s="208">
        <f>$N$30</f>
        <v>138.5</v>
      </c>
      <c r="E48" s="101" t="s">
        <v>122</v>
      </c>
      <c r="F48" s="102" t="s">
        <v>8</v>
      </c>
      <c r="G48" s="114"/>
      <c r="H48" s="115"/>
      <c r="I48" s="120">
        <f>'Rider Rates'!$B$103</f>
        <v>0.21398439999999999</v>
      </c>
      <c r="J48" s="120">
        <f>SUM(H48:I48)</f>
        <v>0.21398439999999999</v>
      </c>
      <c r="K48" s="104"/>
      <c r="L48" s="105"/>
      <c r="M48" s="105"/>
      <c r="N48" s="105">
        <f>ROUND(N$30*I48,2)</f>
        <v>29.64</v>
      </c>
      <c r="O48" s="105">
        <f t="shared" si="0"/>
        <v>29.64</v>
      </c>
      <c r="P48" s="245">
        <f>'Rider Rates'!$D$103</f>
        <v>45351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210</v>
      </c>
      <c r="B49" s="78"/>
      <c r="C49" s="78"/>
      <c r="D49" s="195"/>
      <c r="E49" s="113" t="s">
        <v>115</v>
      </c>
      <c r="F49" s="106"/>
      <c r="G49" s="114"/>
      <c r="H49" s="115"/>
      <c r="I49" s="196">
        <f>'Rider Rates'!$B$107</f>
        <v>0</v>
      </c>
      <c r="J49" s="196">
        <f t="shared" ref="J49:J55" si="1">SUM(G49:I49)</f>
        <v>0</v>
      </c>
      <c r="K49" s="104"/>
      <c r="L49" s="105"/>
      <c r="M49" s="105"/>
      <c r="N49" s="105">
        <f>I49</f>
        <v>0</v>
      </c>
      <c r="O49" s="105">
        <f t="shared" ref="O49:O53" si="2">SUM(L49:N49)</f>
        <v>0</v>
      </c>
      <c r="P49" s="245">
        <f>'Rider Rates'!$D$107</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210" t="s">
        <v>218</v>
      </c>
      <c r="B50" s="78"/>
      <c r="C50" s="78"/>
      <c r="D50" s="195"/>
      <c r="E50" s="113" t="s">
        <v>115</v>
      </c>
      <c r="F50" s="106"/>
      <c r="G50" s="114"/>
      <c r="H50" s="115"/>
      <c r="I50" s="258">
        <f>'Rider Rates'!B120</f>
        <v>5.83</v>
      </c>
      <c r="J50" s="196">
        <f t="shared" si="1"/>
        <v>5.83</v>
      </c>
      <c r="K50" s="104"/>
      <c r="L50" s="105"/>
      <c r="M50" s="105"/>
      <c r="N50" s="260">
        <f>I50</f>
        <v>5.83</v>
      </c>
      <c r="O50" s="105">
        <f t="shared" si="2"/>
        <v>5.83</v>
      </c>
      <c r="P50" s="245">
        <f>'Rider Rates'!D120</f>
        <v>45226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209</v>
      </c>
      <c r="B51" s="78"/>
      <c r="C51" s="78"/>
      <c r="D51" s="1">
        <f>IF($C$16&lt;1,0,$C$16)</f>
        <v>0</v>
      </c>
      <c r="E51" s="101" t="s">
        <v>41</v>
      </c>
      <c r="F51" s="249" t="s">
        <v>8</v>
      </c>
      <c r="G51" s="165"/>
      <c r="H51" s="165"/>
      <c r="I51" s="251">
        <f>'Rider Rates'!B116</f>
        <v>-6.2E-4</v>
      </c>
      <c r="J51" s="251">
        <f t="shared" si="1"/>
        <v>-6.2E-4</v>
      </c>
      <c r="K51" s="104" t="s">
        <v>42</v>
      </c>
      <c r="L51" s="105"/>
      <c r="M51" s="105"/>
      <c r="N51" s="105">
        <f>D51*I51</f>
        <v>0</v>
      </c>
      <c r="O51" s="105">
        <f t="shared" si="2"/>
        <v>0</v>
      </c>
      <c r="P51" s="245">
        <f>'Rider Rates'!D116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234</v>
      </c>
      <c r="B52" s="78"/>
      <c r="C52" s="78"/>
      <c r="D52" s="100">
        <f>IF(C16&lt;0,0,IF(C16&gt;833000,833000,C16))</f>
        <v>0</v>
      </c>
      <c r="E52" s="101" t="s">
        <v>41</v>
      </c>
      <c r="F52" s="102" t="s">
        <v>8</v>
      </c>
      <c r="G52" s="265"/>
      <c r="H52" s="265"/>
      <c r="I52" s="265">
        <f>'Rider Rates'!$B$124</f>
        <v>2.9050000000000001E-4</v>
      </c>
      <c r="J52" s="265">
        <f t="shared" si="1"/>
        <v>2.9050000000000001E-4</v>
      </c>
      <c r="K52" s="104" t="s">
        <v>42</v>
      </c>
      <c r="L52" s="266"/>
      <c r="M52" s="266"/>
      <c r="N52" s="266">
        <f>IF(D52*J52&gt;'Rider Rates'!$C$124,'Rider Rates'!$C$124,D52*J52)</f>
        <v>0</v>
      </c>
      <c r="O52" s="266">
        <f t="shared" si="2"/>
        <v>0</v>
      </c>
      <c r="P52" s="264">
        <f>'Rider Rates'!$E$124</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235</v>
      </c>
      <c r="B53" s="78"/>
      <c r="C53" s="78"/>
      <c r="D53" s="123">
        <f>IF(C16&gt;833000,C16-833000,0)</f>
        <v>0</v>
      </c>
      <c r="E53" s="101" t="s">
        <v>41</v>
      </c>
      <c r="F53" s="102" t="s">
        <v>8</v>
      </c>
      <c r="G53" s="265"/>
      <c r="H53" s="265"/>
      <c r="I53" s="265">
        <f>'Rider Rates'!$B$125</f>
        <v>0</v>
      </c>
      <c r="J53" s="265">
        <f t="shared" si="1"/>
        <v>0</v>
      </c>
      <c r="K53" s="104" t="s">
        <v>42</v>
      </c>
      <c r="L53" s="266"/>
      <c r="M53" s="266"/>
      <c r="N53" s="266">
        <f>D53*J53</f>
        <v>0</v>
      </c>
      <c r="O53" s="266">
        <f t="shared" si="2"/>
        <v>0</v>
      </c>
      <c r="P53" s="264">
        <f>'Rider Rates'!$E$125</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243</v>
      </c>
      <c r="B54" s="78"/>
      <c r="C54" s="78"/>
      <c r="D54" s="100">
        <f>D16</f>
        <v>0</v>
      </c>
      <c r="E54" s="101" t="s">
        <v>41</v>
      </c>
      <c r="F54" s="249" t="s">
        <v>8</v>
      </c>
      <c r="G54" s="103"/>
      <c r="H54" s="103"/>
      <c r="I54" s="103">
        <f>'Rider Rates'!$B$131</f>
        <v>0</v>
      </c>
      <c r="J54" s="237">
        <f t="shared" si="1"/>
        <v>0</v>
      </c>
      <c r="K54" s="104" t="s">
        <v>42</v>
      </c>
      <c r="L54" s="105"/>
      <c r="M54" s="105"/>
      <c r="N54" s="105">
        <f>D54*J54</f>
        <v>0</v>
      </c>
      <c r="O54" s="105">
        <f>SUM(L54:N54)</f>
        <v>0</v>
      </c>
      <c r="P54" s="245">
        <f>'Rider Rates'!$D$129</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242</v>
      </c>
      <c r="B55" s="78"/>
      <c r="C55" s="78"/>
      <c r="D55" s="100"/>
      <c r="E55" s="101" t="s">
        <v>115</v>
      </c>
      <c r="F55" s="102" t="s">
        <v>8</v>
      </c>
      <c r="G55" s="263"/>
      <c r="H55" s="263"/>
      <c r="I55" s="263">
        <f>'Rider Rates'!$B$136</f>
        <v>0</v>
      </c>
      <c r="J55" s="263">
        <f t="shared" si="1"/>
        <v>0</v>
      </c>
      <c r="K55" s="104"/>
      <c r="L55" s="209"/>
      <c r="M55" s="209"/>
      <c r="N55" s="209">
        <f>J55</f>
        <v>0</v>
      </c>
      <c r="O55" s="209">
        <f>SUM(L55:N55)</f>
        <v>0</v>
      </c>
      <c r="P55" s="264">
        <f>'Rider Rates'!$D$136</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244</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179" t="s">
        <v>71</v>
      </c>
      <c r="B57" s="148"/>
      <c r="C57" s="148"/>
      <c r="D57" s="180"/>
      <c r="E57" s="181"/>
      <c r="F57" s="182"/>
      <c r="G57" s="182"/>
      <c r="H57" s="182"/>
      <c r="I57" s="182"/>
      <c r="J57" s="182"/>
      <c r="K57" s="183"/>
      <c r="L57" s="169">
        <f>SUM(L34:L56)</f>
        <v>0</v>
      </c>
      <c r="M57" s="169">
        <f t="shared" ref="M57:O57" si="3">SUM(M34:M56)</f>
        <v>0</v>
      </c>
      <c r="N57" s="169">
        <f t="shared" si="3"/>
        <v>60.78</v>
      </c>
      <c r="O57" s="169">
        <f t="shared" si="3"/>
        <v>60.78</v>
      </c>
      <c r="P57" s="184"/>
    </row>
    <row r="58" spans="1:221" ht="13" x14ac:dyDescent="0.3">
      <c r="A58" s="37"/>
      <c r="D58" s="1"/>
      <c r="E58" s="35"/>
      <c r="F58" s="4"/>
      <c r="G58" s="42"/>
      <c r="H58" s="42"/>
      <c r="I58" s="42"/>
      <c r="J58" s="42"/>
      <c r="K58" s="36"/>
      <c r="L58" s="36"/>
      <c r="M58" s="36"/>
      <c r="N58" s="36"/>
      <c r="O58" s="34"/>
      <c r="P58" s="36"/>
    </row>
    <row r="59" spans="1:221" ht="13" x14ac:dyDescent="0.3">
      <c r="A59" s="284" t="s">
        <v>72</v>
      </c>
      <c r="B59" s="92"/>
      <c r="C59" s="92"/>
      <c r="D59" s="92"/>
      <c r="E59" s="92"/>
      <c r="F59" s="92"/>
      <c r="G59" s="92"/>
      <c r="H59" s="92"/>
      <c r="I59" s="92"/>
      <c r="J59" s="92"/>
      <c r="K59" s="92"/>
      <c r="L59" s="98">
        <f>L30+L57</f>
        <v>0</v>
      </c>
      <c r="M59" s="98">
        <f>M30+M57</f>
        <v>0</v>
      </c>
      <c r="N59" s="98">
        <f>N30+N57</f>
        <v>199.28</v>
      </c>
      <c r="O59" s="98">
        <f>O30+O57</f>
        <v>199.28</v>
      </c>
      <c r="P59" s="98"/>
    </row>
    <row r="60" spans="1:221" ht="13" x14ac:dyDescent="0.3">
      <c r="A60" s="37"/>
      <c r="B60" s="37"/>
      <c r="C60" s="37"/>
      <c r="D60" s="37"/>
      <c r="E60" s="37"/>
      <c r="F60" s="37"/>
      <c r="G60" s="37"/>
      <c r="H60" s="37"/>
      <c r="I60" s="37"/>
      <c r="J60" s="37"/>
      <c r="K60" s="37"/>
      <c r="L60" s="37"/>
      <c r="M60" s="37"/>
      <c r="N60" s="37"/>
      <c r="O60" s="40"/>
      <c r="P60" s="40"/>
    </row>
    <row r="61" spans="1:221" ht="13" x14ac:dyDescent="0.3">
      <c r="A61" s="37" t="s">
        <v>37</v>
      </c>
      <c r="B61" s="37"/>
      <c r="C61" s="37"/>
      <c r="D61" s="37"/>
      <c r="E61" s="37"/>
      <c r="F61" s="37"/>
      <c r="G61" s="37"/>
      <c r="H61" s="37"/>
      <c r="I61" s="37"/>
      <c r="J61" s="37"/>
      <c r="K61" s="37"/>
      <c r="L61" s="37"/>
      <c r="M61" s="37"/>
      <c r="N61" s="37"/>
      <c r="O61" s="45">
        <f>O26+O28+O57</f>
        <v>199.28</v>
      </c>
      <c r="P61" s="245">
        <v>40967</v>
      </c>
    </row>
    <row r="62" spans="1:221" ht="13" x14ac:dyDescent="0.3">
      <c r="A62" s="37"/>
      <c r="B62" s="37"/>
      <c r="C62" s="37"/>
      <c r="D62" s="37"/>
      <c r="E62" s="37"/>
      <c r="F62" s="37"/>
      <c r="G62" s="46"/>
      <c r="H62" s="46"/>
      <c r="I62" s="46"/>
      <c r="J62" s="46"/>
      <c r="K62" s="36"/>
      <c r="L62" s="36"/>
      <c r="M62" s="36"/>
      <c r="N62" s="36"/>
      <c r="O62" s="40"/>
    </row>
    <row r="63" spans="1:221" ht="13" x14ac:dyDescent="0.3">
      <c r="A63" s="41" t="s">
        <v>117</v>
      </c>
      <c r="B63" s="37"/>
      <c r="C63" s="37"/>
      <c r="D63" s="37"/>
      <c r="E63" s="37"/>
      <c r="F63" s="37"/>
      <c r="G63" s="46"/>
      <c r="H63" s="46"/>
      <c r="I63" s="46"/>
      <c r="J63" s="46"/>
      <c r="K63" s="36"/>
      <c r="L63" s="36"/>
      <c r="M63" s="36"/>
      <c r="N63" s="36"/>
      <c r="O63" s="138">
        <f>MAX($O$59,$O$61)</f>
        <v>199.28</v>
      </c>
    </row>
    <row r="64" spans="1:221" ht="13" x14ac:dyDescent="0.3">
      <c r="A64" s="37"/>
      <c r="B64" s="37"/>
      <c r="C64" s="37"/>
      <c r="D64" s="37"/>
      <c r="E64" s="37"/>
      <c r="F64" s="37"/>
      <c r="G64" s="46"/>
      <c r="H64" s="46"/>
      <c r="I64" s="46"/>
      <c r="J64" s="46"/>
      <c r="K64" s="36"/>
      <c r="L64" s="36"/>
      <c r="M64" s="36"/>
      <c r="N64" s="36"/>
      <c r="O64" s="40"/>
    </row>
    <row r="65" spans="1:16" ht="13" x14ac:dyDescent="0.3">
      <c r="A65" s="37"/>
      <c r="B65" s="37"/>
      <c r="C65" s="37"/>
      <c r="D65" s="37"/>
      <c r="E65" s="37"/>
      <c r="F65" s="37"/>
      <c r="G65" s="96" t="s">
        <v>86</v>
      </c>
      <c r="H65" s="46"/>
      <c r="I65" s="37"/>
      <c r="J65" s="46"/>
      <c r="K65" s="36"/>
      <c r="L65" s="191"/>
      <c r="M65" s="191"/>
      <c r="N65" s="191"/>
      <c r="O65" s="191">
        <f>ROUND(IF($C$16&lt;1,0,$O$63/($C$16*100)*10000),2)</f>
        <v>0</v>
      </c>
      <c r="P65" s="37" t="s">
        <v>87</v>
      </c>
    </row>
    <row r="66" spans="1:16" ht="13" x14ac:dyDescent="0.3">
      <c r="A66" s="37"/>
      <c r="B66" s="37"/>
      <c r="C66" s="37"/>
      <c r="D66" s="37"/>
      <c r="E66" s="37"/>
      <c r="F66" s="37"/>
      <c r="G66" s="242" t="s">
        <v>191</v>
      </c>
      <c r="H66" s="136"/>
      <c r="I66" s="133"/>
      <c r="J66" s="136"/>
      <c r="K66" s="137"/>
      <c r="L66" s="78"/>
      <c r="M66" s="78"/>
      <c r="N66" s="78"/>
      <c r="O66" s="243">
        <f>ROUND(IF($C$16&lt;1,0,(L59)/($C$16*100)*10000),2)</f>
        <v>0</v>
      </c>
      <c r="P66" s="25" t="s">
        <v>87</v>
      </c>
    </row>
    <row r="67" spans="1:16" ht="13" x14ac:dyDescent="0.3">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Info'!$C$32=TRUE,"Notice: Billing Charge does not include Self Assessed KWH Tax"," ")</f>
        <v xml:space="preserve"> </v>
      </c>
      <c r="E68" s="3"/>
      <c r="F68" s="4"/>
      <c r="G68" s="121"/>
      <c r="H68" s="55"/>
      <c r="I68" s="34"/>
      <c r="J68" s="55"/>
      <c r="K68" s="37"/>
      <c r="L68" s="37"/>
      <c r="M68" s="37"/>
      <c r="N68" s="34"/>
    </row>
    <row r="69" spans="1:16" ht="13" x14ac:dyDescent="0.3">
      <c r="A69" s="37"/>
      <c r="B69" s="37"/>
      <c r="C69" s="37"/>
      <c r="D69" s="54"/>
      <c r="E69" s="3"/>
      <c r="F69" s="4"/>
      <c r="G69" s="55"/>
      <c r="H69" s="55"/>
      <c r="I69" s="93"/>
      <c r="J69" s="55"/>
      <c r="K69" s="37"/>
      <c r="L69" s="37"/>
      <c r="M69" s="37"/>
      <c r="N69" s="37"/>
      <c r="O69" s="40"/>
    </row>
    <row r="70" spans="1:16" ht="13" x14ac:dyDescent="0.3">
      <c r="A70" s="37"/>
      <c r="B70" s="37"/>
      <c r="C70" s="37"/>
      <c r="D70" s="54"/>
      <c r="E70" s="3"/>
      <c r="F70" s="4"/>
      <c r="G70" s="55"/>
      <c r="H70" s="55"/>
      <c r="I70" s="55"/>
      <c r="J70" s="55"/>
      <c r="K70" s="37"/>
      <c r="L70" s="37"/>
      <c r="M70" s="37"/>
      <c r="N70" s="37"/>
      <c r="O70" s="40"/>
    </row>
    <row r="71" spans="1:16" ht="13" x14ac:dyDescent="0.3">
      <c r="A71" s="41"/>
      <c r="B71" s="37"/>
      <c r="C71" s="37"/>
      <c r="D71" s="37"/>
      <c r="E71" s="37"/>
      <c r="F71" s="37"/>
      <c r="G71" s="37"/>
      <c r="H71" s="37"/>
      <c r="J71" s="37"/>
      <c r="K71" s="37"/>
      <c r="L71" s="40"/>
      <c r="M71" s="40"/>
      <c r="N71" s="40"/>
      <c r="O71" s="138"/>
    </row>
    <row r="72" spans="1:16" ht="13" x14ac:dyDescent="0.3">
      <c r="B72" s="37"/>
      <c r="C72" s="37"/>
      <c r="D72" s="37"/>
      <c r="E72" s="37"/>
      <c r="F72" s="37"/>
      <c r="G72" s="96"/>
      <c r="H72" s="37"/>
      <c r="I72" s="37"/>
      <c r="J72" s="37"/>
      <c r="K72" s="37"/>
      <c r="L72" s="60"/>
      <c r="M72" s="60"/>
      <c r="N72" s="60"/>
      <c r="O72" s="130"/>
      <c r="P72" s="37"/>
    </row>
    <row r="73" spans="1:16" ht="13" x14ac:dyDescent="0.3">
      <c r="G73" s="133"/>
      <c r="H73" s="56"/>
      <c r="I73" s="133"/>
      <c r="J73" s="56"/>
      <c r="K73" s="56"/>
      <c r="L73" s="134"/>
      <c r="M73" s="134"/>
      <c r="N73" s="134"/>
      <c r="O73" s="135"/>
      <c r="P73" s="25"/>
    </row>
    <row r="75" spans="1:16" x14ac:dyDescent="0.25">
      <c r="A75" s="478"/>
    </row>
    <row r="76" spans="1:16" x14ac:dyDescent="0.25">
      <c r="A76" s="478"/>
    </row>
    <row r="77" spans="1:16" x14ac:dyDescent="0.25">
      <c r="A77" s="478"/>
    </row>
    <row r="78" spans="1:16" x14ac:dyDescent="0.25">
      <c r="A78" s="478"/>
    </row>
    <row r="79" spans="1:16" x14ac:dyDescent="0.25">
      <c r="A79" s="478"/>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sheetData>
  <sheetProtection algorithmName="SHA-512" hashValue="FfbfCOX2pkRodJNlViKAjbj5XlKzKbaE0nvJTsZOGbbuPP6I9m4E0LCQ3pqwO3k51t3U6FENaBkIMlbCoMulwg==" saltValue="ZuDIZfafcpG3ObIJX/ZGyw=="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412750</xdr:colOff>
                    <xdr:row>83</xdr:row>
                    <xdr:rowOff>76200</xdr:rowOff>
                  </from>
                  <to>
                    <xdr:col>16</xdr:col>
                    <xdr:colOff>38100</xdr:colOff>
                    <xdr:row>84</xdr:row>
                    <xdr:rowOff>133350</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8"/>
  <sheetViews>
    <sheetView showGridLines="0" zoomScale="80" zoomScaleNormal="80" workbookViewId="0">
      <selection activeCell="D41" sqref="D41"/>
    </sheetView>
  </sheetViews>
  <sheetFormatPr defaultRowHeight="12.5" x14ac:dyDescent="0.25"/>
  <cols>
    <col min="1" max="1" width="31" customWidth="1"/>
    <col min="2" max="2" width="2.1796875" customWidth="1"/>
    <col min="3" max="3" width="19.26953125" customWidth="1"/>
    <col min="4" max="4" width="15.26953125" customWidth="1"/>
    <col min="5" max="5" width="9.81640625" customWidth="1"/>
    <col min="6" max="6" width="3.7265625" customWidth="1"/>
    <col min="7" max="8" width="13.26953125" customWidth="1"/>
    <col min="9" max="9" width="14.54296875" customWidth="1"/>
    <col min="10" max="10" width="13.26953125" customWidth="1"/>
    <col min="11" max="11" width="7" customWidth="1"/>
    <col min="12" max="12" width="15.1796875" customWidth="1"/>
    <col min="13" max="13" width="18" customWidth="1"/>
    <col min="14" max="14" width="14.453125" customWidth="1"/>
    <col min="15" max="15" width="16.26953125" bestFit="1" customWidth="1"/>
    <col min="16" max="16" width="13.81640625" bestFit="1" customWidth="1"/>
    <col min="18" max="26" width="9.1796875" hidden="1" customWidth="1"/>
    <col min="27" max="27" width="10.54296875" hidden="1" customWidth="1"/>
    <col min="28" max="29" width="9.1796875" hidden="1" customWidth="1"/>
    <col min="30" max="30" width="10" hidden="1" customWidth="1"/>
    <col min="31" max="31" width="9.1796875" hidden="1" customWidth="1"/>
  </cols>
  <sheetData>
    <row r="1" spans="1:256" ht="20" x14ac:dyDescent="0.4">
      <c r="A1" s="495" t="s">
        <v>120</v>
      </c>
      <c r="B1" s="495"/>
      <c r="C1" s="495"/>
      <c r="D1" s="495"/>
      <c r="E1" s="495"/>
      <c r="F1" s="495"/>
      <c r="G1" s="495"/>
      <c r="H1" s="495"/>
      <c r="I1" s="495"/>
      <c r="J1" s="495"/>
      <c r="K1" s="495"/>
      <c r="L1" s="495"/>
      <c r="M1" s="495"/>
      <c r="N1" s="495"/>
      <c r="O1" s="495"/>
      <c r="P1" s="495"/>
    </row>
    <row r="2" spans="1:256" ht="20" x14ac:dyDescent="0.4">
      <c r="A2" s="480" t="s">
        <v>279</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4">
      <c r="A3" s="496" t="s">
        <v>271</v>
      </c>
      <c r="B3" s="496"/>
      <c r="C3" s="496"/>
      <c r="D3" s="496"/>
      <c r="E3" s="496"/>
      <c r="F3" s="496"/>
      <c r="G3" s="496"/>
      <c r="H3" s="496"/>
      <c r="I3" s="496"/>
      <c r="J3" s="496"/>
      <c r="K3" s="496"/>
      <c r="L3" s="496"/>
      <c r="M3" s="496"/>
      <c r="N3" s="496"/>
      <c r="O3" s="496"/>
      <c r="P3" s="496"/>
    </row>
    <row r="4" spans="1:256"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256" ht="15.5" x14ac:dyDescent="0.35">
      <c r="A5" s="75"/>
      <c r="B5" s="75"/>
      <c r="C5" s="75"/>
      <c r="D5" s="75"/>
      <c r="E5" s="75"/>
      <c r="F5" s="75"/>
      <c r="G5" s="75"/>
      <c r="H5" s="75"/>
      <c r="I5" s="75"/>
      <c r="J5" s="75"/>
      <c r="K5" s="75"/>
    </row>
    <row r="6" spans="1:256" x14ac:dyDescent="0.25">
      <c r="A6" s="76">
        <f ca="1">TODAY()</f>
        <v>45476</v>
      </c>
      <c r="B6" s="99" t="s">
        <v>294</v>
      </c>
      <c r="C6" s="274"/>
      <c r="D6" s="274"/>
      <c r="E6" s="274"/>
      <c r="F6" s="274"/>
      <c r="G6" s="274"/>
      <c r="H6" s="274"/>
      <c r="I6" s="274"/>
      <c r="J6" s="274"/>
      <c r="K6" s="274"/>
    </row>
    <row r="7" spans="1:256" ht="25" x14ac:dyDescent="0.5">
      <c r="A7" s="506"/>
      <c r="B7" s="506"/>
      <c r="C7" s="506"/>
      <c r="D7" s="506"/>
      <c r="E7" s="506"/>
      <c r="F7" s="506"/>
      <c r="G7" s="506"/>
      <c r="H7" s="506"/>
      <c r="I7" s="506"/>
      <c r="J7" s="506"/>
      <c r="K7" s="506"/>
      <c r="L7" s="506"/>
      <c r="M7" s="506"/>
      <c r="N7" s="506"/>
      <c r="O7" s="506"/>
      <c r="P7" s="506"/>
    </row>
    <row r="8" spans="1:256" ht="15.5" x14ac:dyDescent="0.35">
      <c r="A8" s="23" t="s">
        <v>2</v>
      </c>
      <c r="B8" s="24"/>
      <c r="C8" s="25">
        <f>'Customer Info'!B7</f>
        <v>0</v>
      </c>
      <c r="I8" s="26"/>
    </row>
    <row r="9" spans="1:256" ht="15.5" x14ac:dyDescent="0.35">
      <c r="A9" s="27" t="s">
        <v>26</v>
      </c>
      <c r="B9" s="24"/>
      <c r="C9" s="25">
        <f>'Customer Info'!B8</f>
        <v>0</v>
      </c>
    </row>
    <row r="10" spans="1:256" ht="13" x14ac:dyDescent="0.3">
      <c r="A10" s="23" t="s">
        <v>3</v>
      </c>
      <c r="B10" s="200">
        <f>'Customer Info'!B9</f>
        <v>7</v>
      </c>
      <c r="C10" s="194" t="str">
        <f>LOOKUP(B10,R10:AD10,R11:AD11)</f>
        <v>July</v>
      </c>
      <c r="D10" s="133">
        <f>'Customer Info'!C9</f>
        <v>2024</v>
      </c>
      <c r="S10">
        <v>1</v>
      </c>
      <c r="T10">
        <v>2</v>
      </c>
      <c r="U10">
        <v>3</v>
      </c>
      <c r="V10">
        <v>4</v>
      </c>
      <c r="W10">
        <v>5</v>
      </c>
      <c r="X10">
        <v>6</v>
      </c>
      <c r="Y10">
        <v>7</v>
      </c>
      <c r="Z10">
        <v>8</v>
      </c>
      <c r="AA10">
        <v>9</v>
      </c>
      <c r="AB10">
        <v>10</v>
      </c>
      <c r="AC10">
        <v>11</v>
      </c>
      <c r="AD10">
        <v>12</v>
      </c>
    </row>
    <row r="11" spans="1:256" ht="15" customHeight="1" x14ac:dyDescent="0.3">
      <c r="A11" s="494"/>
      <c r="B11" s="494"/>
      <c r="C11" s="494"/>
      <c r="D11" s="494"/>
      <c r="E11" s="494"/>
      <c r="F11" s="494"/>
      <c r="G11" s="494"/>
      <c r="H11" s="494"/>
      <c r="I11" s="494"/>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ht="13" x14ac:dyDescent="0.3">
      <c r="A12" s="28" t="s">
        <v>27</v>
      </c>
      <c r="B12" s="22"/>
      <c r="C12" s="22"/>
      <c r="D12" s="22"/>
      <c r="E12" s="22"/>
      <c r="F12" s="22"/>
      <c r="G12" s="22"/>
      <c r="H12" s="22"/>
      <c r="I12" s="22"/>
      <c r="J12" s="22"/>
      <c r="K12" s="22"/>
      <c r="L12" s="22"/>
      <c r="M12" s="22"/>
      <c r="N12" s="22"/>
      <c r="O12" s="22"/>
      <c r="P12" s="22"/>
      <c r="R12" s="3" t="s">
        <v>188</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55</v>
      </c>
      <c r="D13" s="59" t="s">
        <v>56</v>
      </c>
      <c r="E13" s="18"/>
      <c r="F13" s="18"/>
      <c r="G13" s="18"/>
      <c r="H13" s="18"/>
      <c r="I13" s="18"/>
      <c r="J13" s="18"/>
      <c r="K13" s="18"/>
      <c r="L13" s="18"/>
      <c r="M13" s="18"/>
      <c r="N13" s="18"/>
      <c r="O13" s="18"/>
    </row>
    <row r="14" spans="1:256" x14ac:dyDescent="0.25">
      <c r="A14" s="29" t="s">
        <v>28</v>
      </c>
      <c r="B14" s="29"/>
      <c r="C14" s="44">
        <f>'Customer Info'!B18</f>
        <v>0</v>
      </c>
      <c r="D14" s="44">
        <f>ROUND(C14*C19,1)</f>
        <v>0</v>
      </c>
      <c r="E14" s="29" t="s">
        <v>45</v>
      </c>
      <c r="F14" s="30"/>
      <c r="G14" s="29" t="s">
        <v>15</v>
      </c>
      <c r="I14" s="53" t="s">
        <v>15</v>
      </c>
      <c r="J14" s="29"/>
      <c r="K14" s="29"/>
      <c r="L14" s="29"/>
      <c r="M14" s="29"/>
      <c r="N14" s="29"/>
    </row>
    <row r="15" spans="1:256" x14ac:dyDescent="0.25">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5">
      <c r="A17" s="31" t="s">
        <v>129</v>
      </c>
      <c r="B17" s="31"/>
      <c r="C17" s="32">
        <f>'Customer Info'!$B$26</f>
        <v>0</v>
      </c>
      <c r="D17" s="32">
        <f>C17*C19</f>
        <v>0</v>
      </c>
      <c r="E17" s="31" t="s">
        <v>257</v>
      </c>
      <c r="F17" s="33"/>
      <c r="K17" s="31"/>
      <c r="L17" s="31"/>
      <c r="M17" s="31"/>
      <c r="N17" s="31"/>
    </row>
    <row r="18" spans="1:30" x14ac:dyDescent="0.25">
      <c r="A18" s="31" t="s">
        <v>256</v>
      </c>
      <c r="B18" s="31"/>
      <c r="C18" s="32"/>
      <c r="D18" s="32">
        <f>IF((D17-(ROUND(MAX(D14,D15)*0.5,1)))&lt;0,0,(D17-(ROUND(MAX(D14,D15)*0.5,1))))</f>
        <v>0</v>
      </c>
      <c r="E18" s="31" t="s">
        <v>260</v>
      </c>
      <c r="F18" s="33"/>
      <c r="K18" s="31"/>
      <c r="L18" s="31"/>
      <c r="M18" s="31"/>
      <c r="N18" s="31"/>
    </row>
    <row r="19" spans="1:30" ht="13" x14ac:dyDescent="0.3">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08" t="s">
        <v>15</v>
      </c>
      <c r="E20" s="508"/>
      <c r="F20" s="508"/>
      <c r="G20" s="508"/>
      <c r="H20" s="508"/>
      <c r="K20" s="31"/>
      <c r="L20" s="31"/>
      <c r="M20" s="31"/>
      <c r="N20" s="31"/>
      <c r="O20" s="50"/>
    </row>
    <row r="21" spans="1:30" ht="13" x14ac:dyDescent="0.3">
      <c r="A21" s="31" t="s">
        <v>15</v>
      </c>
      <c r="B21" s="31"/>
      <c r="C21" s="82" t="s">
        <v>15</v>
      </c>
      <c r="D21" s="508" t="s">
        <v>15</v>
      </c>
      <c r="E21" s="508"/>
      <c r="F21" s="508"/>
      <c r="G21" s="508"/>
      <c r="H21" s="508"/>
      <c r="I21" s="23"/>
      <c r="J21" s="23"/>
      <c r="K21" s="31"/>
      <c r="L21" s="31"/>
      <c r="M21" s="31"/>
      <c r="N21" s="31"/>
      <c r="O21" s="50"/>
    </row>
    <row r="22" spans="1:30" ht="13" x14ac:dyDescent="0.3">
      <c r="A22" s="31"/>
      <c r="B22" s="31"/>
      <c r="C22" s="33"/>
      <c r="D22" s="33"/>
      <c r="E22" s="33"/>
      <c r="F22" s="33"/>
      <c r="G22" s="23"/>
      <c r="H22" s="23"/>
      <c r="I22" s="23"/>
      <c r="J22" s="23"/>
      <c r="K22" s="31"/>
      <c r="L22" s="31"/>
      <c r="M22" s="31"/>
      <c r="N22" s="31"/>
      <c r="O22" s="31"/>
    </row>
    <row r="23" spans="1:30" ht="13" x14ac:dyDescent="0.3">
      <c r="A23" s="28" t="s">
        <v>31</v>
      </c>
      <c r="B23" s="22"/>
      <c r="C23" s="22"/>
      <c r="D23" s="22"/>
      <c r="E23" s="22"/>
      <c r="F23" s="22"/>
      <c r="G23" s="490" t="s">
        <v>68</v>
      </c>
      <c r="H23" s="491"/>
      <c r="I23" s="491"/>
      <c r="J23" s="492"/>
      <c r="K23" s="22"/>
      <c r="L23" s="493" t="s">
        <v>69</v>
      </c>
      <c r="M23" s="493"/>
      <c r="N23" s="493"/>
      <c r="O23" s="493"/>
    </row>
    <row r="24" spans="1:30" ht="13" x14ac:dyDescent="0.3">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261</v>
      </c>
      <c r="D28" s="49">
        <f>D18</f>
        <v>0</v>
      </c>
      <c r="E28" s="29" t="s">
        <v>259</v>
      </c>
      <c r="F28" s="4" t="s">
        <v>8</v>
      </c>
      <c r="G28" s="116"/>
      <c r="H28" s="85"/>
      <c r="I28" s="85">
        <v>0.7</v>
      </c>
      <c r="J28" s="116">
        <f>SUM(G28:I28)</f>
        <v>0.7</v>
      </c>
      <c r="K28" s="36" t="s">
        <v>44</v>
      </c>
      <c r="L28" s="87"/>
      <c r="M28" s="87"/>
      <c r="N28" s="87">
        <f>ROUND($D28*I28,2)</f>
        <v>0</v>
      </c>
      <c r="O28" s="87">
        <f>SUM(L28:N28)</f>
        <v>0</v>
      </c>
      <c r="P28" s="245">
        <v>44531</v>
      </c>
    </row>
    <row r="29" spans="1:30" ht="13" x14ac:dyDescent="0.3">
      <c r="A29" s="37" t="s">
        <v>50</v>
      </c>
      <c r="B29" s="37"/>
      <c r="C29" s="37"/>
      <c r="D29" s="38"/>
      <c r="E29" s="38"/>
      <c r="F29" s="37"/>
      <c r="G29" s="37"/>
      <c r="H29" s="37"/>
      <c r="I29" s="37"/>
      <c r="J29" s="37"/>
      <c r="K29" s="39"/>
      <c r="L29" s="40"/>
      <c r="M29" s="40"/>
      <c r="N29" s="40">
        <f>SUM(N25:N28)</f>
        <v>825</v>
      </c>
      <c r="O29" s="40">
        <f>SUM(O25:O28)</f>
        <v>825</v>
      </c>
    </row>
    <row r="30" spans="1:30" ht="13" x14ac:dyDescent="0.3">
      <c r="A30" s="89"/>
      <c r="B30" s="89"/>
      <c r="C30" s="90"/>
      <c r="D30" s="90"/>
      <c r="E30" s="90"/>
      <c r="F30" s="90"/>
      <c r="G30" s="91"/>
      <c r="H30" s="91"/>
      <c r="I30" s="91"/>
      <c r="J30" s="91"/>
      <c r="K30" s="89"/>
      <c r="L30" s="89"/>
      <c r="M30" s="89"/>
      <c r="N30" s="89"/>
      <c r="O30" s="89"/>
      <c r="P30" s="89"/>
    </row>
    <row r="31" spans="1:30" ht="13" x14ac:dyDescent="0.3">
      <c r="A31" s="41" t="s">
        <v>70</v>
      </c>
      <c r="D31" s="1"/>
      <c r="E31" s="1"/>
      <c r="K31" s="36"/>
      <c r="L31" s="36"/>
      <c r="M31" s="36"/>
      <c r="N31" s="36"/>
      <c r="O31" s="34"/>
      <c r="P31" s="34"/>
    </row>
    <row r="32" spans="1:30" ht="13" x14ac:dyDescent="0.3">
      <c r="A32" s="37"/>
      <c r="D32" s="1"/>
      <c r="E32" s="1"/>
      <c r="K32" s="36"/>
      <c r="L32" s="36"/>
      <c r="M32" s="36"/>
      <c r="N32" s="36"/>
      <c r="O32" s="34"/>
    </row>
    <row r="33" spans="1:221" x14ac:dyDescent="0.25">
      <c r="A33" s="78" t="s">
        <v>79</v>
      </c>
      <c r="D33" s="1">
        <f>IF($C$16&lt;0,0,IF($C$16&gt;833000,833000,$C$16))</f>
        <v>0</v>
      </c>
      <c r="E33" s="35" t="s">
        <v>41</v>
      </c>
      <c r="F33" s="4" t="s">
        <v>8</v>
      </c>
      <c r="G33" s="83"/>
      <c r="H33" s="84"/>
      <c r="I33" s="103">
        <f>'Rider Rates'!$B$4</f>
        <v>5.9216E-3</v>
      </c>
      <c r="J33" s="6">
        <f>SUM(G33:I33)</f>
        <v>5.9216E-3</v>
      </c>
      <c r="K33" s="36" t="s">
        <v>42</v>
      </c>
      <c r="L33" s="87"/>
      <c r="M33" s="87"/>
      <c r="N33" s="87">
        <f>ROUND($D33*I33,2)</f>
        <v>0</v>
      </c>
      <c r="O33" s="87">
        <f>SUM(L33:N33)</f>
        <v>0</v>
      </c>
      <c r="P33" s="245">
        <f>'Rider Rates'!$D$4</f>
        <v>45293</v>
      </c>
    </row>
    <row r="34" spans="1:221" x14ac:dyDescent="0.25">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45293</v>
      </c>
    </row>
    <row r="35" spans="1:221" x14ac:dyDescent="0.25">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5">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5">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ht="13" x14ac:dyDescent="0.3">
      <c r="A38" s="241" t="s">
        <v>238</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5">
      <c r="A39" s="241" t="s">
        <v>211</v>
      </c>
      <c r="B39" s="78"/>
      <c r="C39" s="78"/>
      <c r="D39" s="1">
        <f>IF($C$16&lt;0,0,IF($C$16&gt;833000,833000,$C$16))</f>
        <v>0</v>
      </c>
      <c r="E39" s="101" t="s">
        <v>41</v>
      </c>
      <c r="F39" s="102" t="s">
        <v>8</v>
      </c>
      <c r="G39" s="103"/>
      <c r="H39" s="103"/>
      <c r="I39" s="103">
        <f>'Rider Rates'!D49</f>
        <v>1.8006999999999999E-3</v>
      </c>
      <c r="J39" s="103">
        <f>SUM(G39:I39)</f>
        <v>1.8006999999999999E-3</v>
      </c>
      <c r="K39" s="104" t="s">
        <v>42</v>
      </c>
      <c r="L39" s="105"/>
      <c r="M39" s="105"/>
      <c r="N39" s="87">
        <f>D39*J39</f>
        <v>0</v>
      </c>
      <c r="O39" s="105">
        <f t="shared" si="0"/>
        <v>0</v>
      </c>
      <c r="P39" s="245">
        <f>'Rider Rates'!E49</f>
        <v>45474</v>
      </c>
    </row>
    <row r="40" spans="1:221" x14ac:dyDescent="0.25">
      <c r="A40" s="210" t="s">
        <v>190</v>
      </c>
      <c r="B40" s="78"/>
      <c r="C40" s="78"/>
      <c r="D40" s="1">
        <f>IF($C$16&lt;0,0,$C$16)</f>
        <v>0</v>
      </c>
      <c r="E40" s="113" t="s">
        <v>41</v>
      </c>
      <c r="F40" s="102" t="s">
        <v>8</v>
      </c>
      <c r="G40" s="103"/>
      <c r="H40" s="103">
        <f>'Rider Rates'!$B$59</f>
        <v>5.7019999999999998E-4</v>
      </c>
      <c r="I40" s="103"/>
      <c r="J40" s="103">
        <f>SUM(G40:I40)</f>
        <v>5.7019999999999998E-4</v>
      </c>
      <c r="K40" s="104" t="s">
        <v>42</v>
      </c>
      <c r="L40" s="105"/>
      <c r="M40" s="105">
        <f>ROUND(D40*H40,2)</f>
        <v>0</v>
      </c>
      <c r="N40" s="205"/>
      <c r="O40" s="105">
        <f t="shared" si="0"/>
        <v>0</v>
      </c>
      <c r="P40" s="245">
        <f>'Rider Rates'!$D$59</f>
        <v>45383</v>
      </c>
    </row>
    <row r="41" spans="1:221" x14ac:dyDescent="0.25">
      <c r="A41" s="210" t="s">
        <v>190</v>
      </c>
      <c r="B41" s="78"/>
      <c r="C41" s="78"/>
      <c r="D41" s="49">
        <f>D14</f>
        <v>0</v>
      </c>
      <c r="E41" s="35" t="s">
        <v>64</v>
      </c>
      <c r="F41" s="4" t="s">
        <v>8</v>
      </c>
      <c r="G41" s="103"/>
      <c r="H41" s="239">
        <f>'Rider Rates'!$B$64</f>
        <v>7.45</v>
      </c>
      <c r="I41" s="103"/>
      <c r="J41" s="239">
        <f>SUM(G41:I41)</f>
        <v>7.45</v>
      </c>
      <c r="K41" s="104" t="s">
        <v>44</v>
      </c>
      <c r="L41" s="105"/>
      <c r="M41" s="105">
        <f>ROUND(D41*H41,2)</f>
        <v>0</v>
      </c>
      <c r="N41" s="205"/>
      <c r="O41" s="105">
        <f t="shared" si="0"/>
        <v>0</v>
      </c>
      <c r="P41" s="245">
        <f>'Rider Rates'!$D$64</f>
        <v>45383</v>
      </c>
    </row>
    <row r="42" spans="1:221" x14ac:dyDescent="0.25">
      <c r="A42" s="99" t="s">
        <v>83</v>
      </c>
      <c r="B42" s="78"/>
      <c r="C42" s="78"/>
      <c r="D42" s="1">
        <f>IF('Customer Info'!C34=TRUE,0,IF($C$16&lt;0,0,$C$16))</f>
        <v>0</v>
      </c>
      <c r="E42" s="101" t="s">
        <v>41</v>
      </c>
      <c r="F42" s="102" t="s">
        <v>8</v>
      </c>
      <c r="G42" s="103"/>
      <c r="H42" s="103"/>
      <c r="I42" s="103">
        <f>'Rider Rates'!$B$69+'Rider Rates'!$C$69</f>
        <v>0</v>
      </c>
      <c r="J42" s="103">
        <f>SUM(G42:I42)</f>
        <v>0</v>
      </c>
      <c r="K42" s="104" t="s">
        <v>42</v>
      </c>
      <c r="L42" s="105"/>
      <c r="M42" s="105"/>
      <c r="N42" s="87">
        <f>ROUND($D$42*'Rider Rates'!$B$69,2)+ROUND($D$42*'Rider Rates'!$C$69,2)</f>
        <v>0</v>
      </c>
      <c r="O42" s="209">
        <f t="shared" ref="O42:O47" si="1">SUM(L42:N42)</f>
        <v>0</v>
      </c>
      <c r="P42" s="245">
        <f>'Rider Rates'!$D$69</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83</v>
      </c>
      <c r="B43" s="78"/>
      <c r="C43" s="78"/>
      <c r="D43" s="49">
        <f>IF('Customer Info'!C34=TRUE,0,$D$27)</f>
        <v>0</v>
      </c>
      <c r="E43" s="101" t="s">
        <v>45</v>
      </c>
      <c r="F43" s="102" t="s">
        <v>8</v>
      </c>
      <c r="G43" s="103"/>
      <c r="H43" s="103"/>
      <c r="I43" s="239">
        <f>'Rider Rates'!$B$79</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ht="13" x14ac:dyDescent="0.3">
      <c r="A44" s="99" t="s">
        <v>81</v>
      </c>
      <c r="B44" s="78"/>
      <c r="C44" s="78"/>
      <c r="D44" s="208">
        <f>$N$29</f>
        <v>825</v>
      </c>
      <c r="E44" s="101" t="s">
        <v>122</v>
      </c>
      <c r="F44" s="102" t="s">
        <v>8</v>
      </c>
      <c r="G44" s="111"/>
      <c r="H44" s="112"/>
      <c r="I44" s="120">
        <f>'Rider Rates'!$B$83</f>
        <v>2.9347000000000002E-2</v>
      </c>
      <c r="J44" s="120">
        <f>SUM(H44:I44)</f>
        <v>2.9347000000000002E-2</v>
      </c>
      <c r="K44" s="104"/>
      <c r="L44" s="105"/>
      <c r="M44" s="105"/>
      <c r="N44" s="105">
        <f>ROUND(N$29*I44,2)</f>
        <v>24.21</v>
      </c>
      <c r="O44" s="209">
        <f t="shared" si="1"/>
        <v>24.21</v>
      </c>
      <c r="P44" s="245">
        <f>'Rider Rates'!$D$83</f>
        <v>45383</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ht="13" x14ac:dyDescent="0.3">
      <c r="A45" s="99" t="s">
        <v>82</v>
      </c>
      <c r="B45" s="78"/>
      <c r="C45" s="78"/>
      <c r="D45" s="208">
        <f>$N$29</f>
        <v>825</v>
      </c>
      <c r="E45" s="101" t="s">
        <v>122</v>
      </c>
      <c r="F45" s="102" t="s">
        <v>8</v>
      </c>
      <c r="G45" s="114"/>
      <c r="H45" s="115"/>
      <c r="I45" s="120">
        <f>'Rider Rates'!$B$85</f>
        <v>6.6985699999999995E-2</v>
      </c>
      <c r="J45" s="120">
        <f>SUM(H45:I45)</f>
        <v>6.6985699999999995E-2</v>
      </c>
      <c r="K45" s="104"/>
      <c r="L45" s="105"/>
      <c r="M45" s="105"/>
      <c r="N45" s="105">
        <f>ROUND(N$29*I45,2)</f>
        <v>55.26</v>
      </c>
      <c r="O45" s="209">
        <f t="shared" si="1"/>
        <v>55.26</v>
      </c>
      <c r="P45" s="245">
        <f>'Rider Rates'!$D$85</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ht="13" x14ac:dyDescent="0.3">
      <c r="A46" s="210" t="s">
        <v>207</v>
      </c>
      <c r="B46" s="78"/>
      <c r="C46" s="78"/>
      <c r="D46" s="195"/>
      <c r="E46" s="113" t="s">
        <v>115</v>
      </c>
      <c r="F46" s="106"/>
      <c r="G46" s="114"/>
      <c r="H46" s="115"/>
      <c r="I46" s="196">
        <f>'Rider Rates'!$B$89</f>
        <v>11.97</v>
      </c>
      <c r="J46" s="196">
        <f>SUM(G46:I46)</f>
        <v>11.97</v>
      </c>
      <c r="K46" s="104"/>
      <c r="L46" s="105"/>
      <c r="M46" s="105"/>
      <c r="N46" s="105">
        <f>I46</f>
        <v>11.97</v>
      </c>
      <c r="O46" s="105">
        <f>SUM(L46:N46)</f>
        <v>11.97</v>
      </c>
      <c r="P46" s="245">
        <f>'Rider Rates'!$D$89</f>
        <v>45442</v>
      </c>
    </row>
    <row r="47" spans="1:221" ht="13" x14ac:dyDescent="0.3">
      <c r="A47" s="99" t="s">
        <v>157</v>
      </c>
      <c r="B47" s="78"/>
      <c r="C47" s="78"/>
      <c r="D47" s="208">
        <f>$N$29</f>
        <v>825</v>
      </c>
      <c r="E47" s="101" t="s">
        <v>122</v>
      </c>
      <c r="F47" s="102" t="s">
        <v>8</v>
      </c>
      <c r="G47" s="114"/>
      <c r="H47" s="115"/>
      <c r="I47" s="120">
        <f>'Rider Rates'!$B$103</f>
        <v>0.21398439999999999</v>
      </c>
      <c r="J47" s="120">
        <f>SUM(H47:I47)</f>
        <v>0.21398439999999999</v>
      </c>
      <c r="K47" s="104"/>
      <c r="L47" s="105"/>
      <c r="M47" s="105"/>
      <c r="N47" s="105">
        <f>ROUND(N$29*I47,2)</f>
        <v>176.54</v>
      </c>
      <c r="O47" s="105">
        <f t="shared" si="1"/>
        <v>176.54</v>
      </c>
      <c r="P47" s="245">
        <f>'Rider Rates'!$D$103</f>
        <v>45351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210</v>
      </c>
      <c r="B48" s="78"/>
      <c r="C48" s="78"/>
      <c r="D48" s="195"/>
      <c r="E48" s="113" t="s">
        <v>115</v>
      </c>
      <c r="F48" s="106"/>
      <c r="G48" s="114"/>
      <c r="H48" s="115"/>
      <c r="I48" s="196">
        <f>'Rider Rates'!$B$107</f>
        <v>0</v>
      </c>
      <c r="J48" s="196">
        <f t="shared" ref="J48:J54" si="2">SUM(G48:I48)</f>
        <v>0</v>
      </c>
      <c r="K48" s="104"/>
      <c r="L48" s="105"/>
      <c r="M48" s="105"/>
      <c r="N48" s="105">
        <f>I48</f>
        <v>0</v>
      </c>
      <c r="O48" s="105">
        <f t="shared" ref="O48:O52" si="3">SUM(L48:N48)</f>
        <v>0</v>
      </c>
      <c r="P48" s="245">
        <f>'Rider Rates'!$D$107</f>
        <v>44894</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210" t="s">
        <v>218</v>
      </c>
      <c r="B49" s="78"/>
      <c r="C49" s="78"/>
      <c r="D49" s="195"/>
      <c r="E49" s="113" t="s">
        <v>115</v>
      </c>
      <c r="F49" s="106"/>
      <c r="G49" s="114"/>
      <c r="H49" s="115"/>
      <c r="I49" s="258">
        <f>'Rider Rates'!B120</f>
        <v>5.83</v>
      </c>
      <c r="J49" s="196">
        <f t="shared" si="2"/>
        <v>5.83</v>
      </c>
      <c r="K49" s="104"/>
      <c r="L49" s="105"/>
      <c r="M49" s="105"/>
      <c r="N49" s="260">
        <f>I49</f>
        <v>5.83</v>
      </c>
      <c r="O49" s="105">
        <f t="shared" si="3"/>
        <v>5.83</v>
      </c>
      <c r="P49" s="245">
        <f>'Rider Rates'!D120</f>
        <v>45226</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209</v>
      </c>
      <c r="B50" s="78"/>
      <c r="C50" s="78"/>
      <c r="D50" s="1">
        <f>IF($C$16&lt;1,0,$C$16)</f>
        <v>0</v>
      </c>
      <c r="E50" s="101" t="s">
        <v>41</v>
      </c>
      <c r="F50" s="249" t="s">
        <v>8</v>
      </c>
      <c r="G50" s="165"/>
      <c r="H50" s="165"/>
      <c r="I50" s="251">
        <f>'Rider Rates'!B116</f>
        <v>-6.2E-4</v>
      </c>
      <c r="J50" s="251">
        <f t="shared" si="2"/>
        <v>-6.2E-4</v>
      </c>
      <c r="K50" s="104" t="s">
        <v>42</v>
      </c>
      <c r="L50" s="105"/>
      <c r="M50" s="105"/>
      <c r="N50" s="105">
        <f>D50*I50</f>
        <v>0</v>
      </c>
      <c r="O50" s="105">
        <f t="shared" si="3"/>
        <v>0</v>
      </c>
      <c r="P50" s="245">
        <f>'Rider Rates'!D116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234</v>
      </c>
      <c r="B51" s="78"/>
      <c r="C51" s="78"/>
      <c r="D51" s="100">
        <f>IF(C16&lt;0,0,IF(C16&gt;833000,833000,C16))</f>
        <v>0</v>
      </c>
      <c r="E51" s="101" t="s">
        <v>41</v>
      </c>
      <c r="F51" s="102" t="s">
        <v>8</v>
      </c>
      <c r="G51" s="265"/>
      <c r="H51" s="265"/>
      <c r="I51" s="265">
        <f>'Rider Rates'!$B$124</f>
        <v>2.9050000000000001E-4</v>
      </c>
      <c r="J51" s="265">
        <f t="shared" si="2"/>
        <v>2.9050000000000001E-4</v>
      </c>
      <c r="K51" s="104" t="s">
        <v>42</v>
      </c>
      <c r="L51" s="266"/>
      <c r="M51" s="266"/>
      <c r="N51" s="266">
        <f>IF(D51*J51&gt;'Rider Rates'!$C$124,'Rider Rates'!$C$124,D51*J51)</f>
        <v>0</v>
      </c>
      <c r="O51" s="266">
        <f t="shared" si="3"/>
        <v>0</v>
      </c>
      <c r="P51" s="264">
        <f>'Rider Rates'!$E$124</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235</v>
      </c>
      <c r="B52" s="78"/>
      <c r="C52" s="78"/>
      <c r="D52" s="123">
        <f>IF(C16&gt;833000,C16-833000,0)</f>
        <v>0</v>
      </c>
      <c r="E52" s="101" t="s">
        <v>41</v>
      </c>
      <c r="F52" s="102" t="s">
        <v>8</v>
      </c>
      <c r="G52" s="265"/>
      <c r="H52" s="265"/>
      <c r="I52" s="265">
        <f>'Rider Rates'!$B$125</f>
        <v>0</v>
      </c>
      <c r="J52" s="265">
        <f t="shared" si="2"/>
        <v>0</v>
      </c>
      <c r="K52" s="104" t="s">
        <v>42</v>
      </c>
      <c r="L52" s="266"/>
      <c r="M52" s="266"/>
      <c r="N52" s="266">
        <f>D52*J52</f>
        <v>0</v>
      </c>
      <c r="O52" s="266">
        <f t="shared" si="3"/>
        <v>0</v>
      </c>
      <c r="P52" s="264">
        <f>'Rider Rates'!$E$125</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243</v>
      </c>
      <c r="B53" s="78"/>
      <c r="C53" s="78"/>
      <c r="D53" s="100">
        <f>D16</f>
        <v>0</v>
      </c>
      <c r="E53" s="101" t="s">
        <v>41</v>
      </c>
      <c r="F53" s="249" t="s">
        <v>8</v>
      </c>
      <c r="G53" s="103"/>
      <c r="H53" s="103"/>
      <c r="I53" s="103">
        <f>'Rider Rates'!$B$131</f>
        <v>0</v>
      </c>
      <c r="J53" s="237">
        <f t="shared" si="2"/>
        <v>0</v>
      </c>
      <c r="K53" s="104" t="s">
        <v>42</v>
      </c>
      <c r="L53" s="105"/>
      <c r="M53" s="105"/>
      <c r="N53" s="105">
        <f>D53*J53</f>
        <v>0</v>
      </c>
      <c r="O53" s="105">
        <f>SUM(L53:N53)</f>
        <v>0</v>
      </c>
      <c r="P53" s="245">
        <f>'Rider Rates'!$D$129</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242</v>
      </c>
      <c r="B54" s="78"/>
      <c r="C54" s="78"/>
      <c r="D54" s="100"/>
      <c r="E54" s="101" t="s">
        <v>115</v>
      </c>
      <c r="F54" s="102" t="s">
        <v>8</v>
      </c>
      <c r="G54" s="263"/>
      <c r="H54" s="263"/>
      <c r="I54" s="263">
        <f>'Rider Rates'!$B$136</f>
        <v>0</v>
      </c>
      <c r="J54" s="263">
        <f t="shared" si="2"/>
        <v>0</v>
      </c>
      <c r="K54" s="104"/>
      <c r="L54" s="209"/>
      <c r="M54" s="209"/>
      <c r="N54" s="209">
        <f>J54</f>
        <v>0</v>
      </c>
      <c r="O54" s="209">
        <f>SUM(L54:N54)</f>
        <v>0</v>
      </c>
      <c r="P54" s="264">
        <f>'Rider Rates'!$D$136</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244</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179" t="s">
        <v>71</v>
      </c>
      <c r="B56" s="148"/>
      <c r="C56" s="148"/>
      <c r="D56" s="180"/>
      <c r="E56" s="181"/>
      <c r="F56" s="182"/>
      <c r="G56" s="182"/>
      <c r="H56" s="182"/>
      <c r="I56" s="182"/>
      <c r="J56" s="182"/>
      <c r="K56" s="183"/>
      <c r="L56" s="169">
        <f>SUM(L33:L55)</f>
        <v>0</v>
      </c>
      <c r="M56" s="169">
        <f t="shared" ref="M56:O56" si="4">SUM(M33:M55)</f>
        <v>0</v>
      </c>
      <c r="N56" s="169">
        <f t="shared" si="4"/>
        <v>273.81</v>
      </c>
      <c r="O56" s="169">
        <f t="shared" si="4"/>
        <v>273.81</v>
      </c>
      <c r="P56" s="184"/>
    </row>
    <row r="57" spans="1:221" ht="13" x14ac:dyDescent="0.3">
      <c r="A57" s="37"/>
      <c r="D57" s="1"/>
      <c r="E57" s="35"/>
      <c r="F57" s="4"/>
      <c r="G57" s="42"/>
      <c r="H57" s="42"/>
      <c r="I57" s="42"/>
      <c r="J57" s="42"/>
      <c r="K57" s="36"/>
      <c r="L57" s="36"/>
      <c r="M57" s="36"/>
      <c r="N57" s="36"/>
      <c r="O57" s="34"/>
      <c r="P57" s="36"/>
    </row>
    <row r="58" spans="1:221" ht="13" x14ac:dyDescent="0.3">
      <c r="A58" s="81" t="s">
        <v>72</v>
      </c>
      <c r="B58" s="92"/>
      <c r="C58" s="92"/>
      <c r="D58" s="92"/>
      <c r="E58" s="92"/>
      <c r="F58" s="92"/>
      <c r="G58" s="92"/>
      <c r="H58" s="92"/>
      <c r="I58" s="92"/>
      <c r="J58" s="92"/>
      <c r="K58" s="92"/>
      <c r="L58" s="98">
        <f>L29+L56</f>
        <v>0</v>
      </c>
      <c r="M58" s="98">
        <f>M29+M56</f>
        <v>0</v>
      </c>
      <c r="N58" s="98">
        <f>N29+N56</f>
        <v>1098.81</v>
      </c>
      <c r="O58" s="98">
        <f>O29+O56</f>
        <v>1098.81</v>
      </c>
      <c r="P58" s="98"/>
    </row>
    <row r="59" spans="1:221" ht="13" x14ac:dyDescent="0.3">
      <c r="A59" s="37"/>
      <c r="B59" s="37"/>
      <c r="C59" s="37"/>
      <c r="D59" s="37"/>
      <c r="E59" s="37"/>
      <c r="F59" s="37"/>
      <c r="G59" s="37"/>
      <c r="H59" s="37"/>
      <c r="I59" s="37"/>
      <c r="J59" s="37"/>
      <c r="K59" s="37"/>
      <c r="L59" s="37"/>
      <c r="M59" s="37"/>
      <c r="N59" s="37"/>
      <c r="O59" s="40"/>
      <c r="P59" s="40"/>
    </row>
    <row r="60" spans="1:221" ht="13" x14ac:dyDescent="0.3">
      <c r="A60" s="37" t="s">
        <v>37</v>
      </c>
      <c r="B60" s="37"/>
      <c r="C60" s="37"/>
      <c r="D60" s="37"/>
      <c r="E60" s="37"/>
      <c r="F60" s="37"/>
      <c r="G60" s="37"/>
      <c r="H60" s="37"/>
      <c r="I60" s="37"/>
      <c r="J60" s="37"/>
      <c r="K60" s="37"/>
      <c r="L60" s="37"/>
      <c r="M60" s="37"/>
      <c r="N60" s="37"/>
      <c r="O60" s="45">
        <f>O25+O27+O56</f>
        <v>1098.81</v>
      </c>
      <c r="P60" s="245">
        <v>40967</v>
      </c>
    </row>
    <row r="61" spans="1:221" ht="13" x14ac:dyDescent="0.3">
      <c r="A61" s="37"/>
      <c r="B61" s="37"/>
      <c r="C61" s="37"/>
      <c r="D61" s="37"/>
      <c r="E61" s="37"/>
      <c r="F61" s="37"/>
      <c r="G61" s="46"/>
      <c r="H61" s="46"/>
      <c r="I61" s="46"/>
      <c r="J61" s="46"/>
      <c r="K61" s="36"/>
      <c r="L61" s="36"/>
      <c r="M61" s="36"/>
      <c r="N61" s="36"/>
      <c r="O61" s="40"/>
    </row>
    <row r="62" spans="1:221" ht="13" x14ac:dyDescent="0.3">
      <c r="A62" s="41" t="s">
        <v>117</v>
      </c>
      <c r="B62" s="37"/>
      <c r="C62" s="37"/>
      <c r="D62" s="37"/>
      <c r="E62" s="37"/>
      <c r="F62" s="37"/>
      <c r="G62" s="46"/>
      <c r="H62" s="46"/>
      <c r="I62" s="46"/>
      <c r="J62" s="46"/>
      <c r="K62" s="36"/>
      <c r="L62" s="36"/>
      <c r="M62" s="36"/>
      <c r="N62" s="36"/>
      <c r="O62" s="138">
        <f>MAX($O$58,$O$60)</f>
        <v>1098.81</v>
      </c>
    </row>
    <row r="63" spans="1:221" ht="13" x14ac:dyDescent="0.3">
      <c r="A63" s="37"/>
      <c r="B63" s="37"/>
      <c r="C63" s="37"/>
      <c r="D63" s="37"/>
      <c r="E63" s="37"/>
      <c r="F63" s="37"/>
      <c r="G63" s="46"/>
      <c r="H63" s="46"/>
      <c r="I63" s="46"/>
      <c r="J63" s="46"/>
      <c r="K63" s="36"/>
      <c r="L63" s="36"/>
      <c r="M63" s="36"/>
      <c r="N63" s="36"/>
      <c r="O63" s="40"/>
    </row>
    <row r="64" spans="1:221" ht="13" x14ac:dyDescent="0.3">
      <c r="A64" s="37"/>
      <c r="B64" s="37"/>
      <c r="C64" s="37"/>
      <c r="D64" s="37"/>
      <c r="E64" s="37"/>
      <c r="F64" s="37"/>
      <c r="G64" s="96" t="s">
        <v>86</v>
      </c>
      <c r="H64" s="46"/>
      <c r="I64" s="37"/>
      <c r="J64" s="46"/>
      <c r="K64" s="36"/>
      <c r="L64" s="191"/>
      <c r="M64" s="191"/>
      <c r="N64" s="191"/>
      <c r="O64" s="191">
        <f>ROUND(IF($C$16&lt;1,0,$O$62/($C$16*100)*10000),2)</f>
        <v>0</v>
      </c>
      <c r="P64" s="37" t="s">
        <v>87</v>
      </c>
    </row>
    <row r="65" spans="1:16" ht="13" x14ac:dyDescent="0.3">
      <c r="A65" s="37"/>
      <c r="B65" s="37"/>
      <c r="C65" s="37"/>
      <c r="D65" s="37"/>
      <c r="E65" s="37"/>
      <c r="F65" s="37"/>
      <c r="G65" s="242" t="s">
        <v>191</v>
      </c>
      <c r="H65" s="136"/>
      <c r="I65" s="133"/>
      <c r="J65" s="136"/>
      <c r="K65" s="137"/>
      <c r="L65" s="78"/>
      <c r="M65" s="78"/>
      <c r="N65" s="78"/>
      <c r="O65" s="243">
        <f>ROUND(IF($C$16&lt;1,0,(L58)/($C$16*100)*10000),2)</f>
        <v>0</v>
      </c>
      <c r="P65" s="25" t="s">
        <v>87</v>
      </c>
    </row>
    <row r="66" spans="1:16" ht="13" x14ac:dyDescent="0.3">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ht="13" x14ac:dyDescent="0.3">
      <c r="A68" s="37"/>
      <c r="B68" s="37"/>
      <c r="C68" s="37"/>
      <c r="D68" s="54"/>
      <c r="E68" s="3"/>
      <c r="F68" s="4"/>
      <c r="G68" s="55"/>
      <c r="H68" s="55"/>
      <c r="I68" s="93"/>
      <c r="J68" s="55"/>
      <c r="K68" s="37"/>
      <c r="L68" s="37"/>
      <c r="M68" s="37"/>
      <c r="N68" s="37"/>
      <c r="O68" s="40"/>
    </row>
    <row r="69" spans="1:16" ht="13" x14ac:dyDescent="0.3">
      <c r="A69" s="37"/>
      <c r="B69" s="37"/>
      <c r="C69" s="37"/>
      <c r="D69" s="54"/>
      <c r="E69" s="3"/>
      <c r="F69" s="4"/>
      <c r="G69" s="55"/>
      <c r="H69" s="55"/>
      <c r="I69" s="55"/>
      <c r="J69" s="55"/>
      <c r="K69" s="37"/>
      <c r="L69" s="37"/>
      <c r="M69" s="37"/>
      <c r="N69" s="37"/>
      <c r="O69" s="40"/>
    </row>
    <row r="70" spans="1:16" ht="13" x14ac:dyDescent="0.3">
      <c r="A70" s="41"/>
      <c r="B70" s="37"/>
      <c r="C70" s="37"/>
      <c r="D70" s="37"/>
      <c r="E70" s="37"/>
      <c r="F70" s="37"/>
      <c r="G70" s="37"/>
      <c r="H70" s="37"/>
      <c r="J70" s="37"/>
      <c r="K70" s="37"/>
      <c r="L70" s="40"/>
      <c r="M70" s="40"/>
      <c r="N70" s="40"/>
      <c r="O70" s="138"/>
    </row>
    <row r="71" spans="1:16" ht="13" x14ac:dyDescent="0.3">
      <c r="B71" s="37"/>
      <c r="C71" s="37"/>
      <c r="D71" s="37"/>
      <c r="E71" s="37"/>
      <c r="F71" s="37"/>
      <c r="G71" s="96"/>
      <c r="H71" s="37"/>
      <c r="I71" s="37"/>
      <c r="J71" s="37"/>
      <c r="K71" s="37"/>
      <c r="L71" s="60"/>
      <c r="M71" s="60"/>
      <c r="N71" s="60"/>
      <c r="O71" s="130"/>
      <c r="P71" s="37"/>
    </row>
    <row r="72" spans="1:16" ht="13" x14ac:dyDescent="0.3">
      <c r="G72" s="133"/>
      <c r="H72" s="56"/>
      <c r="I72" s="133"/>
      <c r="J72" s="56"/>
      <c r="K72" s="56"/>
      <c r="L72" s="134"/>
      <c r="M72" s="134"/>
      <c r="N72" s="134"/>
      <c r="O72" s="135"/>
      <c r="P72" s="25"/>
    </row>
    <row r="74" spans="1:16" x14ac:dyDescent="0.25">
      <c r="A74" s="478"/>
    </row>
    <row r="75" spans="1:16" x14ac:dyDescent="0.25">
      <c r="A75" s="478"/>
    </row>
    <row r="76" spans="1:16" x14ac:dyDescent="0.25">
      <c r="A76" s="478"/>
    </row>
    <row r="77" spans="1:16" x14ac:dyDescent="0.25">
      <c r="A77" s="478"/>
    </row>
    <row r="78" spans="1:16" x14ac:dyDescent="0.25">
      <c r="A78" s="478"/>
    </row>
    <row r="79" spans="1:16" x14ac:dyDescent="0.25">
      <c r="A79" s="478"/>
    </row>
    <row r="80" spans="1:1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sheetData>
  <sheetProtection algorithmName="SHA-512" hashValue="W+gKKSe1ZcbpCinnoGvSTh8lzPiFcVkNnw/Xsm2VRTxXriTMO5ppri5TCJvDDRXu0PW5YQrm3FQRxuAbULxOIA==" saltValue="Py6I3Qy7Bka9/QhIYXQSjQ==" spinCount="100000" sheet="1" objects="1" scenarios="1"/>
  <mergeCells count="26">
    <mergeCell ref="A74:A88"/>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50800</xdr:rowOff>
                  </from>
                  <to>
                    <xdr:col>0</xdr:col>
                    <xdr:colOff>552450</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412750</xdr:colOff>
                    <xdr:row>82</xdr:row>
                    <xdr:rowOff>76200</xdr:rowOff>
                  </from>
                  <to>
                    <xdr:col>16</xdr:col>
                    <xdr:colOff>38100</xdr:colOff>
                    <xdr:row>83</xdr:row>
                    <xdr:rowOff>133350</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527050</xdr:colOff>
                    <xdr:row>0</xdr:row>
                    <xdr:rowOff>76200</xdr:rowOff>
                  </from>
                  <to>
                    <xdr:col>48</xdr:col>
                    <xdr:colOff>431800</xdr:colOff>
                    <xdr:row>1</xdr:row>
                    <xdr:rowOff>69850</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374650</xdr:colOff>
                    <xdr:row>0</xdr:row>
                    <xdr:rowOff>76200</xdr:rowOff>
                  </from>
                  <to>
                    <xdr:col>64</xdr:col>
                    <xdr:colOff>279400</xdr:colOff>
                    <xdr:row>1</xdr:row>
                    <xdr:rowOff>69850</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222250</xdr:colOff>
                    <xdr:row>0</xdr:row>
                    <xdr:rowOff>76200</xdr:rowOff>
                  </from>
                  <to>
                    <xdr:col>80</xdr:col>
                    <xdr:colOff>127000</xdr:colOff>
                    <xdr:row>1</xdr:row>
                    <xdr:rowOff>69850</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69850</xdr:colOff>
                    <xdr:row>0</xdr:row>
                    <xdr:rowOff>76200</xdr:rowOff>
                  </from>
                  <to>
                    <xdr:col>95</xdr:col>
                    <xdr:colOff>584200</xdr:colOff>
                    <xdr:row>1</xdr:row>
                    <xdr:rowOff>69850</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527050</xdr:colOff>
                    <xdr:row>0</xdr:row>
                    <xdr:rowOff>76200</xdr:rowOff>
                  </from>
                  <to>
                    <xdr:col>111</xdr:col>
                    <xdr:colOff>431800</xdr:colOff>
                    <xdr:row>1</xdr:row>
                    <xdr:rowOff>69850</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279400</xdr:colOff>
                    <xdr:row>1</xdr:row>
                    <xdr:rowOff>69850</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127000</xdr:colOff>
                    <xdr:row>1</xdr:row>
                    <xdr:rowOff>69850</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584200</xdr:colOff>
                    <xdr:row>1</xdr:row>
                    <xdr:rowOff>69850</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546100</xdr:colOff>
                    <xdr:row>0</xdr:row>
                    <xdr:rowOff>76200</xdr:rowOff>
                  </from>
                  <to>
                    <xdr:col>174</xdr:col>
                    <xdr:colOff>431800</xdr:colOff>
                    <xdr:row>1</xdr:row>
                    <xdr:rowOff>69850</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393700</xdr:colOff>
                    <xdr:row>0</xdr:row>
                    <xdr:rowOff>76200</xdr:rowOff>
                  </from>
                  <to>
                    <xdr:col>190</xdr:col>
                    <xdr:colOff>279400</xdr:colOff>
                    <xdr:row>1</xdr:row>
                    <xdr:rowOff>69850</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241300</xdr:colOff>
                    <xdr:row>0</xdr:row>
                    <xdr:rowOff>76200</xdr:rowOff>
                  </from>
                  <to>
                    <xdr:col>206</xdr:col>
                    <xdr:colOff>133350</xdr:colOff>
                    <xdr:row>1</xdr:row>
                    <xdr:rowOff>69850</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88900</xdr:colOff>
                    <xdr:row>0</xdr:row>
                    <xdr:rowOff>76200</xdr:rowOff>
                  </from>
                  <to>
                    <xdr:col>221</xdr:col>
                    <xdr:colOff>590550</xdr:colOff>
                    <xdr:row>1</xdr:row>
                    <xdr:rowOff>69850</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546100</xdr:colOff>
                    <xdr:row>0</xdr:row>
                    <xdr:rowOff>76200</xdr:rowOff>
                  </from>
                  <to>
                    <xdr:col>237</xdr:col>
                    <xdr:colOff>438150</xdr:colOff>
                    <xdr:row>1</xdr:row>
                    <xdr:rowOff>69850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6"/>
  <sheetViews>
    <sheetView topLeftCell="A6" zoomScale="70" zoomScaleNormal="70" workbookViewId="0">
      <selection activeCell="AL49" sqref="AL49"/>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327</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328</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4.5" customHeight="1"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463" t="s">
        <v>65</v>
      </c>
      <c r="M20" s="463" t="s">
        <v>66</v>
      </c>
      <c r="N20" s="463" t="s">
        <v>67</v>
      </c>
      <c r="O20" s="463" t="s">
        <v>34</v>
      </c>
      <c r="P20" s="375" t="s">
        <v>57</v>
      </c>
    </row>
    <row r="21" spans="1:221" x14ac:dyDescent="0.25">
      <c r="A21" s="349" t="s">
        <v>32</v>
      </c>
      <c r="G21" s="449"/>
      <c r="H21" s="449"/>
      <c r="I21" s="449">
        <f>'Rider Rates'!B142</f>
        <v>9.4</v>
      </c>
      <c r="J21" s="449">
        <f>SUM(G21:I21)</f>
        <v>9.4</v>
      </c>
      <c r="L21" s="450"/>
      <c r="M21" s="450"/>
      <c r="N21" s="450">
        <f>I21</f>
        <v>9.4</v>
      </c>
      <c r="O21" s="425">
        <f>SUM(L21:N21)</f>
        <v>9.4</v>
      </c>
      <c r="P21" s="378">
        <v>44531</v>
      </c>
    </row>
    <row r="22" spans="1:221" x14ac:dyDescent="0.25">
      <c r="A22" s="451" t="s">
        <v>132</v>
      </c>
      <c r="D22" s="380">
        <f>C15</f>
        <v>0</v>
      </c>
      <c r="E22" s="381" t="s">
        <v>41</v>
      </c>
      <c r="F22" s="382" t="s">
        <v>8</v>
      </c>
      <c r="G22" s="424"/>
      <c r="H22" s="424"/>
      <c r="I22" s="424">
        <f>'Rider Rates'!C142</f>
        <v>2.0634799999999998E-2</v>
      </c>
      <c r="J22" s="424">
        <f>SUM(G22:I22)</f>
        <v>2.0634799999999998E-2</v>
      </c>
      <c r="K22" s="384" t="s">
        <v>42</v>
      </c>
      <c r="L22" s="425"/>
      <c r="M22" s="425"/>
      <c r="N22" s="425">
        <f>IF(C15&lt;0,0,ROUND($D22*I22,2))</f>
        <v>0</v>
      </c>
      <c r="O22" s="425">
        <f>SUM(L22:N22)</f>
        <v>0</v>
      </c>
      <c r="P22" s="378">
        <f>'Rider Rates'!H143</f>
        <v>45444</v>
      </c>
    </row>
    <row r="23" spans="1:221" ht="13" x14ac:dyDescent="0.3">
      <c r="A23" s="387" t="s">
        <v>50</v>
      </c>
      <c r="B23" s="387"/>
      <c r="C23" s="387"/>
      <c r="D23" s="388"/>
      <c r="E23" s="388"/>
      <c r="F23" s="387"/>
      <c r="G23" s="387"/>
      <c r="H23" s="387"/>
      <c r="I23" s="387"/>
      <c r="J23" s="387"/>
      <c r="K23" s="390"/>
      <c r="L23" s="389"/>
      <c r="M23" s="389"/>
      <c r="N23" s="389">
        <f>SUM(N21:N22)</f>
        <v>9.4</v>
      </c>
      <c r="O23" s="389">
        <f>SUM(O21:O22)</f>
        <v>9.4</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9.4</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100">
        <f>'Customer Info'!$B$21+'Customer Info'!$B$22-'Customer Info'!$B$23</f>
        <v>0</v>
      </c>
      <c r="E34" s="381" t="s">
        <v>41</v>
      </c>
      <c r="F34" s="382" t="s">
        <v>8</v>
      </c>
      <c r="G34" s="406"/>
      <c r="H34" s="406"/>
      <c r="I34" s="406"/>
      <c r="J34" s="413">
        <f>SUM(G34:H34)</f>
        <v>0</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C16</f>
        <v>0</v>
      </c>
      <c r="E35" s="381" t="s">
        <v>41</v>
      </c>
      <c r="F35" s="382" t="s">
        <v>8</v>
      </c>
      <c r="G35" s="406"/>
      <c r="H35" s="406"/>
      <c r="I35" s="406"/>
      <c r="J35" s="413">
        <f>SUM(G35:H35)</f>
        <v>0</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C17</f>
        <v>0</v>
      </c>
      <c r="E36" s="381" t="s">
        <v>41</v>
      </c>
      <c r="F36" s="375" t="s">
        <v>8</v>
      </c>
      <c r="G36" s="406"/>
      <c r="H36" s="406"/>
      <c r="I36" s="406"/>
      <c r="J36" s="413">
        <f>SUM(G36:H36)</f>
        <v>0</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c r="H37" s="406"/>
      <c r="I37" s="406"/>
      <c r="J37" s="413">
        <f>SUM(G37:H37)</f>
        <v>0</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56">
        <f>$N$23</f>
        <v>9.4</v>
      </c>
      <c r="E42" s="381" t="s">
        <v>122</v>
      </c>
      <c r="F42" s="382" t="s">
        <v>8</v>
      </c>
      <c r="G42" s="417"/>
      <c r="H42" s="373"/>
      <c r="I42" s="418">
        <f>'Rider Rates'!$B$83</f>
        <v>2.9347000000000002E-2</v>
      </c>
      <c r="J42" s="418">
        <f t="shared" si="0"/>
        <v>2.9347000000000002E-2</v>
      </c>
      <c r="K42" s="384"/>
      <c r="L42" s="250"/>
      <c r="M42" s="250"/>
      <c r="N42" s="250">
        <f>ROUND(D42*I42,2)</f>
        <v>0.28000000000000003</v>
      </c>
      <c r="O42" s="250">
        <f t="shared" si="2"/>
        <v>0.28000000000000003</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9.4</v>
      </c>
      <c r="E43" s="381" t="s">
        <v>122</v>
      </c>
      <c r="F43" s="382" t="s">
        <v>8</v>
      </c>
      <c r="G43" s="419"/>
      <c r="H43" s="373"/>
      <c r="I43" s="418">
        <f>'Rider Rates'!$B$85</f>
        <v>6.6985699999999995E-2</v>
      </c>
      <c r="J43" s="418">
        <f t="shared" si="0"/>
        <v>6.6985699999999995E-2</v>
      </c>
      <c r="K43" s="384"/>
      <c r="L43" s="250"/>
      <c r="M43" s="250"/>
      <c r="N43" s="250">
        <f>ROUND(D43*I43,2)</f>
        <v>0.63</v>
      </c>
      <c r="O43" s="250">
        <f t="shared" si="2"/>
        <v>0.63</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9.4</v>
      </c>
      <c r="E46" s="381" t="s">
        <v>122</v>
      </c>
      <c r="F46" s="382" t="s">
        <v>8</v>
      </c>
      <c r="G46" s="419"/>
      <c r="H46" s="373"/>
      <c r="I46" s="418">
        <f>'Rider Rates'!$B$103</f>
        <v>0.21398439999999999</v>
      </c>
      <c r="J46" s="418">
        <f t="shared" si="0"/>
        <v>0.21398439999999999</v>
      </c>
      <c r="K46" s="384"/>
      <c r="L46" s="250"/>
      <c r="M46" s="250"/>
      <c r="N46" s="250">
        <f>ROUND(D46*I46,2)</f>
        <v>2.0099999999999998</v>
      </c>
      <c r="O46" s="250">
        <f t="shared" si="2"/>
        <v>2.0099999999999998</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c r="H49" s="406"/>
      <c r="I49" s="418"/>
      <c r="J49" s="413">
        <f>SUM(G49:H49)</f>
        <v>0</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3">SUM(M27:M55)</f>
        <v>0</v>
      </c>
      <c r="N56" s="432">
        <f t="shared" si="3"/>
        <v>20.72</v>
      </c>
      <c r="O56" s="432">
        <f t="shared" si="3"/>
        <v>20.72</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64" t="s">
        <v>94</v>
      </c>
      <c r="B58" s="397"/>
      <c r="C58" s="397"/>
      <c r="D58" s="397"/>
      <c r="E58" s="397"/>
      <c r="F58" s="397"/>
      <c r="G58" s="397"/>
      <c r="H58" s="397"/>
      <c r="I58" s="397"/>
      <c r="J58" s="397"/>
      <c r="K58" s="397"/>
      <c r="L58" s="436">
        <f>L23+L56</f>
        <v>0</v>
      </c>
      <c r="M58" s="436">
        <f>M23+M56</f>
        <v>0</v>
      </c>
      <c r="N58" s="436">
        <f>N23+N56</f>
        <v>30.119999999999997</v>
      </c>
      <c r="O58" s="437">
        <f>O23+O56</f>
        <v>30.119999999999997</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30.119999999999997</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30.119999999999997</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EqSOLjDEEzzkv9w48qd1rbIdODCTH2pLMiOQuDwl++5E3HoSrwp7ceYby9a3d0KdIq79zE/88EMDZFS7hUkyjQ==" saltValue="pB+XO50JtSsIv0oUnjVfC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57150</xdr:colOff>
                    <xdr:row>0</xdr:row>
                    <xdr:rowOff>38100</xdr:rowOff>
                  </from>
                  <to>
                    <xdr:col>0</xdr:col>
                    <xdr:colOff>571500</xdr:colOff>
                    <xdr:row>1</xdr:row>
                    <xdr:rowOff>88900</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69850</xdr:colOff>
                    <xdr:row>0</xdr:row>
                    <xdr:rowOff>76200</xdr:rowOff>
                  </from>
                  <to>
                    <xdr:col>0</xdr:col>
                    <xdr:colOff>584200</xdr:colOff>
                    <xdr:row>1</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22" zoomScale="80" zoomScaleNormal="80" workbookViewId="0">
      <selection activeCell="M60" sqref="M60:N60"/>
    </sheetView>
  </sheetViews>
  <sheetFormatPr defaultRowHeight="12.5" x14ac:dyDescent="0.25"/>
  <cols>
    <col min="1" max="1" width="39" customWidth="1"/>
    <col min="2" max="2" width="2.54296875" customWidth="1"/>
    <col min="3" max="3" width="13.54296875" customWidth="1"/>
    <col min="4" max="4" width="15.26953125" customWidth="1"/>
    <col min="5" max="5" width="9.7265625" customWidth="1"/>
    <col min="6" max="6" width="2.7265625" customWidth="1"/>
    <col min="7" max="8" width="13.26953125" customWidth="1"/>
    <col min="9" max="9" width="14.54296875" customWidth="1"/>
    <col min="10" max="10" width="13.26953125" customWidth="1"/>
    <col min="11" max="11" width="6.54296875" customWidth="1"/>
    <col min="12" max="12" width="15.1796875" customWidth="1"/>
    <col min="13" max="13" width="17.26953125" bestFit="1" customWidth="1"/>
    <col min="14" max="14" width="17.453125" customWidth="1"/>
    <col min="15" max="15" width="17.26953125" bestFit="1" customWidth="1"/>
    <col min="16" max="16" width="13" customWidth="1"/>
    <col min="17" max="17" width="12.81640625" bestFit="1" customWidth="1"/>
    <col min="18" max="18" width="10.54296875" hidden="1" customWidth="1"/>
    <col min="19" max="19" width="10.26953125" hidden="1" customWidth="1"/>
    <col min="20" max="23" width="10.81640625" hidden="1" customWidth="1"/>
    <col min="24" max="26" width="10.26953125" hidden="1" customWidth="1"/>
    <col min="27" max="27" width="10.54296875" hidden="1" customWidth="1"/>
    <col min="28" max="28" width="10.81640625" hidden="1" customWidth="1"/>
    <col min="29" max="30" width="10" hidden="1" customWidth="1"/>
    <col min="31" max="31" width="9.1796875" customWidth="1"/>
    <col min="32" max="32" width="10.26953125" customWidth="1"/>
    <col min="33" max="33" width="10.81640625" customWidth="1"/>
    <col min="34" max="34" width="10.26953125" customWidth="1"/>
  </cols>
  <sheetData>
    <row r="1" spans="1:59" ht="20" x14ac:dyDescent="0.4">
      <c r="A1" s="480" t="s">
        <v>120</v>
      </c>
      <c r="B1" s="480"/>
      <c r="C1" s="480"/>
      <c r="D1" s="480"/>
      <c r="E1" s="480"/>
      <c r="F1" s="480"/>
      <c r="G1" s="480"/>
      <c r="H1" s="480"/>
      <c r="I1" s="480"/>
      <c r="J1" s="480"/>
      <c r="K1" s="480"/>
      <c r="L1" s="480"/>
      <c r="M1" s="480"/>
      <c r="N1" s="480"/>
      <c r="O1" s="480"/>
      <c r="P1" s="480"/>
      <c r="Q1" s="197"/>
    </row>
    <row r="2" spans="1:59" ht="18" customHeight="1" x14ac:dyDescent="0.25">
      <c r="A2" s="489" t="s">
        <v>116</v>
      </c>
      <c r="B2" s="489"/>
      <c r="C2" s="489"/>
      <c r="D2" s="489"/>
      <c r="E2" s="489"/>
      <c r="F2" s="489"/>
      <c r="G2" s="489"/>
      <c r="H2" s="489"/>
      <c r="I2" s="489"/>
      <c r="J2" s="489"/>
      <c r="K2" s="489"/>
      <c r="L2" s="489"/>
      <c r="M2" s="489"/>
      <c r="N2" s="489"/>
      <c r="O2" s="489"/>
      <c r="P2" s="489"/>
    </row>
    <row r="3" spans="1:59" ht="18" x14ac:dyDescent="0.4">
      <c r="A3" s="489"/>
      <c r="B3" s="489"/>
      <c r="C3" s="489"/>
      <c r="D3" s="489"/>
      <c r="E3" s="489"/>
      <c r="F3" s="489"/>
      <c r="G3" s="489"/>
      <c r="H3" s="489"/>
      <c r="I3" s="489"/>
      <c r="J3" s="489"/>
      <c r="K3" s="489"/>
      <c r="L3" s="489"/>
      <c r="M3" s="489"/>
      <c r="N3" s="489"/>
      <c r="O3" s="489"/>
      <c r="P3" s="489"/>
      <c r="Q3" s="198"/>
    </row>
    <row r="4" spans="1:59" ht="15.5" x14ac:dyDescent="0.3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45476</v>
      </c>
      <c r="B6" s="488" t="s">
        <v>236</v>
      </c>
      <c r="C6" s="488"/>
      <c r="D6" s="488"/>
      <c r="E6" s="488"/>
      <c r="F6" s="488"/>
      <c r="G6" s="488"/>
      <c r="H6" s="488"/>
      <c r="I6" s="488"/>
      <c r="J6" s="488"/>
      <c r="K6" s="488"/>
      <c r="L6" s="488"/>
      <c r="M6" s="488"/>
      <c r="N6" s="488"/>
      <c r="O6" s="488"/>
    </row>
    <row r="7" spans="1:59" x14ac:dyDescent="0.25">
      <c r="A7" s="479" t="s">
        <v>15</v>
      </c>
      <c r="B7" s="479"/>
      <c r="C7" s="479"/>
      <c r="D7" s="479"/>
      <c r="E7" s="479"/>
      <c r="F7" s="479"/>
      <c r="G7" s="479"/>
      <c r="H7" s="479"/>
      <c r="I7" s="479"/>
      <c r="J7" s="479"/>
      <c r="K7" s="479"/>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7</v>
      </c>
      <c r="C11" s="194" t="str">
        <f>LOOKUP($B$11,$S$11:$AD$11,S12:AD12)</f>
        <v>July</v>
      </c>
      <c r="D11" s="133">
        <f>'Customer Info'!C9</f>
        <v>2024</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178</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5.9216E-3</v>
      </c>
      <c r="J31" s="103">
        <f t="shared" ref="J31:J49" si="0">SUM(G31:I31)</f>
        <v>5.9216E-3</v>
      </c>
      <c r="K31" s="104" t="s">
        <v>42</v>
      </c>
      <c r="L31" s="105"/>
      <c r="M31" s="105"/>
      <c r="N31" s="105">
        <f t="shared" ref="N31:N37" si="1">ROUND(D31*I31,2)</f>
        <v>0</v>
      </c>
      <c r="O31" s="250">
        <f t="shared" ref="O31:O53"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160</v>
      </c>
      <c r="B37" s="78"/>
      <c r="C37" s="78"/>
      <c r="D37" s="100">
        <f>IF($D$17&lt;0,0,$D$17)</f>
        <v>0</v>
      </c>
      <c r="E37" s="101" t="s">
        <v>41</v>
      </c>
      <c r="F37" s="102" t="s">
        <v>8</v>
      </c>
      <c r="G37" s="103"/>
      <c r="H37" s="103"/>
      <c r="I37" s="103">
        <f>'Rider Rates'!B15</f>
        <v>-9.7000000000000005E-4</v>
      </c>
      <c r="J37" s="103">
        <f>SUM(G37:I37)</f>
        <v>-9.7000000000000005E-4</v>
      </c>
      <c r="K37" s="104" t="s">
        <v>42</v>
      </c>
      <c r="L37" s="105"/>
      <c r="M37" s="105"/>
      <c r="N37" s="105">
        <f t="shared" si="1"/>
        <v>0</v>
      </c>
      <c r="O37" s="105">
        <f t="shared" ref="O37:O43" si="3">SUM(L37:N37)</f>
        <v>0</v>
      </c>
      <c r="P37" s="245">
        <f>'Rider Rates'!$D$15</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41" t="s">
        <v>238</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187</v>
      </c>
      <c r="B39" s="78"/>
      <c r="C39" s="78"/>
      <c r="D39" s="100">
        <f>'Customer Info'!$B$21+'Customer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162</v>
      </c>
      <c r="B40" s="78"/>
      <c r="C40" s="78"/>
      <c r="D40" s="100">
        <f>'Customer Info'!$B$21+'Customer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194</v>
      </c>
      <c r="B41" s="78"/>
      <c r="C41" s="78"/>
      <c r="D41" s="100">
        <f>'Customer Info'!$B$21+'Customer Info'!$B$22-'Customer Info'!$B$23</f>
        <v>0</v>
      </c>
      <c r="E41" s="101" t="s">
        <v>41</v>
      </c>
      <c r="F41" s="102" t="s">
        <v>8</v>
      </c>
      <c r="G41" s="103">
        <f>'Rider Rates'!$B$45</f>
        <v>-3.1569999999999998E-4</v>
      </c>
      <c r="H41" s="103"/>
      <c r="I41" s="103"/>
      <c r="J41" s="237">
        <f>SUM(G41:H41)</f>
        <v>-3.1569999999999998E-4</v>
      </c>
      <c r="K41" s="104" t="s">
        <v>42</v>
      </c>
      <c r="L41" s="105">
        <f>ROUND(D41*G41,2)</f>
        <v>0</v>
      </c>
      <c r="M41" s="105"/>
      <c r="N41" s="105"/>
      <c r="O41" s="105">
        <f t="shared" si="3"/>
        <v>0</v>
      </c>
      <c r="P41" s="245">
        <f>'Rider Rates'!$D$45</f>
        <v>45383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211</v>
      </c>
      <c r="B42" s="78"/>
      <c r="C42" s="78"/>
      <c r="D42" s="100"/>
      <c r="E42" s="101" t="s">
        <v>115</v>
      </c>
      <c r="F42" s="102"/>
      <c r="G42" s="103"/>
      <c r="H42" s="103"/>
      <c r="I42" s="103">
        <f>'Rider Rates'!D48</f>
        <v>1.39</v>
      </c>
      <c r="J42" s="237">
        <f>SUM(G42:I42)</f>
        <v>1.39</v>
      </c>
      <c r="K42" s="104"/>
      <c r="L42" s="105"/>
      <c r="M42" s="105"/>
      <c r="N42" s="105">
        <f>J42</f>
        <v>1.39</v>
      </c>
      <c r="O42" s="105">
        <f>SUM(L42:N42)</f>
        <v>1.39</v>
      </c>
      <c r="P42" s="245">
        <f>'Rider Rates'!E48</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190</v>
      </c>
      <c r="B43" s="78"/>
      <c r="C43" s="78"/>
      <c r="D43" s="100">
        <f>IF($D$17&lt;0,0,$D$17)</f>
        <v>0</v>
      </c>
      <c r="E43" s="113" t="s">
        <v>41</v>
      </c>
      <c r="F43" s="102" t="s">
        <v>8</v>
      </c>
      <c r="G43" s="103"/>
      <c r="H43" s="103">
        <f>'Rider Rates'!$B$55</f>
        <v>4.3837099999999997E-2</v>
      </c>
      <c r="I43" s="103"/>
      <c r="J43" s="103">
        <f>SUM(G43:I43)</f>
        <v>4.3837099999999997E-2</v>
      </c>
      <c r="K43" s="104" t="s">
        <v>42</v>
      </c>
      <c r="L43" s="105"/>
      <c r="M43" s="105">
        <f>ROUND(D43*H43,2)</f>
        <v>0</v>
      </c>
      <c r="N43" s="205"/>
      <c r="O43" s="105">
        <f t="shared" si="3"/>
        <v>0</v>
      </c>
      <c r="P43" s="245">
        <f>'Rider Rates'!$D$55</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96</v>
      </c>
      <c r="B44" s="78"/>
      <c r="C44" s="78"/>
      <c r="D44" s="100">
        <f>IF('Customer Info'!C34=TRUE,0,IF($D$17&lt;0,0,$D$17))</f>
        <v>0</v>
      </c>
      <c r="E44" s="101" t="s">
        <v>41</v>
      </c>
      <c r="F44" s="102" t="s">
        <v>8</v>
      </c>
      <c r="G44" s="103"/>
      <c r="H44" s="103"/>
      <c r="I44" s="103">
        <f>'Rider Rates'!$B$67+'Rider Rates'!$C$67</f>
        <v>0</v>
      </c>
      <c r="J44" s="103">
        <f t="shared" si="0"/>
        <v>0</v>
      </c>
      <c r="K44" s="104" t="s">
        <v>42</v>
      </c>
      <c r="L44" s="105"/>
      <c r="M44" s="105"/>
      <c r="N44" s="105">
        <f>ROUND($D$44*'Rider Rates'!$B$67,2)+ROUND($D$44*'Rider Rates'!$C$67,2)</f>
        <v>0</v>
      </c>
      <c r="O44" s="250">
        <f t="shared" si="2"/>
        <v>0</v>
      </c>
      <c r="P44" s="245">
        <f>'Rider Rates'!$D$67</f>
        <v>45444</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99" t="s">
        <v>81</v>
      </c>
      <c r="B45" s="78"/>
      <c r="C45" s="78"/>
      <c r="D45" s="195">
        <f>$N$27</f>
        <v>10</v>
      </c>
      <c r="E45" s="101" t="s">
        <v>122</v>
      </c>
      <c r="F45" s="102" t="s">
        <v>8</v>
      </c>
      <c r="G45" s="111"/>
      <c r="H45" s="112"/>
      <c r="I45" s="120">
        <f>'Rider Rates'!$B$83</f>
        <v>2.9347000000000002E-2</v>
      </c>
      <c r="J45" s="120">
        <f>SUM(G45:I45)</f>
        <v>2.9347000000000002E-2</v>
      </c>
      <c r="K45" s="104"/>
      <c r="L45" s="105"/>
      <c r="M45" s="105"/>
      <c r="N45" s="105">
        <f>ROUND(D45*I45,2)</f>
        <v>0.28999999999999998</v>
      </c>
      <c r="O45" s="105">
        <f t="shared" si="2"/>
        <v>0.28999999999999998</v>
      </c>
      <c r="P45" s="245">
        <f>'Rider Rates'!$D$83</f>
        <v>45383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82</v>
      </c>
      <c r="B46" s="78"/>
      <c r="C46" s="78"/>
      <c r="D46" s="195">
        <f>$N$27</f>
        <v>10</v>
      </c>
      <c r="E46" s="101" t="s">
        <v>122</v>
      </c>
      <c r="F46" s="102" t="s">
        <v>8</v>
      </c>
      <c r="G46" s="114"/>
      <c r="H46" s="115"/>
      <c r="I46" s="120">
        <f>'Rider Rates'!$B$85</f>
        <v>6.6985699999999995E-2</v>
      </c>
      <c r="J46" s="120">
        <f t="shared" si="0"/>
        <v>6.6985699999999995E-2</v>
      </c>
      <c r="K46" s="104"/>
      <c r="L46" s="105"/>
      <c r="M46" s="105"/>
      <c r="N46" s="105">
        <f>ROUND(D46*I46,2)</f>
        <v>0.67</v>
      </c>
      <c r="O46" s="105">
        <f t="shared" si="2"/>
        <v>0.67</v>
      </c>
      <c r="P46" s="245">
        <f>'Rider Rates'!$D$85</f>
        <v>45167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207</v>
      </c>
      <c r="B47" s="78"/>
      <c r="C47" s="78"/>
      <c r="D47" s="195"/>
      <c r="E47" s="113" t="s">
        <v>115</v>
      </c>
      <c r="F47" s="106"/>
      <c r="G47" s="114"/>
      <c r="H47" s="115"/>
      <c r="I47" s="196">
        <f>'Rider Rates'!$B$88</f>
        <v>1.42</v>
      </c>
      <c r="J47" s="196">
        <f>SUM(G47:I47)</f>
        <v>1.42</v>
      </c>
      <c r="K47" s="104"/>
      <c r="L47" s="105"/>
      <c r="M47" s="105"/>
      <c r="N47" s="105">
        <f>I47</f>
        <v>1.42</v>
      </c>
      <c r="O47" s="250">
        <f>SUM(L47:N47)</f>
        <v>1.42</v>
      </c>
      <c r="P47" s="245">
        <f>'Rider Rates'!$D$88</f>
        <v>45442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240</v>
      </c>
      <c r="B48" s="78"/>
      <c r="C48" s="78"/>
      <c r="D48" s="100">
        <f>IF($D$17&lt;0,0,$D$17)</f>
        <v>0</v>
      </c>
      <c r="E48" s="101" t="s">
        <v>41</v>
      </c>
      <c r="F48" s="102" t="s">
        <v>8</v>
      </c>
      <c r="G48" s="103"/>
      <c r="H48" s="103"/>
      <c r="I48" s="103"/>
      <c r="J48" s="103">
        <f>'Rider Rates'!$B$92</f>
        <v>0</v>
      </c>
      <c r="K48" s="104" t="s">
        <v>42</v>
      </c>
      <c r="L48" s="105"/>
      <c r="M48" s="105"/>
      <c r="N48" s="105"/>
      <c r="O48" s="105">
        <f>ROUND($D48*('Rider Rates'!B$92),2)</f>
        <v>0</v>
      </c>
      <c r="P48" s="245">
        <f>'Rider Rates'!$D$92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ht="13" x14ac:dyDescent="0.3">
      <c r="A49" s="99" t="s">
        <v>157</v>
      </c>
      <c r="B49" s="78"/>
      <c r="C49" s="78"/>
      <c r="D49" s="195">
        <f>$N$27</f>
        <v>10</v>
      </c>
      <c r="E49" s="101" t="s">
        <v>122</v>
      </c>
      <c r="F49" s="102" t="s">
        <v>8</v>
      </c>
      <c r="G49" s="114"/>
      <c r="H49" s="115"/>
      <c r="I49" s="120">
        <f>'Rider Rates'!$B$103</f>
        <v>0.21398439999999999</v>
      </c>
      <c r="J49" s="238">
        <f t="shared" si="0"/>
        <v>0.21398439999999999</v>
      </c>
      <c r="K49" s="104"/>
      <c r="L49" s="105"/>
      <c r="M49" s="105"/>
      <c r="N49" s="105">
        <f>ROUND(D49*I49,2)</f>
        <v>2.14</v>
      </c>
      <c r="O49" s="105">
        <f t="shared" si="2"/>
        <v>2.14</v>
      </c>
      <c r="P49" s="245">
        <f>'Rider Rates'!$D$103</f>
        <v>45351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210" t="s">
        <v>210</v>
      </c>
      <c r="B50" s="78"/>
      <c r="C50" s="78"/>
      <c r="D50" s="195"/>
      <c r="E50" s="113" t="s">
        <v>115</v>
      </c>
      <c r="F50" s="106"/>
      <c r="G50" s="114"/>
      <c r="H50" s="115"/>
      <c r="I50" s="196">
        <f>'Rider Rates'!$B$106</f>
        <v>0</v>
      </c>
      <c r="J50" s="196">
        <f>SUM(G50:I50)</f>
        <v>0</v>
      </c>
      <c r="K50" s="104"/>
      <c r="L50" s="105"/>
      <c r="M50" s="105"/>
      <c r="N50" s="105">
        <f>I50</f>
        <v>0</v>
      </c>
      <c r="O50" s="105">
        <f>SUM(L50:N50)</f>
        <v>0</v>
      </c>
      <c r="P50" s="245">
        <f>'Rider Rates'!$D$106</f>
        <v>44894</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210" t="s">
        <v>218</v>
      </c>
      <c r="B51" s="78"/>
      <c r="C51" s="78"/>
      <c r="D51" s="195"/>
      <c r="E51" s="113" t="s">
        <v>115</v>
      </c>
      <c r="F51" s="106"/>
      <c r="G51" s="114"/>
      <c r="H51" s="115"/>
      <c r="I51" s="258">
        <f>'Rider Rates'!B119</f>
        <v>1.26</v>
      </c>
      <c r="J51" s="259">
        <f>SUM(G51:I51)</f>
        <v>1.26</v>
      </c>
      <c r="K51" s="104"/>
      <c r="L51" s="105"/>
      <c r="M51" s="105"/>
      <c r="N51" s="260">
        <f>I51</f>
        <v>1.26</v>
      </c>
      <c r="O51" s="105">
        <f>SUM(L51:N51)</f>
        <v>1.26</v>
      </c>
      <c r="P51" s="245">
        <f>'Rider Rates'!D119</f>
        <v>45226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158</v>
      </c>
      <c r="B52" s="78"/>
      <c r="C52" s="78"/>
      <c r="D52" s="100">
        <f>'Customer Info'!$B$21+'Customer Info'!$B$22-'Customer Info'!$B$23</f>
        <v>0</v>
      </c>
      <c r="E52" s="101" t="s">
        <v>41</v>
      </c>
      <c r="F52" s="102" t="s">
        <v>8</v>
      </c>
      <c r="G52" s="103">
        <f>'Rider Rates'!$B$110</f>
        <v>3.8972999999999998E-3</v>
      </c>
      <c r="H52" s="103"/>
      <c r="I52" s="103"/>
      <c r="J52" s="237">
        <f>SUM(G52:H52)</f>
        <v>3.8972999999999998E-3</v>
      </c>
      <c r="K52" s="104" t="s">
        <v>42</v>
      </c>
      <c r="L52" s="105">
        <f>ROUND(D52*G52,2)</f>
        <v>0</v>
      </c>
      <c r="M52" s="105"/>
      <c r="N52" s="105"/>
      <c r="O52" s="105">
        <f t="shared" si="2"/>
        <v>0</v>
      </c>
      <c r="P52" s="245">
        <f>'Rider Rates'!$D$110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209</v>
      </c>
      <c r="B53" s="78"/>
      <c r="C53" s="78"/>
      <c r="D53" s="100">
        <f>IF($D$17&lt;1,0,$D$17)</f>
        <v>0</v>
      </c>
      <c r="E53" s="101" t="s">
        <v>41</v>
      </c>
      <c r="F53" s="249" t="s">
        <v>8</v>
      </c>
      <c r="G53" s="103"/>
      <c r="H53" s="103"/>
      <c r="I53" s="103">
        <f>'Rider Rates'!$B$115</f>
        <v>-2.3000000000000001E-4</v>
      </c>
      <c r="J53" s="237">
        <f>SUM(G53:I53)</f>
        <v>-2.3000000000000001E-4</v>
      </c>
      <c r="K53" s="104" t="s">
        <v>42</v>
      </c>
      <c r="L53" s="105"/>
      <c r="M53" s="105"/>
      <c r="N53" s="105">
        <f>D53*J53</f>
        <v>0</v>
      </c>
      <c r="O53" s="105">
        <f t="shared" si="2"/>
        <v>0</v>
      </c>
      <c r="P53" s="245">
        <f>'Rider Rates'!D115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231</v>
      </c>
      <c r="B54" s="78"/>
      <c r="C54" s="78"/>
      <c r="D54" s="100"/>
      <c r="E54" s="101" t="s">
        <v>115</v>
      </c>
      <c r="F54" s="102" t="s">
        <v>8</v>
      </c>
      <c r="G54" s="263"/>
      <c r="H54" s="263"/>
      <c r="I54" s="263">
        <f>'Rider Rates'!$B$123</f>
        <v>0.1</v>
      </c>
      <c r="J54" s="263">
        <f>SUM(G54:I54)</f>
        <v>0.1</v>
      </c>
      <c r="K54" s="104"/>
      <c r="L54" s="209"/>
      <c r="M54" s="209"/>
      <c r="N54" s="209">
        <f>J54</f>
        <v>0.1</v>
      </c>
      <c r="O54" s="209">
        <f>SUM(L54:N54)</f>
        <v>0.1</v>
      </c>
      <c r="P54" s="264">
        <f>'Rider Rates'!E123</f>
        <v>44927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243</v>
      </c>
      <c r="B55" s="78"/>
      <c r="C55" s="78"/>
      <c r="D55" s="100">
        <f>D17</f>
        <v>0</v>
      </c>
      <c r="E55" s="101" t="s">
        <v>41</v>
      </c>
      <c r="F55" s="249" t="s">
        <v>8</v>
      </c>
      <c r="G55" s="103"/>
      <c r="H55" s="103"/>
      <c r="I55" s="103">
        <f>'Rider Rates'!B128</f>
        <v>0</v>
      </c>
      <c r="J55" s="237">
        <f>SUM(G55:I55)</f>
        <v>0</v>
      </c>
      <c r="K55" s="104" t="s">
        <v>42</v>
      </c>
      <c r="L55" s="105"/>
      <c r="M55" s="105"/>
      <c r="N55" s="105">
        <f>D55*J55</f>
        <v>0</v>
      </c>
      <c r="O55" s="105">
        <f t="shared" ref="O55" si="4">SUM(L55:N55)</f>
        <v>0</v>
      </c>
      <c r="P55" s="245">
        <f>'Rider Rates'!D128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242</v>
      </c>
      <c r="B56" s="78"/>
      <c r="C56" s="78"/>
      <c r="D56" s="100"/>
      <c r="E56" s="101" t="s">
        <v>115</v>
      </c>
      <c r="F56" s="102" t="s">
        <v>8</v>
      </c>
      <c r="G56" s="263"/>
      <c r="H56" s="263"/>
      <c r="I56" s="263">
        <f>'Rider Rates'!$B$135</f>
        <v>0</v>
      </c>
      <c r="J56" s="263">
        <f>SUM(G56:I56)</f>
        <v>0</v>
      </c>
      <c r="K56" s="104"/>
      <c r="L56" s="209"/>
      <c r="M56" s="209"/>
      <c r="N56" s="209">
        <f>J56</f>
        <v>0</v>
      </c>
      <c r="O56" s="209">
        <f>SUM(L56:N56)</f>
        <v>0</v>
      </c>
      <c r="P56" s="264">
        <f>'Rider Rates'!D135</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244</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79" t="s">
        <v>71</v>
      </c>
      <c r="B58" s="148"/>
      <c r="C58" s="148"/>
      <c r="D58" s="180"/>
      <c r="E58" s="181"/>
      <c r="F58" s="182"/>
      <c r="G58" s="182"/>
      <c r="H58" s="182"/>
      <c r="I58" s="182"/>
      <c r="J58" s="182"/>
      <c r="K58" s="183"/>
      <c r="L58" s="169">
        <f>SUM(L31:L57)</f>
        <v>0</v>
      </c>
      <c r="M58" s="169">
        <f t="shared" ref="M58:O58" si="5">SUM(M31:M57)</f>
        <v>0</v>
      </c>
      <c r="N58" s="169">
        <f t="shared" si="5"/>
        <v>7.27</v>
      </c>
      <c r="O58" s="169">
        <f t="shared" si="5"/>
        <v>7.27</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85" t="s">
        <v>94</v>
      </c>
      <c r="B60" s="170"/>
      <c r="C60" s="170"/>
      <c r="D60" s="170"/>
      <c r="E60" s="170"/>
      <c r="F60" s="170"/>
      <c r="G60" s="170"/>
      <c r="H60" s="170"/>
      <c r="I60" s="170"/>
      <c r="J60" s="170"/>
      <c r="K60" s="170"/>
      <c r="L60" s="186">
        <f>L27+L58</f>
        <v>0</v>
      </c>
      <c r="M60" s="186">
        <f>M27+M58</f>
        <v>0</v>
      </c>
      <c r="N60" s="186">
        <f>N27+N58</f>
        <v>17.27</v>
      </c>
      <c r="O60" s="187">
        <f>O27+O58</f>
        <v>17.27</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48" t="s">
        <v>117</v>
      </c>
      <c r="B65" s="151"/>
      <c r="C65" s="151"/>
      <c r="D65" s="151"/>
      <c r="E65" s="151"/>
      <c r="F65" s="151"/>
      <c r="G65" s="151"/>
      <c r="H65" s="151"/>
      <c r="I65" s="151"/>
      <c r="J65" s="151"/>
      <c r="K65" s="151"/>
      <c r="L65" s="151"/>
      <c r="M65" s="151"/>
      <c r="N65" s="151"/>
      <c r="O65" s="190">
        <f>IF($D$17&lt;0,O60,IF(O60&gt;O63,O60,O63))</f>
        <v>17.27</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ht="13" x14ac:dyDescent="0.3">
      <c r="A68" s="37"/>
      <c r="B68" s="78"/>
      <c r="C68" s="78"/>
      <c r="D68" s="78"/>
      <c r="E68" s="78"/>
      <c r="F68" s="78"/>
      <c r="G68" s="78"/>
      <c r="H68" s="192"/>
      <c r="I68" s="242" t="s">
        <v>191</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ht="13" x14ac:dyDescent="0.3">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5">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78"/>
      <c r="D71" s="1"/>
      <c r="E71" s="35"/>
      <c r="F71" s="106"/>
      <c r="Q71" s="80"/>
    </row>
    <row r="72" spans="1:236" ht="13" x14ac:dyDescent="0.3">
      <c r="A72" s="96"/>
      <c r="D72" s="1"/>
      <c r="E72" s="35"/>
      <c r="F72" s="4"/>
      <c r="Q72" s="36"/>
    </row>
    <row r="73" spans="1:236" ht="13" x14ac:dyDescent="0.3">
      <c r="A73" s="96"/>
      <c r="D73" s="1"/>
      <c r="E73" s="35"/>
      <c r="F73" s="4"/>
      <c r="Q73" s="36"/>
    </row>
    <row r="74" spans="1:236" ht="13" x14ac:dyDescent="0.3">
      <c r="A74" s="41"/>
      <c r="B74" s="77"/>
      <c r="C74" s="77"/>
      <c r="D74" s="77"/>
      <c r="E74" s="77"/>
      <c r="F74" s="77"/>
    </row>
    <row r="75" spans="1:236" ht="13" x14ac:dyDescent="0.3">
      <c r="B75" s="37"/>
      <c r="C75" s="37"/>
      <c r="D75" s="37"/>
      <c r="E75" s="37"/>
      <c r="F75" s="37"/>
      <c r="P75" s="37"/>
      <c r="Q75" s="37"/>
    </row>
    <row r="76" spans="1:236" ht="13" x14ac:dyDescent="0.3">
      <c r="B76" s="37"/>
      <c r="C76" s="37"/>
      <c r="D76" s="37"/>
      <c r="E76" s="37"/>
      <c r="F76" s="37"/>
      <c r="P76" s="25"/>
      <c r="Q76" s="25"/>
    </row>
    <row r="79" spans="1:236" x14ac:dyDescent="0.25">
      <c r="A79" s="478"/>
    </row>
    <row r="80" spans="1:23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sheetData>
  <sheetProtection algorithmName="SHA-512" hashValue="MeqG1P5h6gTFWmkQucUYfRlnsQgxsNExMPrp4fXvkceLMKbeLOnQhUhmmcY3XYnKyj/lWNJx1ClL6UdXGopkfA==" saltValue="eWbSARHhjMZ5tbCVN5QWH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584200</xdr:colOff>
                    <xdr:row>86</xdr:row>
                    <xdr:rowOff>57150</xdr:rowOff>
                  </from>
                  <to>
                    <xdr:col>30</xdr:col>
                    <xdr:colOff>241300</xdr:colOff>
                    <xdr:row>87</xdr:row>
                    <xdr:rowOff>133350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6"/>
  <sheetViews>
    <sheetView topLeftCell="A5" zoomScale="85" zoomScaleNormal="85" workbookViewId="0">
      <selection activeCell="G33" sqref="G33:G54"/>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331</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329</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463" t="s">
        <v>65</v>
      </c>
      <c r="M20" s="463" t="s">
        <v>66</v>
      </c>
      <c r="N20" s="463" t="s">
        <v>67</v>
      </c>
      <c r="O20" s="463" t="s">
        <v>34</v>
      </c>
      <c r="P20" s="375" t="s">
        <v>57</v>
      </c>
    </row>
    <row r="21" spans="1:221" x14ac:dyDescent="0.25">
      <c r="A21" s="349" t="s">
        <v>32</v>
      </c>
      <c r="G21" s="449"/>
      <c r="H21" s="449"/>
      <c r="I21" s="449">
        <f>'Rider Rates'!B143</f>
        <v>138.5</v>
      </c>
      <c r="J21" s="449">
        <f>SUM(G21:I21)</f>
        <v>138.5</v>
      </c>
      <c r="L21" s="450"/>
      <c r="M21" s="450"/>
      <c r="N21" s="450">
        <f>I21</f>
        <v>138.5</v>
      </c>
      <c r="O21" s="425">
        <f>SUM(L21:N21)</f>
        <v>138.5</v>
      </c>
      <c r="P21" s="378">
        <v>44531</v>
      </c>
    </row>
    <row r="22" spans="1:221" x14ac:dyDescent="0.25">
      <c r="A22" s="451" t="s">
        <v>132</v>
      </c>
      <c r="D22" s="380">
        <f>C15</f>
        <v>0</v>
      </c>
      <c r="E22" s="381" t="s">
        <v>41</v>
      </c>
      <c r="F22" s="382" t="s">
        <v>8</v>
      </c>
      <c r="G22" s="424"/>
      <c r="H22" s="424"/>
      <c r="I22" s="462">
        <f>'Rider Rates'!C143</f>
        <v>1.3832199999999999E-2</v>
      </c>
      <c r="J22" s="424">
        <f>SUM(G22:I22)</f>
        <v>1.3832199999999999E-2</v>
      </c>
      <c r="K22" s="384" t="s">
        <v>42</v>
      </c>
      <c r="L22" s="425"/>
      <c r="M22" s="425"/>
      <c r="N22" s="425">
        <f>IF(C15&lt;0,0,ROUND($D22*I22,2))</f>
        <v>0</v>
      </c>
      <c r="O22" s="425">
        <f>SUM(L22:N22)</f>
        <v>0</v>
      </c>
      <c r="P22" s="378">
        <f>'Rider Rates'!H143</f>
        <v>45444</v>
      </c>
    </row>
    <row r="23" spans="1:221" ht="13" x14ac:dyDescent="0.3">
      <c r="A23" s="387" t="s">
        <v>50</v>
      </c>
      <c r="B23" s="387"/>
      <c r="C23" s="387"/>
      <c r="D23" s="388"/>
      <c r="E23" s="388"/>
      <c r="F23" s="387"/>
      <c r="G23" s="387"/>
      <c r="H23" s="387"/>
      <c r="I23" s="387"/>
      <c r="J23" s="387"/>
      <c r="K23" s="390"/>
      <c r="L23" s="389"/>
      <c r="M23" s="389"/>
      <c r="N23" s="389">
        <f>SUM(N21:N22)</f>
        <v>138.5</v>
      </c>
      <c r="O23" s="389">
        <f>SUM(O21:O22)</f>
        <v>138.5</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138.5</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380">
        <f>C15</f>
        <v>0</v>
      </c>
      <c r="E34" s="381" t="s">
        <v>41</v>
      </c>
      <c r="F34" s="382" t="s">
        <v>8</v>
      </c>
      <c r="G34" s="406"/>
      <c r="H34" s="406"/>
      <c r="I34" s="406"/>
      <c r="J34" s="413">
        <f>SUM(G34:H34)</f>
        <v>0</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 t="shared" ref="D35:D36" si="3">C16</f>
        <v>0</v>
      </c>
      <c r="E35" s="381" t="s">
        <v>41</v>
      </c>
      <c r="F35" s="382" t="s">
        <v>8</v>
      </c>
      <c r="G35" s="406"/>
      <c r="H35" s="406"/>
      <c r="I35" s="406"/>
      <c r="J35" s="413">
        <f>SUM(G35:H35)</f>
        <v>0</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 t="shared" si="3"/>
        <v>0</v>
      </c>
      <c r="E36" s="381" t="s">
        <v>41</v>
      </c>
      <c r="F36" s="375" t="s">
        <v>8</v>
      </c>
      <c r="G36" s="406"/>
      <c r="H36" s="406"/>
      <c r="I36" s="406"/>
      <c r="J36" s="413">
        <f>SUM(G36:H36)</f>
        <v>0</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c r="H37" s="406"/>
      <c r="I37" s="406"/>
      <c r="J37" s="413">
        <f>SUM(G37:H37)</f>
        <v>0</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$N$23</f>
        <v>138.5</v>
      </c>
      <c r="E42" s="381" t="s">
        <v>122</v>
      </c>
      <c r="F42" s="382" t="s">
        <v>8</v>
      </c>
      <c r="G42" s="417"/>
      <c r="H42" s="373"/>
      <c r="I42" s="418">
        <f>'Rider Rates'!$B$83</f>
        <v>2.9347000000000002E-2</v>
      </c>
      <c r="J42" s="418">
        <f t="shared" si="0"/>
        <v>2.9347000000000002E-2</v>
      </c>
      <c r="K42" s="384"/>
      <c r="L42" s="250"/>
      <c r="M42" s="250"/>
      <c r="N42" s="250">
        <f>ROUND(D42*I42,2)</f>
        <v>4.0599999999999996</v>
      </c>
      <c r="O42" s="250">
        <f t="shared" si="2"/>
        <v>4.0599999999999996</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138.5</v>
      </c>
      <c r="E43" s="381" t="s">
        <v>122</v>
      </c>
      <c r="F43" s="382" t="s">
        <v>8</v>
      </c>
      <c r="G43" s="419"/>
      <c r="H43" s="373"/>
      <c r="I43" s="418">
        <f>'Rider Rates'!$B$85</f>
        <v>6.6985699999999995E-2</v>
      </c>
      <c r="J43" s="418">
        <f t="shared" si="0"/>
        <v>6.6985699999999995E-2</v>
      </c>
      <c r="K43" s="384"/>
      <c r="L43" s="250"/>
      <c r="M43" s="250"/>
      <c r="N43" s="250">
        <f>ROUND(D43*I43,2)</f>
        <v>9.2799999999999994</v>
      </c>
      <c r="O43" s="250">
        <f t="shared" si="2"/>
        <v>9.2799999999999994</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138.5</v>
      </c>
      <c r="E46" s="381" t="s">
        <v>122</v>
      </c>
      <c r="F46" s="382" t="s">
        <v>8</v>
      </c>
      <c r="G46" s="419"/>
      <c r="H46" s="373"/>
      <c r="I46" s="418">
        <f>'Rider Rates'!$B$103</f>
        <v>0.21398439999999999</v>
      </c>
      <c r="J46" s="418">
        <f t="shared" si="0"/>
        <v>0.21398439999999999</v>
      </c>
      <c r="K46" s="384"/>
      <c r="L46" s="250"/>
      <c r="M46" s="250"/>
      <c r="N46" s="250">
        <f>ROUND(D46*I46,2)</f>
        <v>29.64</v>
      </c>
      <c r="O46" s="250">
        <f t="shared" si="2"/>
        <v>29.64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c r="H49" s="406"/>
      <c r="I49" s="418"/>
      <c r="J49" s="413">
        <f>SUM(G49:H49)</f>
        <v>0</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4">SUM(M27:M55)</f>
        <v>0</v>
      </c>
      <c r="N56" s="432">
        <f t="shared" si="4"/>
        <v>60.78</v>
      </c>
      <c r="O56" s="432">
        <f t="shared" si="4"/>
        <v>60.78</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64" t="s">
        <v>94</v>
      </c>
      <c r="B58" s="397"/>
      <c r="C58" s="397"/>
      <c r="D58" s="397"/>
      <c r="E58" s="397"/>
      <c r="F58" s="397"/>
      <c r="G58" s="397"/>
      <c r="H58" s="397"/>
      <c r="I58" s="397"/>
      <c r="J58" s="397"/>
      <c r="K58" s="397"/>
      <c r="L58" s="436">
        <f>L23+L56</f>
        <v>0</v>
      </c>
      <c r="M58" s="436">
        <f>M23+M56</f>
        <v>0</v>
      </c>
      <c r="N58" s="436">
        <f>N23+N56</f>
        <v>199.28</v>
      </c>
      <c r="O58" s="437">
        <f>O23+O56</f>
        <v>199.28</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199.28</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199.28</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en6eEiahyP7v65iu+jh2QUVG2Ze0+7ffBsLJnRwbGfs22WUmhwm9L08512VQ9BmqbIUiibxFztGADbDWPngADw==" saltValue="boqulWt1VdsgezuKl4aN4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57150</xdr:colOff>
                    <xdr:row>0</xdr:row>
                    <xdr:rowOff>38100</xdr:rowOff>
                  </from>
                  <to>
                    <xdr:col>0</xdr:col>
                    <xdr:colOff>571500</xdr:colOff>
                    <xdr:row>2</xdr:row>
                    <xdr:rowOff>19050</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69850</xdr:colOff>
                    <xdr:row>0</xdr:row>
                    <xdr:rowOff>76200</xdr:rowOff>
                  </from>
                  <to>
                    <xdr:col>0</xdr:col>
                    <xdr:colOff>584200</xdr:colOff>
                    <xdr:row>2</xdr:row>
                    <xdr:rowOff>88900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6"/>
  <sheetViews>
    <sheetView topLeftCell="A5" zoomScale="85" zoomScaleNormal="85" workbookViewId="0">
      <selection activeCell="G33" sqref="G33:G49"/>
    </sheetView>
  </sheetViews>
  <sheetFormatPr defaultRowHeight="12.5" x14ac:dyDescent="0.25"/>
  <cols>
    <col min="1" max="1" width="31" style="349" customWidth="1"/>
    <col min="2" max="2" width="2.1796875" style="349" customWidth="1"/>
    <col min="3" max="3" width="21.1796875" style="349" customWidth="1"/>
    <col min="4" max="4" width="15.26953125" style="349" customWidth="1"/>
    <col min="5" max="5" width="10.1796875" style="349" customWidth="1"/>
    <col min="6" max="6" width="5.54296875" style="349" customWidth="1"/>
    <col min="7" max="8" width="13.26953125" style="349" customWidth="1"/>
    <col min="9" max="9" width="14.54296875" style="349" customWidth="1"/>
    <col min="10" max="10" width="13.26953125" style="349" customWidth="1"/>
    <col min="11" max="11" width="7" style="349" customWidth="1"/>
    <col min="12" max="12" width="15.1796875" style="349" customWidth="1"/>
    <col min="13" max="13" width="17.26953125" style="349" bestFit="1" customWidth="1"/>
    <col min="14" max="14" width="16.7265625" style="349" customWidth="1"/>
    <col min="15" max="15" width="19.1796875" style="349" bestFit="1" customWidth="1"/>
    <col min="16" max="16" width="12.81640625" style="349" bestFit="1" customWidth="1"/>
    <col min="17" max="17" width="8.7265625" style="349"/>
    <col min="18" max="18" width="9.179687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330</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row>
    <row r="6" spans="1:30" x14ac:dyDescent="0.25">
      <c r="A6" s="351">
        <f ca="1">TODAY()</f>
        <v>45476</v>
      </c>
      <c r="B6" s="404" t="s">
        <v>332</v>
      </c>
      <c r="C6" s="351"/>
      <c r="D6" s="351"/>
      <c r="E6" s="351"/>
      <c r="F6" s="351"/>
      <c r="G6" s="351"/>
      <c r="H6" s="351"/>
      <c r="I6" s="351"/>
    </row>
    <row r="7" spans="1:30" ht="25" x14ac:dyDescent="0.5">
      <c r="A7" s="509"/>
      <c r="B7" s="509"/>
      <c r="C7" s="509"/>
      <c r="D7" s="509"/>
      <c r="E7" s="509"/>
      <c r="F7" s="509"/>
      <c r="G7" s="509"/>
      <c r="H7" s="509"/>
      <c r="I7" s="509"/>
      <c r="J7" s="509"/>
      <c r="K7" s="509"/>
      <c r="L7" s="509"/>
      <c r="M7" s="509"/>
      <c r="N7" s="509"/>
      <c r="O7" s="509"/>
      <c r="P7" s="509"/>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97"/>
      <c r="K12" s="397"/>
      <c r="L12" s="445"/>
      <c r="M12" s="445"/>
      <c r="N12" s="445"/>
      <c r="O12" s="445"/>
      <c r="P12" s="445"/>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70" t="s">
        <v>27</v>
      </c>
      <c r="B13" s="371"/>
      <c r="C13" s="371"/>
      <c r="D13" s="371"/>
      <c r="E13" s="371"/>
      <c r="F13" s="371"/>
      <c r="G13" s="371"/>
      <c r="H13" s="371"/>
      <c r="I13" s="371"/>
      <c r="R13" s="369" t="s">
        <v>188</v>
      </c>
      <c r="S13" s="349">
        <f>'Rider Rates'!$C$22</f>
        <v>7.0209999999999995E-2</v>
      </c>
      <c r="T13" s="349">
        <f>'Rider Rates'!$C$22</f>
        <v>7.0209999999999995E-2</v>
      </c>
      <c r="U13" s="349">
        <f>'Rider Rates'!$C$22</f>
        <v>7.0209999999999995E-2</v>
      </c>
      <c r="V13" s="349">
        <f>'Rider Rates'!$C$22</f>
        <v>7.0209999999999995E-2</v>
      </c>
      <c r="W13" s="349">
        <f>'Rider Rates'!$C$22</f>
        <v>7.0209999999999995E-2</v>
      </c>
      <c r="X13" s="349">
        <f>'Rider Rates'!$B$22</f>
        <v>7.0209999999999995E-2</v>
      </c>
      <c r="Y13" s="349">
        <f>'Rider Rates'!$B$22</f>
        <v>7.0209999999999995E-2</v>
      </c>
      <c r="Z13" s="349">
        <f>'Rider Rates'!$B$22</f>
        <v>7.0209999999999995E-2</v>
      </c>
      <c r="AA13" s="349">
        <f>'Rider Rates'!$B$22</f>
        <v>7.0209999999999995E-2</v>
      </c>
      <c r="AB13" s="349">
        <f>'Rider Rates'!$C$22</f>
        <v>7.0209999999999995E-2</v>
      </c>
      <c r="AC13" s="349">
        <f>'Rider Rates'!$C$22</f>
        <v>7.0209999999999995E-2</v>
      </c>
      <c r="AD13" s="349">
        <f>'Rider Rates'!$C$22</f>
        <v>7.0209999999999995E-2</v>
      </c>
    </row>
    <row r="14" spans="1:30" x14ac:dyDescent="0.25">
      <c r="A14" s="353"/>
      <c r="B14" s="353"/>
      <c r="C14" s="353"/>
      <c r="D14" s="353"/>
      <c r="E14" s="353"/>
      <c r="F14" s="353"/>
      <c r="G14" s="353"/>
      <c r="H14" s="353"/>
      <c r="I14" s="353"/>
      <c r="R14" s="353"/>
      <c r="S14" s="365"/>
      <c r="T14" s="365"/>
      <c r="U14" s="365"/>
      <c r="V14" s="365"/>
      <c r="W14" s="365"/>
      <c r="X14" s="365"/>
      <c r="Y14" s="365"/>
      <c r="Z14" s="365"/>
      <c r="AA14" s="365"/>
      <c r="AB14" s="365"/>
      <c r="AC14" s="365"/>
      <c r="AD14" s="365"/>
    </row>
    <row r="15" spans="1:30" x14ac:dyDescent="0.25">
      <c r="A15" s="367" t="s">
        <v>52</v>
      </c>
      <c r="B15" s="367"/>
      <c r="C15" s="446">
        <f>IF('Customer Info'!B21+'Customer Info'!B22-'Customer Info'!B23&lt;0,0,'Customer Info'!B21+'Customer Info'!B22-'Customer Info'!B23)</f>
        <v>0</v>
      </c>
      <c r="D15" s="367" t="s">
        <v>41</v>
      </c>
      <c r="E15" s="367"/>
      <c r="F15" s="368"/>
      <c r="G15" s="367"/>
      <c r="H15" s="367"/>
      <c r="I15" s="367"/>
      <c r="R15" s="353"/>
      <c r="S15" s="365"/>
      <c r="T15" s="365"/>
      <c r="U15" s="365"/>
      <c r="V15" s="365"/>
      <c r="W15" s="365"/>
      <c r="X15" s="365"/>
      <c r="Y15" s="365"/>
      <c r="Z15" s="365"/>
      <c r="AA15" s="365"/>
      <c r="AB15" s="365"/>
      <c r="AC15" s="365"/>
      <c r="AD15" s="365"/>
    </row>
    <row r="16" spans="1:30" ht="13" x14ac:dyDescent="0.3">
      <c r="A16" s="367" t="s">
        <v>226</v>
      </c>
      <c r="B16" s="367"/>
      <c r="C16" s="446">
        <f>'Customer Info'!B21</f>
        <v>0</v>
      </c>
      <c r="D16" s="367" t="s">
        <v>41</v>
      </c>
      <c r="E16" s="367"/>
      <c r="F16" s="368"/>
      <c r="G16" s="354" t="s">
        <v>15</v>
      </c>
      <c r="H16" s="367"/>
    </row>
    <row r="17" spans="1:221" ht="13" x14ac:dyDescent="0.3">
      <c r="A17" s="367" t="s">
        <v>227</v>
      </c>
      <c r="B17" s="367"/>
      <c r="C17" s="446">
        <f>'Customer Info'!B22</f>
        <v>0</v>
      </c>
      <c r="D17" s="447" t="s">
        <v>41</v>
      </c>
      <c r="E17" s="368"/>
      <c r="F17" s="368"/>
      <c r="G17" s="354" t="s">
        <v>15</v>
      </c>
      <c r="H17" s="367"/>
      <c r="I17" s="448" t="s">
        <v>15</v>
      </c>
    </row>
    <row r="19" spans="1:221" ht="13" x14ac:dyDescent="0.3">
      <c r="A19" s="370" t="s">
        <v>31</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463" t="s">
        <v>65</v>
      </c>
      <c r="M20" s="463" t="s">
        <v>66</v>
      </c>
      <c r="N20" s="463" t="s">
        <v>67</v>
      </c>
      <c r="O20" s="463" t="s">
        <v>34</v>
      </c>
      <c r="P20" s="375" t="s">
        <v>57</v>
      </c>
    </row>
    <row r="21" spans="1:221" x14ac:dyDescent="0.25">
      <c r="A21" s="349" t="s">
        <v>32</v>
      </c>
      <c r="G21" s="449"/>
      <c r="H21" s="449"/>
      <c r="I21" s="449">
        <f>'Rider Rates'!B144</f>
        <v>825</v>
      </c>
      <c r="J21" s="449">
        <f>SUM(G21:I21)</f>
        <v>825</v>
      </c>
      <c r="L21" s="450"/>
      <c r="M21" s="450"/>
      <c r="N21" s="450">
        <f>I21</f>
        <v>825</v>
      </c>
      <c r="O21" s="425">
        <f>SUM(L21:N21)</f>
        <v>825</v>
      </c>
      <c r="P21" s="378">
        <v>44531</v>
      </c>
    </row>
    <row r="22" spans="1:221" x14ac:dyDescent="0.25">
      <c r="A22" s="451" t="s">
        <v>132</v>
      </c>
      <c r="D22" s="380">
        <f>C15</f>
        <v>0</v>
      </c>
      <c r="E22" s="381" t="s">
        <v>41</v>
      </c>
      <c r="F22" s="382" t="s">
        <v>8</v>
      </c>
      <c r="G22" s="424"/>
      <c r="H22" s="424"/>
      <c r="I22" s="462">
        <f>'Rider Rates'!C144</f>
        <v>5.9799999999999997E-5</v>
      </c>
      <c r="J22" s="424">
        <f>SUM(G22:I22)</f>
        <v>5.9799999999999997E-5</v>
      </c>
      <c r="K22" s="384" t="s">
        <v>42</v>
      </c>
      <c r="L22" s="425"/>
      <c r="M22" s="425"/>
      <c r="N22" s="425">
        <f>IF(C15&lt;0,0,ROUND($D22*I22,2))</f>
        <v>0</v>
      </c>
      <c r="O22" s="425">
        <f>SUM(L22:N22)</f>
        <v>0</v>
      </c>
      <c r="P22" s="378">
        <f>'Rider Rates'!H144</f>
        <v>45444</v>
      </c>
    </row>
    <row r="23" spans="1:221" ht="13" x14ac:dyDescent="0.3">
      <c r="A23" s="387" t="s">
        <v>50</v>
      </c>
      <c r="B23" s="387"/>
      <c r="C23" s="387"/>
      <c r="D23" s="388"/>
      <c r="E23" s="388"/>
      <c r="F23" s="387"/>
      <c r="G23" s="387"/>
      <c r="H23" s="387"/>
      <c r="I23" s="387"/>
      <c r="J23" s="387"/>
      <c r="K23" s="390"/>
      <c r="L23" s="389"/>
      <c r="M23" s="389"/>
      <c r="N23" s="389">
        <f>SUM(N21:N22)</f>
        <v>825</v>
      </c>
      <c r="O23" s="389">
        <f>SUM(O21:O22)</f>
        <v>825</v>
      </c>
    </row>
    <row r="24" spans="1:221" ht="13" x14ac:dyDescent="0.3">
      <c r="A24" s="452"/>
      <c r="B24" s="452"/>
      <c r="C24" s="453"/>
      <c r="D24" s="453"/>
      <c r="E24" s="453"/>
      <c r="F24" s="453"/>
      <c r="G24" s="454"/>
      <c r="H24" s="454"/>
      <c r="I24" s="454"/>
      <c r="J24" s="454"/>
      <c r="K24" s="452"/>
      <c r="L24" s="452"/>
      <c r="M24" s="452"/>
      <c r="N24" s="452"/>
      <c r="O24" s="452"/>
      <c r="P24" s="452"/>
    </row>
    <row r="25" spans="1:221" ht="13" x14ac:dyDescent="0.3">
      <c r="A25" s="364" t="s">
        <v>70</v>
      </c>
      <c r="B25" s="401"/>
      <c r="C25" s="401"/>
      <c r="D25" s="402"/>
      <c r="E25" s="402"/>
      <c r="F25" s="401"/>
      <c r="G25" s="402"/>
      <c r="H25" s="402"/>
      <c r="I25" s="402"/>
      <c r="J25" s="402"/>
      <c r="K25" s="402"/>
      <c r="L25" s="402"/>
      <c r="M25" s="402"/>
      <c r="N25" s="402"/>
      <c r="O25" s="402"/>
      <c r="P25" s="441"/>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row>
    <row r="26" spans="1:221" x14ac:dyDescent="0.25">
      <c r="P26" s="455"/>
      <c r="Q26" s="403"/>
      <c r="R26" s="393"/>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A27" s="404" t="s">
        <v>79</v>
      </c>
      <c r="B27" s="405"/>
      <c r="C27" s="405"/>
      <c r="D27" s="380">
        <f>IF($C$15&lt;0,0,IF($C$15&gt;833000,833000,$C$15))</f>
        <v>0</v>
      </c>
      <c r="E27" s="381" t="s">
        <v>41</v>
      </c>
      <c r="F27" s="382" t="s">
        <v>8</v>
      </c>
      <c r="G27" s="406"/>
      <c r="H27" s="406"/>
      <c r="I27" s="406">
        <f>'Rider Rates'!$B$4</f>
        <v>5.9216E-3</v>
      </c>
      <c r="J27" s="406">
        <f t="shared" ref="J27:J48" si="0">SUM(G27:I27)</f>
        <v>5.9216E-3</v>
      </c>
      <c r="K27" s="384" t="s">
        <v>42</v>
      </c>
      <c r="L27" s="250"/>
      <c r="M27" s="250"/>
      <c r="N27" s="250">
        <f t="shared" ref="N27:N32" si="1">ROUND(D27*I27,2)</f>
        <v>0</v>
      </c>
      <c r="O27" s="250">
        <f t="shared" ref="O27:O49" si="2">SUM(L27:N27)</f>
        <v>0</v>
      </c>
      <c r="P27" s="378">
        <f>'Rider Rates'!$D$4</f>
        <v>45293</v>
      </c>
      <c r="Q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80</v>
      </c>
      <c r="B28" s="353"/>
      <c r="C28" s="353"/>
      <c r="D28" s="408">
        <f>IF($C$15&gt;833000,$C$15-833000,0)</f>
        <v>0</v>
      </c>
      <c r="E28" s="381" t="s">
        <v>41</v>
      </c>
      <c r="F28" s="382" t="s">
        <v>8</v>
      </c>
      <c r="G28" s="406"/>
      <c r="H28" s="406"/>
      <c r="I28" s="406">
        <f>'Rider Rates'!$B$5</f>
        <v>1.7560000000000001E-4</v>
      </c>
      <c r="J28" s="406">
        <f t="shared" si="0"/>
        <v>1.7560000000000001E-4</v>
      </c>
      <c r="K28" s="384" t="s">
        <v>42</v>
      </c>
      <c r="L28" s="250"/>
      <c r="M28" s="250"/>
      <c r="N28" s="250">
        <f t="shared" si="1"/>
        <v>0</v>
      </c>
      <c r="O28" s="250">
        <f t="shared" si="2"/>
        <v>0</v>
      </c>
      <c r="P28" s="378">
        <f>'Rider Rates'!$D$4</f>
        <v>45293</v>
      </c>
      <c r="Q28" s="403"/>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97</v>
      </c>
      <c r="B29" s="353"/>
      <c r="C29" s="353"/>
      <c r="D29" s="380">
        <f>IF('Customer Info'!$C$32=TRUE,0,IF($C$15&lt;0,0,IF($C$15&gt;2000,2000,$C$15)))</f>
        <v>0</v>
      </c>
      <c r="E29" s="381" t="s">
        <v>41</v>
      </c>
      <c r="F29" s="382" t="s">
        <v>8</v>
      </c>
      <c r="G29" s="406"/>
      <c r="H29" s="406"/>
      <c r="I29" s="409">
        <f>'Rider Rates'!$B$8</f>
        <v>4.6499999999999996E-3</v>
      </c>
      <c r="J29" s="409">
        <f t="shared" si="0"/>
        <v>4.6499999999999996E-3</v>
      </c>
      <c r="K29" s="384" t="s">
        <v>42</v>
      </c>
      <c r="L29" s="250"/>
      <c r="M29" s="250"/>
      <c r="N29" s="250">
        <f t="shared" si="1"/>
        <v>0</v>
      </c>
      <c r="O29" s="250">
        <f t="shared" si="2"/>
        <v>0</v>
      </c>
      <c r="P29" s="378">
        <f>'Rider Rates'!$D$7</f>
        <v>44531</v>
      </c>
      <c r="Q29" s="403"/>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98</v>
      </c>
      <c r="B30" s="353"/>
      <c r="C30" s="353"/>
      <c r="D30" s="380">
        <f>IF('Customer Info'!$C$32=TRUE,0,IF($C$15&lt;=2000,0,IF($C$15=0,0,IF($C$15-2000&gt;13000,13000,$C$15-2000))))</f>
        <v>0</v>
      </c>
      <c r="E30" s="381" t="s">
        <v>41</v>
      </c>
      <c r="F30" s="382" t="s">
        <v>8</v>
      </c>
      <c r="G30" s="406"/>
      <c r="H30" s="406"/>
      <c r="I30" s="409">
        <f>'Rider Rates'!$B$9</f>
        <v>4.1900000000000001E-3</v>
      </c>
      <c r="J30" s="409">
        <f t="shared" si="0"/>
        <v>4.1900000000000001E-3</v>
      </c>
      <c r="K30" s="384" t="s">
        <v>42</v>
      </c>
      <c r="L30" s="250"/>
      <c r="M30" s="250"/>
      <c r="N30" s="250">
        <f t="shared" si="1"/>
        <v>0</v>
      </c>
      <c r="O30" s="250">
        <f t="shared" si="2"/>
        <v>0</v>
      </c>
      <c r="P30" s="378">
        <f>'Rider Rates'!$D$7</f>
        <v>44531</v>
      </c>
      <c r="Q30" s="403"/>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99</v>
      </c>
      <c r="B31" s="353"/>
      <c r="C31" s="353"/>
      <c r="D31" s="380">
        <f>IF('Customer Info'!$C$32=TRUE,0,IF($C$15=0,0,IF($C$15-15000&gt;=0,$C$15-15000,0)))</f>
        <v>0</v>
      </c>
      <c r="E31" s="381" t="s">
        <v>41</v>
      </c>
      <c r="F31" s="382" t="s">
        <v>8</v>
      </c>
      <c r="G31" s="406"/>
      <c r="H31" s="406"/>
      <c r="I31" s="409">
        <f>'Rider Rates'!$B$10</f>
        <v>3.63E-3</v>
      </c>
      <c r="J31" s="409">
        <f t="shared" si="0"/>
        <v>3.63E-3</v>
      </c>
      <c r="K31" s="384" t="s">
        <v>42</v>
      </c>
      <c r="L31" s="250"/>
      <c r="M31" s="250"/>
      <c r="N31" s="250">
        <f t="shared" si="1"/>
        <v>0</v>
      </c>
      <c r="O31" s="250">
        <f t="shared" si="2"/>
        <v>0</v>
      </c>
      <c r="P31" s="378">
        <f>'Rider Rates'!$D$7</f>
        <v>44531</v>
      </c>
      <c r="Q31" s="403"/>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12" t="s">
        <v>160</v>
      </c>
      <c r="B32" s="353"/>
      <c r="C32" s="353"/>
      <c r="D32" s="380">
        <f>IF($C$15&lt;0,0,$C$15)</f>
        <v>0</v>
      </c>
      <c r="E32" s="381" t="s">
        <v>41</v>
      </c>
      <c r="F32" s="382" t="s">
        <v>8</v>
      </c>
      <c r="G32" s="406"/>
      <c r="H32" s="406"/>
      <c r="I32" s="406">
        <f>'Rider Rates'!$B$16</f>
        <v>0</v>
      </c>
      <c r="J32" s="406">
        <f>SUM(G32:I32)</f>
        <v>0</v>
      </c>
      <c r="K32" s="384" t="s">
        <v>42</v>
      </c>
      <c r="L32" s="250"/>
      <c r="M32" s="250"/>
      <c r="N32" s="250">
        <f t="shared" si="1"/>
        <v>0</v>
      </c>
      <c r="O32" s="250">
        <f t="shared" si="2"/>
        <v>0</v>
      </c>
      <c r="P32" s="378">
        <f>'Rider Rates'!$D$16</f>
        <v>45322</v>
      </c>
      <c r="Q32" s="403"/>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12" t="s">
        <v>238</v>
      </c>
      <c r="B33" s="353"/>
      <c r="C33" s="353"/>
      <c r="D33" s="410">
        <f>$N$23</f>
        <v>825</v>
      </c>
      <c r="E33" s="381" t="s">
        <v>122</v>
      </c>
      <c r="F33" s="382" t="s">
        <v>8</v>
      </c>
      <c r="G33" s="406"/>
      <c r="H33" s="406"/>
      <c r="I33" s="411">
        <f>'Rider Rates'!$B$18+'Rider Rates'!$E$18</f>
        <v>0</v>
      </c>
      <c r="J33" s="411">
        <f>SUM(G33:I33)</f>
        <v>0</v>
      </c>
      <c r="K33" s="384"/>
      <c r="L33" s="250"/>
      <c r="M33" s="250"/>
      <c r="N33" s="250">
        <f>ROUND($D$33*'Rider Rates'!$B$18,2)+ROUND($D$33*'Rider Rates'!$E$18,2)</f>
        <v>0</v>
      </c>
      <c r="O33" s="250">
        <f t="shared" si="2"/>
        <v>0</v>
      </c>
      <c r="P33" s="378">
        <f>MAX('Rider Rates'!$D$18,'Rider Rates'!$F$18)</f>
        <v>44531</v>
      </c>
      <c r="Q33" s="403"/>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187</v>
      </c>
      <c r="B34" s="353"/>
      <c r="C34" s="353"/>
      <c r="D34" s="380">
        <f>C15</f>
        <v>0</v>
      </c>
      <c r="E34" s="381" t="s">
        <v>41</v>
      </c>
      <c r="F34" s="382" t="s">
        <v>8</v>
      </c>
      <c r="G34" s="406"/>
      <c r="H34" s="406"/>
      <c r="I34" s="406"/>
      <c r="J34" s="413">
        <f>SUM(G34:H34)</f>
        <v>0</v>
      </c>
      <c r="K34" s="384" t="s">
        <v>42</v>
      </c>
      <c r="L34" s="250">
        <f>ROUND(D34*G34,2)</f>
        <v>0</v>
      </c>
      <c r="M34" s="250"/>
      <c r="N34" s="250"/>
      <c r="O34" s="250">
        <f t="shared" si="2"/>
        <v>0</v>
      </c>
      <c r="P34" s="378">
        <f>'Rider Rates'!$D$22</f>
        <v>45444</v>
      </c>
      <c r="Q34" s="403"/>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x14ac:dyDescent="0.25">
      <c r="A35" s="412" t="s">
        <v>163</v>
      </c>
      <c r="B35" s="353"/>
      <c r="C35" s="353"/>
      <c r="D35" s="380">
        <f t="shared" ref="D35:D36" si="3">C16</f>
        <v>0</v>
      </c>
      <c r="E35" s="381" t="s">
        <v>41</v>
      </c>
      <c r="F35" s="382" t="s">
        <v>8</v>
      </c>
      <c r="G35" s="406"/>
      <c r="H35" s="406"/>
      <c r="I35" s="406"/>
      <c r="J35" s="413">
        <f>SUM(G35:H35)</f>
        <v>0</v>
      </c>
      <c r="K35" s="384" t="s">
        <v>42</v>
      </c>
      <c r="L35" s="250">
        <f>ROUND(D35*G35,2)</f>
        <v>0</v>
      </c>
      <c r="M35" s="250"/>
      <c r="N35" s="250"/>
      <c r="O35" s="250">
        <f t="shared" si="2"/>
        <v>0</v>
      </c>
      <c r="P35" s="378">
        <f>'Rider Rates'!$D$35</f>
        <v>45444</v>
      </c>
      <c r="Q35" s="403"/>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220</v>
      </c>
      <c r="B36" s="353"/>
      <c r="C36" s="353"/>
      <c r="D36" s="380">
        <f t="shared" si="3"/>
        <v>0</v>
      </c>
      <c r="E36" s="381" t="s">
        <v>41</v>
      </c>
      <c r="F36" s="375" t="s">
        <v>8</v>
      </c>
      <c r="G36" s="406"/>
      <c r="H36" s="406"/>
      <c r="I36" s="406"/>
      <c r="J36" s="413">
        <f>SUM(G36:H36)</f>
        <v>0</v>
      </c>
      <c r="K36" s="384" t="s">
        <v>42</v>
      </c>
      <c r="L36" s="250">
        <f>ROUND(D36*G36,2)</f>
        <v>0</v>
      </c>
      <c r="M36" s="250"/>
      <c r="N36" s="250"/>
      <c r="O36" s="250">
        <f t="shared" si="2"/>
        <v>0</v>
      </c>
      <c r="P36" s="378">
        <f>'Rider Rates'!D36</f>
        <v>45444</v>
      </c>
      <c r="Q36" s="403"/>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2" t="s">
        <v>194</v>
      </c>
      <c r="B37" s="353"/>
      <c r="C37" s="353"/>
      <c r="D37" s="380">
        <f>C16+C17</f>
        <v>0</v>
      </c>
      <c r="E37" s="381" t="s">
        <v>41</v>
      </c>
      <c r="F37" s="382" t="s">
        <v>8</v>
      </c>
      <c r="G37" s="406"/>
      <c r="H37" s="406"/>
      <c r="I37" s="406"/>
      <c r="J37" s="413">
        <f>SUM(G37:H37)</f>
        <v>0</v>
      </c>
      <c r="K37" s="384" t="s">
        <v>42</v>
      </c>
      <c r="L37" s="250">
        <f>ROUND(D37*G37,2)</f>
        <v>0</v>
      </c>
      <c r="M37" s="250"/>
      <c r="N37" s="250"/>
      <c r="O37" s="250">
        <f t="shared" si="2"/>
        <v>0</v>
      </c>
      <c r="P37" s="378">
        <f>'Rider Rates'!$D$45</f>
        <v>45383</v>
      </c>
      <c r="Q37" s="403"/>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4" t="s">
        <v>211</v>
      </c>
      <c r="B38" s="353"/>
      <c r="C38" s="353"/>
      <c r="D38" s="380">
        <f>IF($C$15&lt;0,0,IF($C$15&gt;833000,833000,$C$15))</f>
        <v>0</v>
      </c>
      <c r="E38" s="381" t="s">
        <v>41</v>
      </c>
      <c r="F38" s="382" t="s">
        <v>8</v>
      </c>
      <c r="G38" s="406"/>
      <c r="H38" s="406"/>
      <c r="I38" s="406">
        <f>'Rider Rates'!D49</f>
        <v>1.8006999999999999E-3</v>
      </c>
      <c r="J38" s="406">
        <f>SUM(G38:I38)</f>
        <v>1.8006999999999999E-3</v>
      </c>
      <c r="K38" s="384" t="s">
        <v>42</v>
      </c>
      <c r="L38" s="250"/>
      <c r="M38" s="250"/>
      <c r="N38" s="250">
        <f>D38*J38</f>
        <v>0</v>
      </c>
      <c r="O38" s="250">
        <f t="shared" si="2"/>
        <v>0</v>
      </c>
      <c r="P38" s="378">
        <f>'Rider Rates'!E49</f>
        <v>45474</v>
      </c>
      <c r="Q38" s="403"/>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2" t="s">
        <v>190</v>
      </c>
      <c r="B39" s="353"/>
      <c r="C39" s="353"/>
      <c r="D39" s="380">
        <f>IF($C$15&lt;0,0,$C$15)</f>
        <v>0</v>
      </c>
      <c r="E39" s="415" t="s">
        <v>41</v>
      </c>
      <c r="F39" s="382" t="s">
        <v>8</v>
      </c>
      <c r="G39" s="406"/>
      <c r="H39" s="406">
        <f>'Rider Rates'!$B$56</f>
        <v>2.3467399999999999E-2</v>
      </c>
      <c r="I39" s="406"/>
      <c r="J39" s="406">
        <f>SUM(G39:I39)</f>
        <v>2.3467399999999999E-2</v>
      </c>
      <c r="K39" s="384" t="s">
        <v>42</v>
      </c>
      <c r="L39" s="250"/>
      <c r="M39" s="250">
        <f>ROUND(D39*H39,2)</f>
        <v>0</v>
      </c>
      <c r="N39" s="416"/>
      <c r="O39" s="250">
        <f t="shared" si="2"/>
        <v>0</v>
      </c>
      <c r="P39" s="378">
        <f>'Rider Rates'!$D$56</f>
        <v>45383</v>
      </c>
      <c r="Q39" s="403"/>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04" t="s">
        <v>96</v>
      </c>
      <c r="B40" s="353"/>
      <c r="C40" s="353"/>
      <c r="D40" s="380">
        <f>IF('Customer Info'!C34=TRUE,0,IF($C$15&lt;0,0,$C$15))</f>
        <v>0</v>
      </c>
      <c r="E40" s="381" t="s">
        <v>41</v>
      </c>
      <c r="F40" s="382" t="s">
        <v>8</v>
      </c>
      <c r="G40" s="406"/>
      <c r="H40" s="406"/>
      <c r="I40" s="406">
        <f>'Rider Rates'!$B$68+'Rider Rates'!$C$68</f>
        <v>0</v>
      </c>
      <c r="J40" s="406">
        <f t="shared" si="0"/>
        <v>0</v>
      </c>
      <c r="K40" s="384" t="s">
        <v>42</v>
      </c>
      <c r="L40" s="250"/>
      <c r="M40" s="250"/>
      <c r="N40" s="250">
        <f>ROUND($D$40*'Rider Rates'!$B$68,2)+ROUND($D$40*'Rider Rates'!$C$68,2)</f>
        <v>0</v>
      </c>
      <c r="O40" s="250">
        <f t="shared" si="2"/>
        <v>0</v>
      </c>
      <c r="P40" s="378">
        <f>'Rider Rates'!$D$68</f>
        <v>45444</v>
      </c>
      <c r="Q40" s="403"/>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c r="E41" s="381" t="s">
        <v>115</v>
      </c>
      <c r="F41" s="382"/>
      <c r="G41" s="406"/>
      <c r="H41" s="406"/>
      <c r="I41" s="420">
        <f>'Rider Rates'!$B$75</f>
        <v>0</v>
      </c>
      <c r="J41" s="420">
        <f>IF('Customer Info'!C34=TRUE,0,SUM(G41:I41))</f>
        <v>0</v>
      </c>
      <c r="K41" s="384"/>
      <c r="L41" s="250"/>
      <c r="M41" s="250"/>
      <c r="N41" s="250">
        <f>J41</f>
        <v>0</v>
      </c>
      <c r="O41" s="250">
        <f>SUM(L41:N41)</f>
        <v>0</v>
      </c>
      <c r="P41" s="378">
        <f>'Rider Rates'!$D$75</f>
        <v>45444</v>
      </c>
      <c r="Q41" s="403"/>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$N$23</f>
        <v>825</v>
      </c>
      <c r="E42" s="381" t="s">
        <v>122</v>
      </c>
      <c r="F42" s="382" t="s">
        <v>8</v>
      </c>
      <c r="G42" s="417"/>
      <c r="H42" s="373"/>
      <c r="I42" s="418">
        <f>'Rider Rates'!$B$83</f>
        <v>2.9347000000000002E-2</v>
      </c>
      <c r="J42" s="418">
        <f t="shared" si="0"/>
        <v>2.9347000000000002E-2</v>
      </c>
      <c r="K42" s="384"/>
      <c r="L42" s="250"/>
      <c r="M42" s="250"/>
      <c r="N42" s="250">
        <f>ROUND(D42*I42,2)</f>
        <v>24.21</v>
      </c>
      <c r="O42" s="250">
        <f t="shared" si="2"/>
        <v>24.21</v>
      </c>
      <c r="P42" s="378">
        <f>'Rider Rates'!$D$83</f>
        <v>45383</v>
      </c>
      <c r="Q42" s="403"/>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$N$23</f>
        <v>825</v>
      </c>
      <c r="E43" s="381" t="s">
        <v>122</v>
      </c>
      <c r="F43" s="382" t="s">
        <v>8</v>
      </c>
      <c r="G43" s="419"/>
      <c r="H43" s="373"/>
      <c r="I43" s="418">
        <f>'Rider Rates'!$B$85</f>
        <v>6.6985699999999995E-2</v>
      </c>
      <c r="J43" s="418">
        <f t="shared" si="0"/>
        <v>6.6985699999999995E-2</v>
      </c>
      <c r="K43" s="384"/>
      <c r="L43" s="250"/>
      <c r="M43" s="250"/>
      <c r="N43" s="250">
        <f>ROUND(D43*I43,2)</f>
        <v>55.26</v>
      </c>
      <c r="O43" s="250">
        <f t="shared" si="2"/>
        <v>55.26</v>
      </c>
      <c r="P43" s="378">
        <f>'Rider Rates'!$D$85</f>
        <v>45167</v>
      </c>
      <c r="Q43" s="403"/>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Rates'!$B$89</f>
        <v>11.97</v>
      </c>
      <c r="J44" s="420">
        <f t="shared" si="0"/>
        <v>11.97</v>
      </c>
      <c r="K44" s="384"/>
      <c r="L44" s="250"/>
      <c r="M44" s="250"/>
      <c r="N44" s="250">
        <f>I44</f>
        <v>11.97</v>
      </c>
      <c r="O44" s="250">
        <f t="shared" si="2"/>
        <v>11.97</v>
      </c>
      <c r="P44" s="378">
        <f>'Rider Rates'!$D$89</f>
        <v>45442</v>
      </c>
      <c r="Q44" s="403"/>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IF($C$15&lt;0,0,$C$15)</f>
        <v>0</v>
      </c>
      <c r="E45" s="381" t="s">
        <v>41</v>
      </c>
      <c r="F45" s="382" t="s">
        <v>8</v>
      </c>
      <c r="G45" s="406"/>
      <c r="H45" s="406"/>
      <c r="I45" s="406"/>
      <c r="J45" s="406">
        <f>'Rider Rates'!$B$93</f>
        <v>0</v>
      </c>
      <c r="K45" s="384" t="s">
        <v>42</v>
      </c>
      <c r="L45" s="250"/>
      <c r="M45" s="250"/>
      <c r="N45" s="250"/>
      <c r="O45" s="250">
        <f>ROUND($D45*('Rider Rates'!B$93),2)</f>
        <v>0</v>
      </c>
      <c r="P45" s="378">
        <f>'Rider Rates'!$D$93</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$N$23</f>
        <v>825</v>
      </c>
      <c r="E46" s="381" t="s">
        <v>122</v>
      </c>
      <c r="F46" s="382" t="s">
        <v>8</v>
      </c>
      <c r="G46" s="419"/>
      <c r="H46" s="373"/>
      <c r="I46" s="418">
        <f>'Rider Rates'!$B$103</f>
        <v>0.21398439999999999</v>
      </c>
      <c r="J46" s="418">
        <f t="shared" si="0"/>
        <v>0.21398439999999999</v>
      </c>
      <c r="K46" s="384"/>
      <c r="L46" s="250"/>
      <c r="M46" s="250"/>
      <c r="N46" s="250">
        <f>ROUND(D46*I46,2)</f>
        <v>176.54</v>
      </c>
      <c r="O46" s="250">
        <f t="shared" si="2"/>
        <v>176.54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Rates'!$B$107</f>
        <v>0</v>
      </c>
      <c r="J47" s="420">
        <f t="shared" si="0"/>
        <v>0</v>
      </c>
      <c r="K47" s="384"/>
      <c r="L47" s="250"/>
      <c r="M47" s="250"/>
      <c r="N47" s="250">
        <f>I47</f>
        <v>0</v>
      </c>
      <c r="O47" s="250">
        <f t="shared" si="2"/>
        <v>0</v>
      </c>
      <c r="P47" s="378">
        <f>'Rider Rates'!$D$107</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Rates'!B120</f>
        <v>5.83</v>
      </c>
      <c r="J48" s="420">
        <f t="shared" si="0"/>
        <v>5.83</v>
      </c>
      <c r="K48" s="384"/>
      <c r="L48" s="250"/>
      <c r="M48" s="250"/>
      <c r="N48" s="422">
        <f>I48</f>
        <v>5.83</v>
      </c>
      <c r="O48" s="250">
        <f t="shared" si="2"/>
        <v>5.83</v>
      </c>
      <c r="P48" s="378">
        <f>'Rider Rates'!D120</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36" x14ac:dyDescent="0.25">
      <c r="A49" s="404" t="s">
        <v>158</v>
      </c>
      <c r="B49" s="353"/>
      <c r="C49" s="353"/>
      <c r="D49" s="380">
        <f>C16+C17</f>
        <v>0</v>
      </c>
      <c r="E49" s="381" t="s">
        <v>41</v>
      </c>
      <c r="F49" s="382" t="s">
        <v>8</v>
      </c>
      <c r="G49" s="406"/>
      <c r="H49" s="406"/>
      <c r="I49" s="418"/>
      <c r="J49" s="413">
        <f>SUM(G49:H49)</f>
        <v>0</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36" x14ac:dyDescent="0.25">
      <c r="A50" s="412" t="s">
        <v>209</v>
      </c>
      <c r="B50" s="353"/>
      <c r="C50" s="353"/>
      <c r="D50" s="380">
        <f>IF($C$15&lt;1,0,$C$15)</f>
        <v>0</v>
      </c>
      <c r="E50" s="381" t="s">
        <v>41</v>
      </c>
      <c r="F50" s="375" t="s">
        <v>8</v>
      </c>
      <c r="G50" s="383"/>
      <c r="H50" s="383"/>
      <c r="I50" s="423">
        <f>'Rider Rates'!B116</f>
        <v>-6.2E-4</v>
      </c>
      <c r="J50" s="423">
        <f>SUM(G50:I50)</f>
        <v>-6.2E-4</v>
      </c>
      <c r="K50" s="384" t="s">
        <v>42</v>
      </c>
      <c r="L50" s="250"/>
      <c r="M50" s="250"/>
      <c r="N50" s="250">
        <f>D50*J50</f>
        <v>0</v>
      </c>
      <c r="O50" s="250">
        <f>SUM(L50:N50)</f>
        <v>0</v>
      </c>
      <c r="P50" s="378">
        <f>'Rider Rates'!D116</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36" x14ac:dyDescent="0.25">
      <c r="A51" s="353" t="s">
        <v>234</v>
      </c>
      <c r="B51" s="353"/>
      <c r="C51" s="353"/>
      <c r="D51" s="380">
        <f>IF(C15&lt;0,0,IF(C15&gt;833000,833000,C15))</f>
        <v>0</v>
      </c>
      <c r="E51" s="381" t="s">
        <v>41</v>
      </c>
      <c r="F51" s="382" t="s">
        <v>8</v>
      </c>
      <c r="G51" s="457"/>
      <c r="H51" s="457"/>
      <c r="I51" s="457">
        <f>'Rider Rates'!$B$124</f>
        <v>2.9050000000000001E-4</v>
      </c>
      <c r="J51" s="457">
        <f>SUM(G51:I51)</f>
        <v>2.9050000000000001E-4</v>
      </c>
      <c r="K51" s="384" t="s">
        <v>42</v>
      </c>
      <c r="L51" s="458"/>
      <c r="M51" s="458"/>
      <c r="N51" s="458">
        <f>IF(D51*J51&gt;'Rider Rates'!$C$124,'Rider Rates'!$C$124,D51*J51)</f>
        <v>0</v>
      </c>
      <c r="O51" s="458">
        <f>SUM(L51:N51)</f>
        <v>0</v>
      </c>
      <c r="P51" s="426">
        <f>'Rider Rates'!$E$124</f>
        <v>45292</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36" x14ac:dyDescent="0.25">
      <c r="A52" s="353" t="s">
        <v>235</v>
      </c>
      <c r="B52" s="353"/>
      <c r="C52" s="353"/>
      <c r="D52" s="408">
        <f>IF(C15&gt;833000,C15-833000,0)</f>
        <v>0</v>
      </c>
      <c r="E52" s="381" t="s">
        <v>41</v>
      </c>
      <c r="F52" s="382" t="s">
        <v>8</v>
      </c>
      <c r="G52" s="457"/>
      <c r="H52" s="457"/>
      <c r="I52" s="457">
        <f>'Rider Rates'!$B$125</f>
        <v>0</v>
      </c>
      <c r="J52" s="457">
        <f>SUM(G52:I52)</f>
        <v>0</v>
      </c>
      <c r="K52" s="384" t="s">
        <v>42</v>
      </c>
      <c r="L52" s="458"/>
      <c r="M52" s="458"/>
      <c r="N52" s="458">
        <f>D52*J52</f>
        <v>0</v>
      </c>
      <c r="O52" s="458">
        <f>SUM(L52:N52)</f>
        <v>0</v>
      </c>
      <c r="P52" s="426">
        <f>'Rider Rates'!$E$125</f>
        <v>44927</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36" x14ac:dyDescent="0.25">
      <c r="A53" s="414" t="s">
        <v>243</v>
      </c>
      <c r="B53" s="353"/>
      <c r="C53" s="353"/>
      <c r="D53" s="380">
        <f>C15</f>
        <v>0</v>
      </c>
      <c r="E53" s="381" t="s">
        <v>41</v>
      </c>
      <c r="F53" s="375" t="s">
        <v>8</v>
      </c>
      <c r="G53" s="406"/>
      <c r="H53" s="406"/>
      <c r="I53" s="406">
        <f>'Rider Rates'!$B$129</f>
        <v>0</v>
      </c>
      <c r="J53" s="413">
        <f>SUM(G53:I53)</f>
        <v>0</v>
      </c>
      <c r="K53" s="384" t="s">
        <v>42</v>
      </c>
      <c r="L53" s="250"/>
      <c r="M53" s="250"/>
      <c r="N53" s="250">
        <f>D53*J53</f>
        <v>0</v>
      </c>
      <c r="O53" s="250">
        <f>SUM(L53:N53)</f>
        <v>0</v>
      </c>
      <c r="P53" s="378">
        <f>'Rider Rates'!$D$129</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36" x14ac:dyDescent="0.25">
      <c r="A54" s="414" t="s">
        <v>242</v>
      </c>
      <c r="B54" s="353"/>
      <c r="C54" s="353"/>
      <c r="D54" s="380"/>
      <c r="E54" s="381" t="s">
        <v>115</v>
      </c>
      <c r="F54" s="382" t="s">
        <v>8</v>
      </c>
      <c r="G54" s="424"/>
      <c r="H54" s="424"/>
      <c r="I54" s="424">
        <f>'Rider Rates'!$B$136</f>
        <v>0</v>
      </c>
      <c r="J54" s="424">
        <f>SUM(G54:I54)</f>
        <v>0</v>
      </c>
      <c r="K54" s="384"/>
      <c r="L54" s="425"/>
      <c r="M54" s="425"/>
      <c r="N54" s="425">
        <f>J54</f>
        <v>0</v>
      </c>
      <c r="O54" s="425">
        <f>SUM(L54:N54)</f>
        <v>0</v>
      </c>
      <c r="P54" s="426">
        <f>'Rider Rates'!$D$136</f>
        <v>44531</v>
      </c>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36" x14ac:dyDescent="0.25">
      <c r="A55" s="414" t="s">
        <v>244</v>
      </c>
      <c r="B55" s="353"/>
      <c r="C55" s="353"/>
      <c r="D55" s="380"/>
      <c r="E55" s="381"/>
      <c r="F55" s="382"/>
      <c r="G55" s="424"/>
      <c r="H55" s="424"/>
      <c r="I55" s="424"/>
      <c r="J55" s="424"/>
      <c r="K55" s="384"/>
      <c r="L55" s="425"/>
      <c r="M55" s="425"/>
      <c r="N55" s="425"/>
      <c r="O55" s="425"/>
      <c r="P55" s="426"/>
      <c r="Q55" s="403"/>
      <c r="R55" s="400"/>
      <c r="S55" s="394"/>
      <c r="T55" s="395"/>
      <c r="U55" s="353"/>
      <c r="V55" s="396"/>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36" ht="13" x14ac:dyDescent="0.3">
      <c r="A56" s="427" t="s">
        <v>71</v>
      </c>
      <c r="B56" s="364"/>
      <c r="C56" s="364"/>
      <c r="D56" s="428"/>
      <c r="E56" s="429"/>
      <c r="F56" s="430"/>
      <c r="G56" s="430"/>
      <c r="H56" s="430"/>
      <c r="I56" s="430"/>
      <c r="J56" s="430"/>
      <c r="K56" s="431"/>
      <c r="L56" s="432">
        <f>SUM(L27:L55)</f>
        <v>0</v>
      </c>
      <c r="M56" s="432">
        <f t="shared" ref="M56:O56" si="4">SUM(M27:M55)</f>
        <v>0</v>
      </c>
      <c r="N56" s="432">
        <f t="shared" si="4"/>
        <v>273.81</v>
      </c>
      <c r="O56" s="432">
        <f t="shared" si="4"/>
        <v>273.81</v>
      </c>
      <c r="P56" s="433"/>
      <c r="Q56" s="403"/>
      <c r="R56" s="400"/>
      <c r="S56" s="394"/>
      <c r="T56" s="395"/>
      <c r="U56" s="353"/>
      <c r="V56" s="396"/>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36" x14ac:dyDescent="0.25">
      <c r="A57" s="353"/>
      <c r="B57" s="353"/>
      <c r="C57" s="353"/>
      <c r="D57" s="380"/>
      <c r="E57" s="415"/>
      <c r="F57" s="403"/>
      <c r="G57" s="403"/>
      <c r="H57" s="403"/>
      <c r="I57" s="403"/>
      <c r="J57" s="400"/>
      <c r="K57" s="384"/>
      <c r="L57" s="403"/>
      <c r="M57" s="403"/>
      <c r="N57" s="403"/>
      <c r="O57" s="403"/>
      <c r="P57" s="435"/>
      <c r="Q57" s="403"/>
      <c r="R57" s="400"/>
      <c r="S57" s="394"/>
      <c r="T57" s="395"/>
      <c r="U57" s="353"/>
      <c r="V57" s="396"/>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36" ht="13" x14ac:dyDescent="0.3">
      <c r="A58" s="464" t="s">
        <v>94</v>
      </c>
      <c r="B58" s="397"/>
      <c r="C58" s="397"/>
      <c r="D58" s="397"/>
      <c r="E58" s="397"/>
      <c r="F58" s="397"/>
      <c r="G58" s="397"/>
      <c r="H58" s="397"/>
      <c r="I58" s="397"/>
      <c r="J58" s="397"/>
      <c r="K58" s="397"/>
      <c r="L58" s="436">
        <f>L23+L56</f>
        <v>0</v>
      </c>
      <c r="M58" s="436">
        <f>M23+M56</f>
        <v>0</v>
      </c>
      <c r="N58" s="436">
        <f>N23+N56</f>
        <v>1098.81</v>
      </c>
      <c r="O58" s="437">
        <f>O23+O56</f>
        <v>1098.81</v>
      </c>
      <c r="P58" s="437"/>
      <c r="Q58" s="403"/>
      <c r="R58" s="460"/>
      <c r="S58" s="394"/>
      <c r="T58" s="395"/>
      <c r="U58" s="353"/>
      <c r="V58" s="394"/>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36" ht="13" x14ac:dyDescent="0.3">
      <c r="A59" s="353"/>
      <c r="B59" s="353"/>
      <c r="C59" s="353"/>
      <c r="D59" s="353"/>
      <c r="E59" s="353"/>
      <c r="F59" s="353"/>
      <c r="G59" s="353"/>
      <c r="H59" s="353"/>
      <c r="I59" s="353"/>
      <c r="J59" s="353"/>
      <c r="K59" s="353"/>
      <c r="L59" s="353"/>
      <c r="M59" s="353"/>
      <c r="Q59" s="401"/>
      <c r="R59" s="401"/>
      <c r="S59" s="401"/>
      <c r="T59" s="434"/>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36" ht="13" x14ac:dyDescent="0.3">
      <c r="A60" s="353"/>
      <c r="B60" s="353"/>
      <c r="C60" s="353"/>
      <c r="D60" s="353"/>
      <c r="E60" s="353"/>
      <c r="F60" s="353"/>
      <c r="G60" s="353"/>
      <c r="H60" s="353"/>
      <c r="I60" s="353"/>
      <c r="J60" s="353"/>
      <c r="K60" s="353"/>
      <c r="L60" s="353"/>
      <c r="M60" s="353"/>
      <c r="Q60" s="401"/>
      <c r="R60" s="401"/>
      <c r="S60" s="401"/>
      <c r="T60" s="434"/>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36" ht="13" x14ac:dyDescent="0.3">
      <c r="A61" s="401" t="s">
        <v>93</v>
      </c>
      <c r="B61" s="353"/>
      <c r="C61" s="353"/>
      <c r="D61" s="353"/>
      <c r="E61" s="353"/>
      <c r="F61" s="353"/>
      <c r="G61" s="353"/>
      <c r="H61" s="353"/>
      <c r="I61" s="353"/>
      <c r="J61" s="353"/>
      <c r="K61" s="353"/>
      <c r="L61" s="353"/>
      <c r="M61" s="353"/>
      <c r="N61" s="353"/>
      <c r="O61" s="395">
        <f>O21+O56</f>
        <v>1098.81</v>
      </c>
      <c r="Q61" s="401"/>
      <c r="R61" s="401"/>
      <c r="S61" s="401"/>
      <c r="T61" s="434"/>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36" ht="13" x14ac:dyDescent="0.3">
      <c r="A62" s="401" t="s">
        <v>15</v>
      </c>
      <c r="B62" s="401"/>
      <c r="C62" s="401"/>
      <c r="D62" s="401"/>
      <c r="E62" s="401"/>
      <c r="F62" s="401"/>
      <c r="G62" s="401"/>
      <c r="H62" s="401"/>
      <c r="I62" s="353"/>
      <c r="J62" s="353"/>
      <c r="K62" s="353"/>
      <c r="L62" s="353"/>
      <c r="M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36" ht="13" x14ac:dyDescent="0.3">
      <c r="A63" s="364" t="s">
        <v>117</v>
      </c>
      <c r="O63" s="440">
        <f>IF($D$17&lt;0,O58,IF(O58&gt;O61,O58,O61))</f>
        <v>1098.81</v>
      </c>
      <c r="P63" s="441"/>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3"/>
      <c r="EU63" s="353"/>
      <c r="EV63" s="353"/>
      <c r="EW63" s="353"/>
      <c r="EX63" s="353"/>
      <c r="EY63" s="353"/>
      <c r="EZ63" s="353"/>
      <c r="FA63" s="353"/>
      <c r="FB63" s="353"/>
      <c r="FC63" s="353"/>
      <c r="FD63" s="353"/>
      <c r="FE63" s="353"/>
      <c r="FF63" s="353"/>
      <c r="FG63" s="353"/>
      <c r="FH63" s="353"/>
      <c r="FI63" s="353"/>
      <c r="FJ63" s="353"/>
      <c r="FK63" s="353"/>
      <c r="FL63" s="353"/>
      <c r="FM63" s="353"/>
      <c r="FN63" s="353"/>
      <c r="FO63" s="353"/>
      <c r="FP63" s="353"/>
      <c r="FQ63" s="353"/>
      <c r="FR63" s="353"/>
      <c r="FS63" s="353"/>
      <c r="FT63" s="353"/>
      <c r="FU63" s="353"/>
      <c r="FV63" s="353"/>
      <c r="FW63" s="353"/>
      <c r="FX63" s="353"/>
      <c r="FY63" s="353"/>
      <c r="FZ63" s="353"/>
      <c r="GA63" s="353"/>
      <c r="GB63" s="353"/>
      <c r="GC63" s="353"/>
      <c r="GD63" s="353"/>
      <c r="GE63" s="353"/>
      <c r="GF63" s="353"/>
      <c r="GG63" s="353"/>
      <c r="GH63" s="353"/>
      <c r="GI63" s="353"/>
      <c r="GJ63" s="353"/>
      <c r="GK63" s="353"/>
      <c r="GL63" s="353"/>
      <c r="GM63" s="353"/>
      <c r="GN63" s="353"/>
      <c r="GO63" s="353"/>
      <c r="GP63" s="353"/>
      <c r="GQ63" s="353"/>
      <c r="GR63" s="353"/>
      <c r="GS63" s="353"/>
      <c r="GT63" s="353"/>
      <c r="GU63" s="353"/>
      <c r="GV63" s="353"/>
      <c r="GW63" s="353"/>
      <c r="GX63" s="353"/>
      <c r="GY63" s="353"/>
      <c r="GZ63" s="353"/>
      <c r="HA63" s="353"/>
      <c r="HB63" s="353"/>
      <c r="HC63" s="353"/>
      <c r="HD63" s="353"/>
      <c r="HE63" s="353"/>
      <c r="HF63" s="353"/>
      <c r="HG63" s="353"/>
      <c r="HH63" s="353"/>
      <c r="HI63" s="353"/>
      <c r="HJ63" s="353"/>
      <c r="HK63" s="353"/>
      <c r="HL63" s="353"/>
      <c r="HM63" s="353"/>
    </row>
    <row r="64" spans="1:236" ht="15" customHeight="1" x14ac:dyDescent="0.3">
      <c r="A64" s="364"/>
      <c r="O64" s="440"/>
      <c r="P64" s="441"/>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c r="BX64" s="353"/>
      <c r="BY64" s="353"/>
      <c r="BZ64" s="353"/>
      <c r="CA64" s="353"/>
      <c r="CB64" s="353"/>
      <c r="CC64" s="353"/>
      <c r="CD64" s="353"/>
      <c r="CE64" s="353"/>
      <c r="CF64" s="353"/>
      <c r="CG64" s="353"/>
      <c r="CH64" s="353"/>
      <c r="CI64" s="353"/>
      <c r="CJ64" s="353"/>
      <c r="CK64" s="353"/>
      <c r="CL64" s="353"/>
      <c r="CM64" s="353"/>
      <c r="CN64" s="353"/>
      <c r="CO64" s="353"/>
      <c r="CP64" s="353"/>
      <c r="CQ64" s="353"/>
      <c r="CR64" s="353"/>
      <c r="CS64" s="353"/>
      <c r="CT64" s="353"/>
      <c r="CU64" s="353"/>
      <c r="CV64" s="353"/>
      <c r="CW64" s="353"/>
      <c r="CX64" s="353"/>
      <c r="CY64" s="353"/>
      <c r="CZ64" s="353"/>
      <c r="DA64" s="353"/>
      <c r="DB64" s="353"/>
      <c r="DC64" s="353"/>
      <c r="DD64" s="353"/>
      <c r="DE64" s="353"/>
      <c r="DF64" s="353"/>
      <c r="DG64" s="353"/>
      <c r="DH64" s="353"/>
      <c r="DI64" s="353"/>
      <c r="DJ64" s="353"/>
      <c r="DK64" s="353"/>
      <c r="DL64" s="353"/>
      <c r="DM64" s="353"/>
      <c r="DN64" s="353"/>
      <c r="DO64" s="353"/>
      <c r="DP64" s="353"/>
      <c r="DQ64" s="353"/>
      <c r="DR64" s="353"/>
      <c r="DS64" s="353"/>
      <c r="DT64" s="353"/>
      <c r="DU64" s="353"/>
      <c r="DV64" s="353"/>
      <c r="DW64" s="353"/>
      <c r="DX64" s="353"/>
      <c r="DY64" s="353"/>
      <c r="DZ64" s="353"/>
      <c r="EA64" s="353"/>
      <c r="EB64" s="353"/>
      <c r="EC64" s="353"/>
      <c r="ED64" s="353"/>
      <c r="EE64" s="353"/>
      <c r="EF64" s="353"/>
      <c r="EG64" s="353"/>
      <c r="EH64" s="353"/>
      <c r="EI64" s="353"/>
      <c r="EJ64" s="353"/>
      <c r="EK64" s="353"/>
      <c r="EL64" s="353"/>
      <c r="EM64" s="353"/>
      <c r="EN64" s="353"/>
      <c r="EO64" s="353"/>
      <c r="EP64" s="353"/>
      <c r="EQ64" s="353"/>
      <c r="ER64" s="353"/>
      <c r="ES64" s="353"/>
      <c r="ET64" s="353"/>
      <c r="EU64" s="353"/>
      <c r="EV64" s="353"/>
      <c r="EW64" s="353"/>
      <c r="EX64" s="353"/>
      <c r="EY64" s="353"/>
      <c r="EZ64" s="353"/>
      <c r="FA64" s="353"/>
      <c r="FB64" s="353"/>
      <c r="FC64" s="353"/>
      <c r="FD64" s="353"/>
      <c r="FE64" s="353"/>
      <c r="FF64" s="353"/>
      <c r="FG64" s="353"/>
      <c r="FH64" s="353"/>
      <c r="FI64" s="353"/>
      <c r="FJ64" s="353"/>
      <c r="FK64" s="353"/>
      <c r="FL64" s="353"/>
      <c r="FM64" s="353"/>
      <c r="FN64" s="353"/>
      <c r="FO64" s="353"/>
      <c r="FP64" s="353"/>
      <c r="FQ64" s="353"/>
      <c r="FR64" s="353"/>
      <c r="FS64" s="353"/>
      <c r="FT64" s="353"/>
      <c r="FU64" s="353"/>
      <c r="FV64" s="353"/>
      <c r="FW64" s="353"/>
      <c r="FX64" s="353"/>
      <c r="FY64" s="353"/>
      <c r="FZ64" s="353"/>
      <c r="GA64" s="353"/>
      <c r="GB64" s="353"/>
      <c r="GC64" s="353"/>
      <c r="GD64" s="353"/>
      <c r="GE64" s="353"/>
      <c r="GF64" s="353"/>
      <c r="GG64" s="353"/>
      <c r="GH64" s="353"/>
      <c r="GI64" s="353"/>
      <c r="GJ64" s="353"/>
      <c r="GK64" s="353"/>
      <c r="GL64" s="353"/>
      <c r="GM64" s="353"/>
      <c r="GN64" s="353"/>
      <c r="GO64" s="353"/>
      <c r="GP64" s="353"/>
      <c r="GQ64" s="353"/>
      <c r="GR64" s="353"/>
      <c r="GS64" s="353"/>
      <c r="GT64" s="353"/>
      <c r="GU64" s="353"/>
      <c r="GV64" s="353"/>
      <c r="GW64" s="353"/>
      <c r="GX64" s="353"/>
      <c r="GY64" s="353"/>
      <c r="GZ64" s="353"/>
      <c r="HA64" s="353"/>
      <c r="HB64" s="353"/>
      <c r="HC64" s="353"/>
      <c r="HD64" s="353"/>
      <c r="HE64" s="353"/>
      <c r="HF64" s="353"/>
      <c r="HG64" s="353"/>
      <c r="HH64" s="353"/>
      <c r="HI64" s="353"/>
      <c r="HJ64" s="353"/>
      <c r="HK64" s="353"/>
      <c r="HL64" s="353"/>
      <c r="HM64" s="353"/>
      <c r="HN64" s="353"/>
      <c r="HO64" s="353"/>
      <c r="HP64" s="353"/>
      <c r="HQ64" s="353"/>
      <c r="HR64" s="353"/>
      <c r="HS64" s="353"/>
      <c r="HT64" s="353"/>
      <c r="HU64" s="353"/>
      <c r="HV64" s="353"/>
      <c r="HW64" s="353"/>
      <c r="HX64" s="353"/>
      <c r="HY64" s="353"/>
      <c r="HZ64" s="353"/>
      <c r="IA64" s="353"/>
      <c r="IB64" s="353"/>
    </row>
    <row r="65" spans="1:222" ht="13" x14ac:dyDescent="0.3">
      <c r="A65" s="364"/>
      <c r="B65" s="401"/>
      <c r="C65" s="401"/>
      <c r="D65" s="401"/>
      <c r="E65" s="401"/>
      <c r="F65" s="401"/>
      <c r="G65" s="401"/>
      <c r="H65" s="401"/>
      <c r="I65" s="401" t="s">
        <v>121</v>
      </c>
      <c r="J65" s="401"/>
      <c r="K65" s="401"/>
      <c r="L65" s="442"/>
      <c r="M65" s="442"/>
      <c r="N65" s="442"/>
      <c r="O65" s="442">
        <f>ROUND(IF($C$15&lt;1,0,O58/($C$15*100)*10000),2)</f>
        <v>0</v>
      </c>
      <c r="P65" s="387" t="s">
        <v>87</v>
      </c>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HE65" s="353"/>
      <c r="HF65" s="353"/>
      <c r="HG65" s="353"/>
      <c r="HH65" s="353"/>
      <c r="HI65" s="353"/>
      <c r="HJ65" s="353"/>
      <c r="HK65" s="353"/>
      <c r="HL65" s="353"/>
      <c r="HM65" s="353"/>
      <c r="HN65" s="353"/>
    </row>
    <row r="66" spans="1:222" ht="13" x14ac:dyDescent="0.3">
      <c r="B66" s="353"/>
      <c r="C66" s="353"/>
      <c r="D66" s="353"/>
      <c r="E66" s="353"/>
      <c r="F66" s="353"/>
      <c r="G66" s="353"/>
      <c r="H66" s="461"/>
      <c r="I66" s="443" t="s">
        <v>191</v>
      </c>
      <c r="J66" s="353"/>
      <c r="K66" s="353"/>
      <c r="L66" s="353"/>
      <c r="M66" s="353"/>
      <c r="N66" s="353"/>
      <c r="O66" s="444">
        <f>ROUND(IF($C$15&lt;1,0,(L58)/($C$15*100)*10000),2)</f>
        <v>0</v>
      </c>
      <c r="P66" s="356" t="s">
        <v>87</v>
      </c>
      <c r="Q66" s="353"/>
      <c r="R66" s="353"/>
      <c r="S66" s="353"/>
      <c r="T66" s="353"/>
      <c r="U66" s="353"/>
      <c r="V66" s="353"/>
      <c r="W66" s="353"/>
      <c r="X66" s="353"/>
      <c r="Y66" s="353"/>
      <c r="Z66" s="353"/>
      <c r="AA66" s="353"/>
      <c r="AB66" s="353"/>
      <c r="AC66" s="353"/>
      <c r="AD66" s="353"/>
      <c r="AE66" s="353"/>
      <c r="AF66" s="353"/>
      <c r="AG66" s="353"/>
      <c r="AH66" s="353"/>
      <c r="AI66" s="353"/>
      <c r="AJ66" s="353"/>
      <c r="AK66" s="353"/>
    </row>
  </sheetData>
  <sheetProtection algorithmName="SHA-512" hashValue="hGDV+bo5PGwvFlatX+JRdg4ZnB7vAF6JxvUNOo/y2yXlGaBPHqhAq610810s1h+d4bosC5hYbvCaYAegpWs7yw==" saltValue="+oFoqWSGOaF5GMi/OSwq5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57150</xdr:colOff>
                    <xdr:row>0</xdr:row>
                    <xdr:rowOff>38100</xdr:rowOff>
                  </from>
                  <to>
                    <xdr:col>0</xdr:col>
                    <xdr:colOff>571500</xdr:colOff>
                    <xdr:row>3</xdr:row>
                    <xdr:rowOff>50800</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285750</xdr:colOff>
                    <xdr:row>73</xdr:row>
                    <xdr:rowOff>76200</xdr:rowOff>
                  </from>
                  <to>
                    <xdr:col>15</xdr:col>
                    <xdr:colOff>812800</xdr:colOff>
                    <xdr:row>74</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69850</xdr:colOff>
                    <xdr:row>0</xdr:row>
                    <xdr:rowOff>76200</xdr:rowOff>
                  </from>
                  <to>
                    <xdr:col>0</xdr:col>
                    <xdr:colOff>584200</xdr:colOff>
                    <xdr:row>3</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5"/>
  <sheetViews>
    <sheetView workbookViewId="0">
      <selection activeCell="I36" sqref="I36"/>
    </sheetView>
  </sheetViews>
  <sheetFormatPr defaultRowHeight="12.5" x14ac:dyDescent="0.25"/>
  <cols>
    <col min="1" max="1" width="70.1796875" bestFit="1" customWidth="1"/>
    <col min="2" max="2" width="13.453125" style="276" bestFit="1" customWidth="1"/>
    <col min="3" max="3" width="12.26953125" style="276" customWidth="1"/>
    <col min="4" max="4" width="13.54296875" style="276" bestFit="1" customWidth="1"/>
    <col min="5" max="5" width="11.7265625" style="18" bestFit="1" customWidth="1"/>
    <col min="6" max="6" width="13.54296875" style="18" bestFit="1" customWidth="1"/>
    <col min="7" max="7" width="15.54296875" style="18" customWidth="1"/>
    <col min="8" max="8" width="11.7265625" style="18" bestFit="1" customWidth="1"/>
  </cols>
  <sheetData>
    <row r="1" spans="1:10" ht="13" x14ac:dyDescent="0.3">
      <c r="A1" s="79" t="s">
        <v>133</v>
      </c>
      <c r="B1" s="305" t="s">
        <v>1</v>
      </c>
      <c r="C1" s="305"/>
      <c r="D1" s="305" t="s">
        <v>7</v>
      </c>
      <c r="E1" s="306" t="s">
        <v>1</v>
      </c>
      <c r="F1" s="306" t="s">
        <v>7</v>
      </c>
    </row>
    <row r="3" spans="1:10" ht="13" x14ac:dyDescent="0.3">
      <c r="A3" s="25" t="s">
        <v>136</v>
      </c>
    </row>
    <row r="4" spans="1:10" x14ac:dyDescent="0.25">
      <c r="A4" s="145" t="s">
        <v>134</v>
      </c>
      <c r="B4" s="325">
        <v>5.9216E-3</v>
      </c>
      <c r="C4" s="307"/>
      <c r="D4" s="271">
        <v>45293</v>
      </c>
    </row>
    <row r="5" spans="1:10" x14ac:dyDescent="0.25">
      <c r="A5" s="145" t="s">
        <v>135</v>
      </c>
      <c r="B5" s="325">
        <v>1.7560000000000001E-4</v>
      </c>
      <c r="C5" s="307"/>
      <c r="D5" s="271">
        <v>44925</v>
      </c>
    </row>
    <row r="7" spans="1:10" ht="13" x14ac:dyDescent="0.3">
      <c r="A7" s="25" t="s">
        <v>137</v>
      </c>
      <c r="D7" s="271">
        <v>44531</v>
      </c>
    </row>
    <row r="8" spans="1:10" x14ac:dyDescent="0.25">
      <c r="A8" s="145" t="s">
        <v>138</v>
      </c>
      <c r="B8" s="308">
        <v>4.6499999999999996E-3</v>
      </c>
      <c r="C8" s="308"/>
      <c r="D8" s="271"/>
    </row>
    <row r="9" spans="1:10" x14ac:dyDescent="0.25">
      <c r="A9" s="227" t="s">
        <v>140</v>
      </c>
      <c r="B9" s="308">
        <v>4.1900000000000001E-3</v>
      </c>
      <c r="C9" s="308"/>
      <c r="D9" s="271"/>
    </row>
    <row r="10" spans="1:10" x14ac:dyDescent="0.25">
      <c r="A10" s="145" t="s">
        <v>139</v>
      </c>
      <c r="B10" s="308">
        <v>3.63E-3</v>
      </c>
      <c r="C10" s="308"/>
      <c r="D10" s="271"/>
    </row>
    <row r="12" spans="1:10" ht="13" x14ac:dyDescent="0.3">
      <c r="A12" s="133" t="s">
        <v>141</v>
      </c>
      <c r="B12" s="309">
        <v>0</v>
      </c>
      <c r="C12" s="309"/>
      <c r="D12" s="271">
        <v>44531</v>
      </c>
    </row>
    <row r="14" spans="1:10" ht="13" x14ac:dyDescent="0.3">
      <c r="A14" s="275" t="s">
        <v>159</v>
      </c>
      <c r="B14" s="510"/>
      <c r="C14" s="511"/>
      <c r="D14" s="511"/>
      <c r="G14" s="275"/>
      <c r="H14" s="512"/>
      <c r="I14" s="512"/>
      <c r="J14" s="512"/>
    </row>
    <row r="15" spans="1:10" ht="13" x14ac:dyDescent="0.3">
      <c r="A15" s="273" t="s">
        <v>280</v>
      </c>
      <c r="B15" s="331">
        <v>-9.7000000000000005E-4</v>
      </c>
      <c r="C15" s="270"/>
      <c r="D15" s="271">
        <v>45474</v>
      </c>
      <c r="G15" s="273"/>
      <c r="H15" s="270"/>
      <c r="I15" s="270"/>
      <c r="J15" s="271"/>
    </row>
    <row r="16" spans="1:10" ht="13" x14ac:dyDescent="0.3">
      <c r="A16" s="272" t="s">
        <v>281</v>
      </c>
      <c r="B16" s="270">
        <v>0</v>
      </c>
      <c r="C16" s="270"/>
      <c r="D16" s="271">
        <v>45322</v>
      </c>
    </row>
    <row r="17" spans="1:6" x14ac:dyDescent="0.25">
      <c r="A17" s="18"/>
    </row>
    <row r="18" spans="1:6" ht="13" x14ac:dyDescent="0.3">
      <c r="A18" s="25" t="s">
        <v>239</v>
      </c>
      <c r="B18" s="319">
        <v>0</v>
      </c>
      <c r="C18" s="271"/>
      <c r="D18" s="271">
        <v>44531</v>
      </c>
      <c r="E18" s="320">
        <v>0</v>
      </c>
      <c r="F18" s="271">
        <v>44531</v>
      </c>
    </row>
    <row r="20" spans="1:6" ht="13" x14ac:dyDescent="0.3">
      <c r="A20" s="133" t="s">
        <v>179</v>
      </c>
      <c r="B20" s="310" t="s">
        <v>167</v>
      </c>
      <c r="C20" s="310" t="s">
        <v>168</v>
      </c>
    </row>
    <row r="21" spans="1:6" x14ac:dyDescent="0.25">
      <c r="A21" s="227" t="s">
        <v>154</v>
      </c>
      <c r="B21" s="335">
        <v>7.0209999999999995E-2</v>
      </c>
      <c r="C21" s="335">
        <v>7.0209999999999995E-2</v>
      </c>
      <c r="D21" s="315">
        <v>45444</v>
      </c>
    </row>
    <row r="22" spans="1:6" x14ac:dyDescent="0.25">
      <c r="A22" s="288" t="s">
        <v>299</v>
      </c>
      <c r="B22" s="335">
        <v>7.0209999999999995E-2</v>
      </c>
      <c r="C22" s="335">
        <v>7.0209999999999995E-2</v>
      </c>
      <c r="D22" s="315">
        <v>45444</v>
      </c>
    </row>
    <row r="23" spans="1:6" x14ac:dyDescent="0.25">
      <c r="A23" s="227" t="s">
        <v>181</v>
      </c>
      <c r="B23" s="335">
        <v>7.0209999999999995E-2</v>
      </c>
      <c r="C23" s="335">
        <v>7.0209999999999995E-2</v>
      </c>
      <c r="D23" s="315">
        <v>45444</v>
      </c>
    </row>
    <row r="24" spans="1:6" x14ac:dyDescent="0.25">
      <c r="A24" s="227" t="s">
        <v>182</v>
      </c>
      <c r="B24" s="336">
        <v>6.7849999999999994E-2</v>
      </c>
      <c r="C24" s="336">
        <v>6.7849999999999994E-2</v>
      </c>
      <c r="D24" s="315">
        <v>45444</v>
      </c>
    </row>
    <row r="25" spans="1:6" x14ac:dyDescent="0.25">
      <c r="A25" s="227" t="s">
        <v>183</v>
      </c>
      <c r="B25" s="336">
        <v>6.6629999999999995E-2</v>
      </c>
      <c r="C25" s="336">
        <v>6.6629999999999995E-2</v>
      </c>
      <c r="D25" s="315">
        <v>45444</v>
      </c>
    </row>
    <row r="26" spans="1:6" x14ac:dyDescent="0.25">
      <c r="A26" s="145"/>
      <c r="B26" s="270"/>
      <c r="C26" s="270"/>
      <c r="D26" s="271"/>
    </row>
    <row r="27" spans="1:6" ht="13" x14ac:dyDescent="0.3">
      <c r="A27" s="133" t="s">
        <v>161</v>
      </c>
      <c r="B27" s="310" t="s">
        <v>167</v>
      </c>
      <c r="C27" s="310" t="s">
        <v>168</v>
      </c>
      <c r="D27" s="271"/>
    </row>
    <row r="28" spans="1:6" x14ac:dyDescent="0.25">
      <c r="A28" s="227" t="s">
        <v>189</v>
      </c>
      <c r="B28" s="336">
        <v>3.2000000000000002E-3</v>
      </c>
      <c r="C28" s="307"/>
      <c r="D28" s="315">
        <v>45444</v>
      </c>
    </row>
    <row r="29" spans="1:6" x14ac:dyDescent="0.25">
      <c r="A29" s="145" t="s">
        <v>172</v>
      </c>
      <c r="B29" s="270">
        <v>6.6265999999999999E-3</v>
      </c>
      <c r="C29" s="270"/>
      <c r="D29" s="315">
        <v>45444</v>
      </c>
    </row>
    <row r="30" spans="1:6" x14ac:dyDescent="0.25">
      <c r="A30" s="145" t="s">
        <v>171</v>
      </c>
      <c r="B30" s="270">
        <v>1.8255000000000001E-3</v>
      </c>
      <c r="C30" s="307"/>
      <c r="D30" s="315">
        <v>45444</v>
      </c>
    </row>
    <row r="31" spans="1:6" x14ac:dyDescent="0.25">
      <c r="A31" s="145" t="s">
        <v>224</v>
      </c>
      <c r="B31" s="270">
        <v>2.67383E-2</v>
      </c>
      <c r="C31" s="307"/>
      <c r="D31" s="315">
        <v>45444</v>
      </c>
    </row>
    <row r="32" spans="1:6" x14ac:dyDescent="0.25">
      <c r="A32" s="145" t="s">
        <v>225</v>
      </c>
      <c r="B32" s="270">
        <v>0</v>
      </c>
      <c r="C32" s="307"/>
      <c r="D32" s="315">
        <v>45444</v>
      </c>
    </row>
    <row r="33" spans="1:6" x14ac:dyDescent="0.25">
      <c r="A33" s="145" t="s">
        <v>143</v>
      </c>
      <c r="B33" s="270">
        <v>2.7299999999999998E-3</v>
      </c>
      <c r="C33" s="270"/>
      <c r="D33" s="315">
        <v>45444</v>
      </c>
    </row>
    <row r="34" spans="1:6" x14ac:dyDescent="0.25">
      <c r="A34" s="227" t="s">
        <v>181</v>
      </c>
      <c r="B34" s="270">
        <v>2.65E-3</v>
      </c>
      <c r="C34" s="307"/>
      <c r="D34" s="315">
        <v>45444</v>
      </c>
    </row>
    <row r="35" spans="1:6" x14ac:dyDescent="0.25">
      <c r="A35" s="227" t="s">
        <v>229</v>
      </c>
      <c r="B35" s="270">
        <v>2.28907E-2</v>
      </c>
      <c r="C35" s="307"/>
      <c r="D35" s="315">
        <v>45444</v>
      </c>
    </row>
    <row r="36" spans="1:6" x14ac:dyDescent="0.25">
      <c r="A36" s="227" t="s">
        <v>228</v>
      </c>
      <c r="B36" s="270">
        <v>0</v>
      </c>
      <c r="C36" s="307"/>
      <c r="D36" s="315">
        <v>45444</v>
      </c>
    </row>
    <row r="37" spans="1:6" x14ac:dyDescent="0.25">
      <c r="A37" s="227" t="s">
        <v>182</v>
      </c>
      <c r="B37" s="307">
        <v>2.14E-3</v>
      </c>
      <c r="D37" s="315">
        <v>45444</v>
      </c>
    </row>
    <row r="38" spans="1:6" x14ac:dyDescent="0.25">
      <c r="A38" s="227" t="s">
        <v>183</v>
      </c>
      <c r="B38" s="307">
        <v>1.66E-3</v>
      </c>
      <c r="D38" s="315">
        <v>45444</v>
      </c>
    </row>
    <row r="39" spans="1:6" x14ac:dyDescent="0.25">
      <c r="A39" s="288" t="s">
        <v>296</v>
      </c>
      <c r="B39" s="270">
        <v>4.4729000000000001E-3</v>
      </c>
      <c r="D39" s="315">
        <v>45444</v>
      </c>
    </row>
    <row r="40" spans="1:6" x14ac:dyDescent="0.25">
      <c r="A40" s="288" t="s">
        <v>297</v>
      </c>
      <c r="B40" s="307">
        <v>1.5407999999999999E-3</v>
      </c>
      <c r="D40" s="315">
        <v>45444</v>
      </c>
    </row>
    <row r="41" spans="1:6" x14ac:dyDescent="0.25">
      <c r="A41" s="288" t="s">
        <v>338</v>
      </c>
      <c r="B41" s="307">
        <v>3.0709000000000001E-3</v>
      </c>
      <c r="C41" s="276">
        <v>1.325E-3</v>
      </c>
      <c r="D41" s="315">
        <v>45444</v>
      </c>
    </row>
    <row r="42" spans="1:6" x14ac:dyDescent="0.25">
      <c r="A42" s="288" t="s">
        <v>339</v>
      </c>
      <c r="B42" s="307">
        <v>2.5335000000000002E-3</v>
      </c>
      <c r="C42" s="276">
        <v>1.07E-3</v>
      </c>
      <c r="D42" s="315">
        <v>45444</v>
      </c>
    </row>
    <row r="43" spans="1:6" x14ac:dyDescent="0.25">
      <c r="A43" s="288" t="s">
        <v>340</v>
      </c>
      <c r="B43" s="307">
        <v>2.0022E-3</v>
      </c>
      <c r="C43" s="276">
        <v>8.3000000000000001E-4</v>
      </c>
      <c r="D43" s="315">
        <v>45444</v>
      </c>
    </row>
    <row r="44" spans="1:6" x14ac:dyDescent="0.25">
      <c r="A44" s="288"/>
      <c r="B44" s="307"/>
      <c r="D44" s="271"/>
    </row>
    <row r="45" spans="1:6" ht="13" x14ac:dyDescent="0.3">
      <c r="A45" s="133" t="s">
        <v>184</v>
      </c>
      <c r="B45" s="338">
        <v>-3.1569999999999998E-4</v>
      </c>
      <c r="C45" s="18"/>
      <c r="D45" s="271">
        <v>45383</v>
      </c>
      <c r="E45" s="276"/>
      <c r="F45" s="276"/>
    </row>
    <row r="46" spans="1:6" x14ac:dyDescent="0.25">
      <c r="A46" s="145"/>
      <c r="D46" s="271"/>
      <c r="E46" s="276"/>
      <c r="F46" s="276"/>
    </row>
    <row r="47" spans="1:6" ht="13" x14ac:dyDescent="0.3">
      <c r="A47" s="133" t="s">
        <v>211</v>
      </c>
      <c r="B47" s="321" t="s">
        <v>214</v>
      </c>
      <c r="C47" s="321" t="s">
        <v>215</v>
      </c>
      <c r="D47" s="321" t="s">
        <v>34</v>
      </c>
      <c r="E47" s="321" t="s">
        <v>216</v>
      </c>
      <c r="F47" s="276"/>
    </row>
    <row r="48" spans="1:6" x14ac:dyDescent="0.25">
      <c r="A48" s="227" t="s">
        <v>212</v>
      </c>
      <c r="B48" s="342">
        <v>1.38</v>
      </c>
      <c r="C48" s="343">
        <v>0.01</v>
      </c>
      <c r="D48" s="344">
        <f>SUM(B48:C48)</f>
        <v>1.39</v>
      </c>
      <c r="E48" s="324">
        <v>45474</v>
      </c>
      <c r="F48" s="276"/>
    </row>
    <row r="49" spans="1:8" x14ac:dyDescent="0.25">
      <c r="A49" s="227" t="s">
        <v>213</v>
      </c>
      <c r="B49" s="339">
        <v>1.8006999999999999E-3</v>
      </c>
      <c r="C49" s="340">
        <v>0</v>
      </c>
      <c r="D49" s="341">
        <f>SUM(B49:C49)</f>
        <v>1.8006999999999999E-3</v>
      </c>
      <c r="E49" s="324">
        <v>45474</v>
      </c>
      <c r="F49" s="276"/>
    </row>
    <row r="50" spans="1:8" x14ac:dyDescent="0.25">
      <c r="A50" s="227"/>
      <c r="B50" s="292"/>
      <c r="D50" s="271"/>
      <c r="E50" s="276"/>
      <c r="F50" s="276"/>
    </row>
    <row r="51" spans="1:8" x14ac:dyDescent="0.25">
      <c r="A51" s="227"/>
      <c r="B51" s="292"/>
      <c r="D51" s="271"/>
    </row>
    <row r="52" spans="1:8" x14ac:dyDescent="0.25">
      <c r="A52" s="227"/>
      <c r="B52" s="292"/>
      <c r="D52" s="271"/>
    </row>
    <row r="53" spans="1:8" x14ac:dyDescent="0.25">
      <c r="A53" s="145"/>
      <c r="D53" s="271"/>
    </row>
    <row r="54" spans="1:8" ht="13" x14ac:dyDescent="0.3">
      <c r="A54" s="133" t="s">
        <v>185</v>
      </c>
    </row>
    <row r="55" spans="1:8" x14ac:dyDescent="0.25">
      <c r="A55" s="227" t="s">
        <v>154</v>
      </c>
      <c r="B55" s="18">
        <v>4.3837099999999997E-2</v>
      </c>
      <c r="C55" s="18"/>
      <c r="D55" s="271">
        <v>45383</v>
      </c>
      <c r="F55" s="311" t="s">
        <v>277</v>
      </c>
      <c r="G55" s="325">
        <v>2.3467399999999999E-2</v>
      </c>
      <c r="H55" s="271">
        <v>45383</v>
      </c>
    </row>
    <row r="56" spans="1:8" x14ac:dyDescent="0.25">
      <c r="A56" s="227" t="s">
        <v>180</v>
      </c>
      <c r="B56" s="18">
        <v>2.3467399999999999E-2</v>
      </c>
      <c r="C56" s="18"/>
      <c r="D56" s="271">
        <v>45383</v>
      </c>
      <c r="F56" s="311" t="s">
        <v>278</v>
      </c>
      <c r="G56" s="325">
        <v>3.2698999999999999E-2</v>
      </c>
      <c r="H56" s="271">
        <v>45383</v>
      </c>
    </row>
    <row r="57" spans="1:8" x14ac:dyDescent="0.25">
      <c r="A57" s="227" t="s">
        <v>181</v>
      </c>
      <c r="B57" s="18">
        <v>6.0079999999999997E-4</v>
      </c>
      <c r="C57" s="18"/>
      <c r="D57" s="271">
        <v>45383</v>
      </c>
    </row>
    <row r="58" spans="1:8" x14ac:dyDescent="0.25">
      <c r="A58" s="227" t="s">
        <v>182</v>
      </c>
      <c r="B58" s="18">
        <v>5.8060000000000002E-4</v>
      </c>
      <c r="C58" s="18"/>
      <c r="D58" s="271">
        <v>45383</v>
      </c>
    </row>
    <row r="59" spans="1:8" x14ac:dyDescent="0.25">
      <c r="A59" s="227" t="s">
        <v>183</v>
      </c>
      <c r="B59" s="18">
        <v>5.7019999999999998E-4</v>
      </c>
      <c r="C59" s="18"/>
      <c r="D59" s="271">
        <v>45383</v>
      </c>
    </row>
    <row r="60" spans="1:8" x14ac:dyDescent="0.25">
      <c r="B60" s="18"/>
    </row>
    <row r="61" spans="1:8" ht="13" x14ac:dyDescent="0.3">
      <c r="A61" s="133" t="s">
        <v>186</v>
      </c>
      <c r="B61" s="18"/>
    </row>
    <row r="62" spans="1:8" x14ac:dyDescent="0.25">
      <c r="A62" s="227" t="s">
        <v>181</v>
      </c>
      <c r="B62" s="333">
        <v>6.73</v>
      </c>
      <c r="C62" s="18"/>
      <c r="D62" s="271">
        <v>45383</v>
      </c>
    </row>
    <row r="63" spans="1:8" x14ac:dyDescent="0.25">
      <c r="A63" s="227" t="s">
        <v>182</v>
      </c>
      <c r="B63" s="333">
        <v>6.76</v>
      </c>
      <c r="C63" s="18"/>
      <c r="D63" s="271">
        <v>45383</v>
      </c>
    </row>
    <row r="64" spans="1:8" x14ac:dyDescent="0.25">
      <c r="A64" s="227" t="s">
        <v>183</v>
      </c>
      <c r="B64" s="333">
        <v>7.45</v>
      </c>
      <c r="C64" s="18"/>
      <c r="D64" s="271">
        <v>45383</v>
      </c>
    </row>
    <row r="65" spans="1:4" x14ac:dyDescent="0.25">
      <c r="A65" s="145"/>
      <c r="D65" s="271"/>
    </row>
    <row r="66" spans="1:4" ht="13" x14ac:dyDescent="0.3">
      <c r="A66" s="133" t="s">
        <v>148</v>
      </c>
      <c r="C66" s="312" t="s">
        <v>208</v>
      </c>
      <c r="D66" s="271"/>
    </row>
    <row r="67" spans="1:4" x14ac:dyDescent="0.25">
      <c r="A67" s="145" t="s">
        <v>142</v>
      </c>
      <c r="B67" s="307">
        <v>0</v>
      </c>
      <c r="C67" s="307">
        <v>0</v>
      </c>
      <c r="D67" s="315">
        <v>45444</v>
      </c>
    </row>
    <row r="68" spans="1:4" x14ac:dyDescent="0.25">
      <c r="A68" s="145" t="s">
        <v>143</v>
      </c>
      <c r="B68" s="307">
        <v>0</v>
      </c>
      <c r="C68" s="307">
        <v>0</v>
      </c>
      <c r="D68" s="315">
        <v>45444</v>
      </c>
    </row>
    <row r="69" spans="1:4" x14ac:dyDescent="0.25">
      <c r="A69" s="145" t="s">
        <v>149</v>
      </c>
      <c r="B69" s="307">
        <v>0</v>
      </c>
      <c r="C69" s="307">
        <v>0</v>
      </c>
      <c r="D69" s="315">
        <v>45444</v>
      </c>
    </row>
    <row r="70" spans="1:4" x14ac:dyDescent="0.25">
      <c r="A70" s="145" t="s">
        <v>144</v>
      </c>
      <c r="B70" s="307">
        <v>0</v>
      </c>
      <c r="C70" s="307">
        <v>0</v>
      </c>
      <c r="D70" s="315">
        <v>45444</v>
      </c>
    </row>
    <row r="71" spans="1:4" x14ac:dyDescent="0.25">
      <c r="A71" s="145" t="s">
        <v>150</v>
      </c>
      <c r="B71" s="307">
        <v>0</v>
      </c>
      <c r="C71" s="307">
        <v>0</v>
      </c>
      <c r="D71" s="315">
        <v>45444</v>
      </c>
    </row>
    <row r="72" spans="1:4" x14ac:dyDescent="0.25">
      <c r="A72" s="145" t="s">
        <v>151</v>
      </c>
      <c r="B72" s="307">
        <v>0</v>
      </c>
      <c r="C72" s="307">
        <v>0</v>
      </c>
      <c r="D72" s="315">
        <v>45444</v>
      </c>
    </row>
    <row r="73" spans="1:4" x14ac:dyDescent="0.25">
      <c r="A73" s="145"/>
      <c r="B73" s="270"/>
      <c r="C73" s="270"/>
      <c r="D73" s="271"/>
    </row>
    <row r="74" spans="1:4" ht="13" x14ac:dyDescent="0.3">
      <c r="A74" s="133" t="s">
        <v>196</v>
      </c>
      <c r="D74" s="271"/>
    </row>
    <row r="75" spans="1:4" x14ac:dyDescent="0.25">
      <c r="A75" s="145" t="s">
        <v>143</v>
      </c>
      <c r="B75" s="313">
        <v>0</v>
      </c>
      <c r="C75" s="307"/>
      <c r="D75" s="315">
        <v>45444</v>
      </c>
    </row>
    <row r="76" spans="1:4" x14ac:dyDescent="0.25">
      <c r="A76" s="145" t="s">
        <v>144</v>
      </c>
      <c r="B76" s="313">
        <v>0</v>
      </c>
      <c r="C76" s="307"/>
      <c r="D76" s="315">
        <v>45444</v>
      </c>
    </row>
    <row r="77" spans="1:4" x14ac:dyDescent="0.25">
      <c r="A77" s="145"/>
      <c r="B77" s="270"/>
      <c r="C77" s="270"/>
      <c r="D77" s="271"/>
    </row>
    <row r="78" spans="1:4" ht="13" x14ac:dyDescent="0.3">
      <c r="A78" s="133" t="s">
        <v>197</v>
      </c>
      <c r="D78" s="271"/>
    </row>
    <row r="79" spans="1:4" x14ac:dyDescent="0.25">
      <c r="A79" s="145" t="s">
        <v>149</v>
      </c>
      <c r="B79" s="313">
        <v>0</v>
      </c>
      <c r="C79" s="307"/>
      <c r="D79" s="315">
        <v>45444</v>
      </c>
    </row>
    <row r="80" spans="1:4" x14ac:dyDescent="0.25">
      <c r="A80" s="145" t="s">
        <v>150</v>
      </c>
      <c r="B80" s="313">
        <v>0</v>
      </c>
      <c r="C80" s="307"/>
      <c r="D80" s="315">
        <v>45444</v>
      </c>
    </row>
    <row r="81" spans="1:6" x14ac:dyDescent="0.25">
      <c r="A81" s="145" t="s">
        <v>151</v>
      </c>
      <c r="B81" s="313">
        <v>0</v>
      </c>
      <c r="C81" s="270"/>
      <c r="D81" s="315">
        <v>45444</v>
      </c>
    </row>
    <row r="82" spans="1:6" x14ac:dyDescent="0.25">
      <c r="A82" s="145"/>
      <c r="B82" s="270"/>
      <c r="C82" s="270"/>
      <c r="D82" s="271"/>
    </row>
    <row r="83" spans="1:6" ht="13" x14ac:dyDescent="0.3">
      <c r="A83" s="133" t="s">
        <v>152</v>
      </c>
      <c r="B83" s="334">
        <v>2.9347000000000002E-2</v>
      </c>
      <c r="C83" s="327"/>
      <c r="D83" s="328">
        <v>45383</v>
      </c>
    </row>
    <row r="84" spans="1:6" x14ac:dyDescent="0.25">
      <c r="A84" s="145"/>
      <c r="D84" s="271"/>
    </row>
    <row r="85" spans="1:6" ht="13" x14ac:dyDescent="0.3">
      <c r="A85" s="25" t="s">
        <v>153</v>
      </c>
      <c r="B85" s="314">
        <v>6.6985699999999995E-2</v>
      </c>
      <c r="C85" s="314"/>
      <c r="D85" s="271">
        <v>45167</v>
      </c>
    </row>
    <row r="87" spans="1:6" ht="13" x14ac:dyDescent="0.3">
      <c r="A87" s="25" t="s">
        <v>318</v>
      </c>
      <c r="D87" s="271"/>
    </row>
    <row r="88" spans="1:6" x14ac:dyDescent="0.25">
      <c r="A88" s="301" t="s">
        <v>154</v>
      </c>
      <c r="B88" s="337">
        <v>1.42</v>
      </c>
      <c r="C88" s="316"/>
      <c r="D88" s="271">
        <v>45442</v>
      </c>
      <c r="E88" s="276"/>
    </row>
    <row r="89" spans="1:6" x14ac:dyDescent="0.25">
      <c r="A89" s="301" t="s">
        <v>155</v>
      </c>
      <c r="B89" s="337">
        <v>11.97</v>
      </c>
      <c r="C89" s="316"/>
      <c r="D89" s="271">
        <v>45442</v>
      </c>
      <c r="E89" s="276"/>
    </row>
    <row r="90" spans="1:6" x14ac:dyDescent="0.25">
      <c r="A90" s="226"/>
      <c r="E90" s="276"/>
    </row>
    <row r="91" spans="1:6" ht="13" x14ac:dyDescent="0.3">
      <c r="A91" s="302" t="s">
        <v>241</v>
      </c>
      <c r="B91" s="314"/>
      <c r="C91" s="314"/>
      <c r="D91" s="271"/>
      <c r="E91" s="276"/>
    </row>
    <row r="92" spans="1:6" x14ac:dyDescent="0.25">
      <c r="A92" s="303" t="s">
        <v>142</v>
      </c>
      <c r="B92" s="307">
        <v>0</v>
      </c>
      <c r="C92" s="307"/>
      <c r="D92" s="271">
        <v>44531</v>
      </c>
      <c r="E92" s="307"/>
      <c r="F92" s="315"/>
    </row>
    <row r="93" spans="1:6" x14ac:dyDescent="0.25">
      <c r="A93" s="303" t="s">
        <v>143</v>
      </c>
      <c r="B93" s="307">
        <v>0</v>
      </c>
      <c r="C93" s="307"/>
      <c r="D93" s="271">
        <v>44531</v>
      </c>
      <c r="E93" s="307"/>
      <c r="F93" s="315"/>
    </row>
    <row r="94" spans="1:6" x14ac:dyDescent="0.25">
      <c r="A94" s="303" t="s">
        <v>198</v>
      </c>
      <c r="B94" s="307">
        <v>0</v>
      </c>
      <c r="C94" s="307"/>
      <c r="D94" s="271">
        <v>44531</v>
      </c>
      <c r="E94" s="307"/>
      <c r="F94" s="315"/>
    </row>
    <row r="95" spans="1:6" x14ac:dyDescent="0.25">
      <c r="A95" s="303" t="s">
        <v>199</v>
      </c>
      <c r="B95" s="307">
        <v>0</v>
      </c>
      <c r="C95" s="307"/>
      <c r="D95" s="271">
        <v>44531</v>
      </c>
      <c r="E95" s="307"/>
      <c r="F95" s="315"/>
    </row>
    <row r="96" spans="1:6" x14ac:dyDescent="0.25">
      <c r="A96" s="303" t="s">
        <v>200</v>
      </c>
      <c r="B96" s="307">
        <v>0</v>
      </c>
      <c r="C96" s="307"/>
      <c r="D96" s="271">
        <v>44531</v>
      </c>
      <c r="E96" s="307"/>
      <c r="F96" s="315"/>
    </row>
    <row r="97" spans="1:6" x14ac:dyDescent="0.25">
      <c r="A97" s="303" t="s">
        <v>201</v>
      </c>
      <c r="B97" s="307">
        <v>0</v>
      </c>
      <c r="C97" s="307"/>
      <c r="D97" s="271">
        <v>44531</v>
      </c>
      <c r="E97" s="307"/>
      <c r="F97" s="315"/>
    </row>
    <row r="98" spans="1:6" x14ac:dyDescent="0.25">
      <c r="A98" s="303" t="s">
        <v>202</v>
      </c>
      <c r="B98" s="307">
        <v>0</v>
      </c>
      <c r="C98" s="307"/>
      <c r="D98" s="271">
        <v>44531</v>
      </c>
      <c r="E98" s="307"/>
      <c r="F98" s="315"/>
    </row>
    <row r="99" spans="1:6" x14ac:dyDescent="0.25">
      <c r="A99" s="303" t="s">
        <v>203</v>
      </c>
      <c r="B99" s="307">
        <v>0</v>
      </c>
      <c r="C99" s="307"/>
      <c r="D99" s="271">
        <v>44531</v>
      </c>
      <c r="E99" s="307"/>
      <c r="F99" s="315"/>
    </row>
    <row r="100" spans="1:6" x14ac:dyDescent="0.25">
      <c r="A100" s="303" t="s">
        <v>204</v>
      </c>
      <c r="B100" s="307">
        <v>0</v>
      </c>
      <c r="C100" s="307"/>
      <c r="D100" s="271">
        <v>44531</v>
      </c>
      <c r="E100" s="307"/>
      <c r="F100" s="315"/>
    </row>
    <row r="101" spans="1:6" x14ac:dyDescent="0.25">
      <c r="A101" s="303" t="s">
        <v>205</v>
      </c>
      <c r="B101" s="307">
        <v>0</v>
      </c>
      <c r="C101" s="307"/>
      <c r="D101" s="271">
        <v>44531</v>
      </c>
      <c r="E101" s="307"/>
      <c r="F101" s="315"/>
    </row>
    <row r="102" spans="1:6" x14ac:dyDescent="0.25">
      <c r="A102" s="226"/>
      <c r="E102" s="276"/>
    </row>
    <row r="103" spans="1:6" ht="13" x14ac:dyDescent="0.3">
      <c r="A103" s="302" t="s">
        <v>156</v>
      </c>
      <c r="B103" s="332">
        <v>0.21398439999999999</v>
      </c>
      <c r="C103" s="314"/>
      <c r="D103" s="271">
        <v>45351</v>
      </c>
      <c r="E103" s="276"/>
    </row>
    <row r="104" spans="1:6" x14ac:dyDescent="0.25">
      <c r="A104" s="226"/>
      <c r="E104" s="276"/>
    </row>
    <row r="105" spans="1:6" ht="13" x14ac:dyDescent="0.3">
      <c r="A105" s="302" t="s">
        <v>210</v>
      </c>
      <c r="D105" s="271"/>
      <c r="E105" s="276"/>
    </row>
    <row r="106" spans="1:6" x14ac:dyDescent="0.25">
      <c r="A106" s="301" t="s">
        <v>154</v>
      </c>
      <c r="B106" s="316">
        <v>0</v>
      </c>
      <c r="C106" s="316"/>
      <c r="D106" s="271">
        <v>44894</v>
      </c>
      <c r="E106" s="276"/>
    </row>
    <row r="107" spans="1:6" x14ac:dyDescent="0.25">
      <c r="A107" s="301" t="s">
        <v>155</v>
      </c>
      <c r="B107" s="316">
        <v>0</v>
      </c>
      <c r="C107" s="316"/>
      <c r="D107" s="271">
        <v>44894</v>
      </c>
      <c r="E107" s="276"/>
    </row>
    <row r="108" spans="1:6" x14ac:dyDescent="0.25">
      <c r="A108" s="226"/>
      <c r="E108" s="276"/>
    </row>
    <row r="109" spans="1:6" ht="13" x14ac:dyDescent="0.3">
      <c r="A109" s="133" t="s">
        <v>206</v>
      </c>
      <c r="D109" s="271"/>
    </row>
    <row r="110" spans="1:6" x14ac:dyDescent="0.25">
      <c r="A110" s="145" t="s">
        <v>145</v>
      </c>
      <c r="B110" s="293">
        <v>3.8972999999999998E-3</v>
      </c>
      <c r="C110" s="270"/>
      <c r="D110" s="271">
        <v>44531</v>
      </c>
    </row>
    <row r="111" spans="1:6" x14ac:dyDescent="0.25">
      <c r="A111" s="145" t="s">
        <v>146</v>
      </c>
      <c r="B111" s="293">
        <v>3.7618E-3</v>
      </c>
      <c r="C111" s="270"/>
      <c r="D111" s="271">
        <v>44531</v>
      </c>
    </row>
    <row r="112" spans="1:6" x14ac:dyDescent="0.25">
      <c r="A112" s="145" t="s">
        <v>147</v>
      </c>
      <c r="B112" s="293">
        <v>3.6865999999999999E-3</v>
      </c>
      <c r="C112" s="270"/>
      <c r="D112" s="271">
        <v>44531</v>
      </c>
    </row>
    <row r="114" spans="1:5" ht="13" x14ac:dyDescent="0.3">
      <c r="A114" s="133" t="s">
        <v>209</v>
      </c>
    </row>
    <row r="115" spans="1:5" x14ac:dyDescent="0.25">
      <c r="A115" s="145" t="s">
        <v>154</v>
      </c>
      <c r="B115" s="322">
        <v>-2.3000000000000001E-4</v>
      </c>
      <c r="D115" s="271">
        <v>44531</v>
      </c>
    </row>
    <row r="116" spans="1:5" x14ac:dyDescent="0.25">
      <c r="A116" s="145" t="s">
        <v>155</v>
      </c>
      <c r="B116" s="322">
        <v>-6.2E-4</v>
      </c>
      <c r="D116" s="271">
        <v>44531</v>
      </c>
    </row>
    <row r="118" spans="1:5" ht="13" x14ac:dyDescent="0.3">
      <c r="A118" s="25" t="s">
        <v>218</v>
      </c>
      <c r="D118" s="271"/>
    </row>
    <row r="119" spans="1:5" x14ac:dyDescent="0.25">
      <c r="A119" s="227" t="s">
        <v>154</v>
      </c>
      <c r="B119" s="326">
        <v>1.26</v>
      </c>
      <c r="C119" s="317"/>
      <c r="D119" s="271">
        <v>45226</v>
      </c>
    </row>
    <row r="120" spans="1:5" x14ac:dyDescent="0.25">
      <c r="A120" s="227" t="s">
        <v>155</v>
      </c>
      <c r="B120" s="326">
        <v>5.83</v>
      </c>
      <c r="C120" s="317"/>
      <c r="D120" s="271">
        <v>45226</v>
      </c>
    </row>
    <row r="122" spans="1:5" ht="13" x14ac:dyDescent="0.3">
      <c r="A122" s="133" t="s">
        <v>231</v>
      </c>
      <c r="B122" s="318"/>
      <c r="E122" s="271"/>
    </row>
    <row r="123" spans="1:5" x14ac:dyDescent="0.25">
      <c r="A123" s="227" t="s">
        <v>154</v>
      </c>
      <c r="B123" s="317">
        <v>0.1</v>
      </c>
      <c r="C123" s="271"/>
      <c r="E123" s="315">
        <v>44927</v>
      </c>
    </row>
    <row r="124" spans="1:5" x14ac:dyDescent="0.25">
      <c r="A124" s="145" t="s">
        <v>134</v>
      </c>
      <c r="B124" s="293">
        <v>2.9050000000000001E-4</v>
      </c>
      <c r="C124" s="317">
        <v>242</v>
      </c>
      <c r="D124" s="276" t="s">
        <v>232</v>
      </c>
      <c r="E124" s="315">
        <v>45292</v>
      </c>
    </row>
    <row r="125" spans="1:5" x14ac:dyDescent="0.25">
      <c r="A125" s="145" t="s">
        <v>135</v>
      </c>
      <c r="B125" s="293">
        <v>0</v>
      </c>
      <c r="E125" s="315">
        <v>44927</v>
      </c>
    </row>
    <row r="127" spans="1:5" ht="13" x14ac:dyDescent="0.3">
      <c r="A127" s="133" t="s">
        <v>243</v>
      </c>
    </row>
    <row r="128" spans="1:5" x14ac:dyDescent="0.25">
      <c r="A128" s="227" t="s">
        <v>154</v>
      </c>
      <c r="B128" s="317">
        <v>0</v>
      </c>
      <c r="D128" s="271">
        <v>44531</v>
      </c>
    </row>
    <row r="129" spans="1:8" x14ac:dyDescent="0.25">
      <c r="A129" s="227" t="s">
        <v>180</v>
      </c>
      <c r="B129" s="317">
        <v>0</v>
      </c>
      <c r="D129" s="271">
        <v>44531</v>
      </c>
    </row>
    <row r="130" spans="1:8" x14ac:dyDescent="0.25">
      <c r="A130" s="227" t="s">
        <v>181</v>
      </c>
      <c r="B130" s="317">
        <v>0</v>
      </c>
      <c r="D130" s="271">
        <v>44531</v>
      </c>
    </row>
    <row r="131" spans="1:8" x14ac:dyDescent="0.25">
      <c r="A131" s="227" t="s">
        <v>182</v>
      </c>
      <c r="B131" s="317">
        <v>0</v>
      </c>
      <c r="D131" s="271">
        <v>44531</v>
      </c>
    </row>
    <row r="132" spans="1:8" x14ac:dyDescent="0.25">
      <c r="A132" s="227" t="s">
        <v>183</v>
      </c>
      <c r="B132" s="317">
        <v>0</v>
      </c>
      <c r="D132" s="271">
        <v>44531</v>
      </c>
    </row>
    <row r="134" spans="1:8" ht="13" x14ac:dyDescent="0.3">
      <c r="A134" s="25" t="s">
        <v>242</v>
      </c>
      <c r="D134" s="271"/>
    </row>
    <row r="135" spans="1:8" x14ac:dyDescent="0.25">
      <c r="A135" s="227" t="s">
        <v>154</v>
      </c>
      <c r="B135" s="317">
        <v>0</v>
      </c>
      <c r="C135" s="317"/>
      <c r="D135" s="271">
        <v>44531</v>
      </c>
    </row>
    <row r="136" spans="1:8" x14ac:dyDescent="0.25">
      <c r="A136" s="227" t="s">
        <v>155</v>
      </c>
      <c r="B136" s="317">
        <v>0</v>
      </c>
      <c r="C136" s="317"/>
      <c r="D136" s="271">
        <v>44531</v>
      </c>
    </row>
    <row r="138" spans="1:8" ht="13" x14ac:dyDescent="0.3">
      <c r="A138" s="25" t="s">
        <v>244</v>
      </c>
      <c r="D138" s="276" t="s">
        <v>245</v>
      </c>
    </row>
    <row r="140" spans="1:8" ht="13" x14ac:dyDescent="0.3">
      <c r="A140" s="25" t="s">
        <v>322</v>
      </c>
      <c r="B140" s="345">
        <v>10</v>
      </c>
      <c r="C140" s="346">
        <v>3.7427700000000001E-2</v>
      </c>
      <c r="D140" s="346">
        <v>1.5787499999999999E-2</v>
      </c>
      <c r="E140" s="345"/>
      <c r="F140" s="345">
        <v>0</v>
      </c>
      <c r="G140" s="345">
        <v>0</v>
      </c>
      <c r="H140" s="347">
        <v>45444</v>
      </c>
    </row>
    <row r="142" spans="1:8" ht="13" x14ac:dyDescent="0.3">
      <c r="A142" s="25" t="s">
        <v>323</v>
      </c>
      <c r="B142" s="348">
        <v>9.4</v>
      </c>
      <c r="C142" s="338">
        <v>2.0634799999999998E-2</v>
      </c>
      <c r="D142" s="345">
        <v>0</v>
      </c>
      <c r="E142" s="345">
        <v>0</v>
      </c>
      <c r="F142" s="345">
        <v>0</v>
      </c>
      <c r="G142" s="348">
        <v>0</v>
      </c>
      <c r="H142" s="347">
        <v>45444</v>
      </c>
    </row>
    <row r="143" spans="1:8" ht="13" x14ac:dyDescent="0.3">
      <c r="A143" s="25" t="s">
        <v>324</v>
      </c>
      <c r="B143" s="348">
        <v>138.5</v>
      </c>
      <c r="C143" s="338">
        <v>1.3832199999999999E-2</v>
      </c>
      <c r="D143" s="345">
        <v>0</v>
      </c>
      <c r="E143" s="345">
        <v>0</v>
      </c>
      <c r="F143" s="345">
        <v>0</v>
      </c>
      <c r="G143" s="348">
        <v>0</v>
      </c>
      <c r="H143" s="347">
        <v>45444</v>
      </c>
    </row>
    <row r="144" spans="1:8" ht="13" x14ac:dyDescent="0.3">
      <c r="A144" s="25" t="s">
        <v>325</v>
      </c>
      <c r="B144" s="348">
        <v>825</v>
      </c>
      <c r="C144" s="338">
        <v>5.9799999999999997E-5</v>
      </c>
      <c r="D144" s="345">
        <v>0</v>
      </c>
      <c r="E144" s="345">
        <v>0</v>
      </c>
      <c r="F144" s="345">
        <v>0</v>
      </c>
      <c r="G144" s="348">
        <v>0</v>
      </c>
      <c r="H144" s="347">
        <v>45444</v>
      </c>
    </row>
    <row r="145" spans="1:8" ht="13" x14ac:dyDescent="0.3">
      <c r="A145" s="25" t="s">
        <v>326</v>
      </c>
      <c r="B145" s="348">
        <v>3600</v>
      </c>
      <c r="C145" s="338">
        <v>5.9799999999999997E-5</v>
      </c>
      <c r="D145" s="345">
        <v>0</v>
      </c>
      <c r="E145" s="345">
        <v>0</v>
      </c>
      <c r="F145" s="345">
        <v>0</v>
      </c>
      <c r="G145" s="348">
        <v>0</v>
      </c>
      <c r="H145" s="347">
        <v>45444</v>
      </c>
    </row>
  </sheetData>
  <sheetProtection algorithmName="SHA-512" hashValue="hLViW1UkT88alVXlEGrEL8YKY5GvAKjiDvPKiXUi+TFHqZNcf+MV9C3kqZSCM4AcxyNtVuXPgqsQXImrakd7wA==" saltValue="P1k3AHtfoX8cz2nSEL2fog=="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3D5E-5FCF-4F88-896E-18FB0993FBFE}">
  <dimension ref="A1"/>
  <sheetViews>
    <sheetView workbookViewId="0"/>
  </sheetViews>
  <sheetFormatPr defaultRowHeight="12.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5" x14ac:dyDescent="0.25"/>
  <cols>
    <col min="1" max="1" width="42.453125" customWidth="1"/>
    <col min="2" max="2" width="19.1796875" customWidth="1"/>
    <col min="3" max="3" width="13.54296875" customWidth="1"/>
    <col min="4" max="4" width="12.7265625" customWidth="1"/>
    <col min="5" max="5" width="12.54296875" customWidth="1"/>
    <col min="6" max="6" width="1.81640625" customWidth="1"/>
    <col min="7" max="7" width="11.26953125" customWidth="1"/>
  </cols>
  <sheetData>
    <row r="1" spans="1:7" x14ac:dyDescent="0.25">
      <c r="D1" s="4"/>
    </row>
    <row r="2" spans="1:7" ht="13.5" thickBot="1" x14ac:dyDescent="0.35">
      <c r="A2" s="519" t="s">
        <v>36</v>
      </c>
      <c r="B2" s="519"/>
      <c r="C2" s="519"/>
      <c r="D2" s="519"/>
      <c r="E2" s="519"/>
    </row>
    <row r="3" spans="1:7" ht="13" thickBot="1" x14ac:dyDescent="0.3">
      <c r="A3" s="15" t="s">
        <v>23</v>
      </c>
      <c r="B3" s="16" t="s">
        <v>7</v>
      </c>
      <c r="C3" s="16" t="s">
        <v>1</v>
      </c>
      <c r="D3" s="16" t="s">
        <v>6</v>
      </c>
      <c r="E3" s="17" t="s">
        <v>59</v>
      </c>
    </row>
    <row r="4" spans="1:7" x14ac:dyDescent="0.25">
      <c r="A4" s="9" t="s">
        <v>5</v>
      </c>
      <c r="B4" s="5">
        <v>2001</v>
      </c>
      <c r="C4" s="7">
        <v>-4.8782899999999997E-2</v>
      </c>
      <c r="D4" s="8" t="s">
        <v>58</v>
      </c>
      <c r="E4" s="73" t="b">
        <v>1</v>
      </c>
      <c r="G4" s="48" t="s">
        <v>38</v>
      </c>
    </row>
    <row r="5" spans="1:7" x14ac:dyDescent="0.25">
      <c r="A5" s="66" t="s">
        <v>61</v>
      </c>
      <c r="B5" s="514">
        <v>2001</v>
      </c>
      <c r="C5" s="68">
        <v>7.7130000000000005E-4</v>
      </c>
      <c r="D5" s="67" t="s">
        <v>60</v>
      </c>
      <c r="E5" s="520" t="b">
        <v>1</v>
      </c>
      <c r="G5" s="56"/>
    </row>
    <row r="6" spans="1:7" x14ac:dyDescent="0.25">
      <c r="A6" s="66" t="s">
        <v>62</v>
      </c>
      <c r="B6" s="516"/>
      <c r="C6" s="68">
        <v>1.83E-4</v>
      </c>
      <c r="D6" s="67" t="s">
        <v>60</v>
      </c>
      <c r="E6" s="522"/>
      <c r="G6" s="56"/>
    </row>
    <row r="7" spans="1:7" x14ac:dyDescent="0.25">
      <c r="A7" s="10" t="s">
        <v>4</v>
      </c>
      <c r="B7" s="5">
        <v>2001</v>
      </c>
      <c r="C7" s="47">
        <v>1.0758E-4</v>
      </c>
      <c r="D7" s="5" t="s">
        <v>60</v>
      </c>
      <c r="E7" s="61" t="b">
        <v>1</v>
      </c>
      <c r="G7" s="56"/>
    </row>
    <row r="8" spans="1:7" ht="12.75" customHeight="1" x14ac:dyDescent="0.25">
      <c r="A8" s="69" t="s">
        <v>47</v>
      </c>
      <c r="B8" s="514">
        <v>2001</v>
      </c>
      <c r="C8" s="70">
        <v>4.6499999999999996E-3</v>
      </c>
      <c r="D8" s="514" t="s">
        <v>60</v>
      </c>
      <c r="E8" s="520" t="b">
        <v>1</v>
      </c>
      <c r="G8" s="513" t="s">
        <v>38</v>
      </c>
    </row>
    <row r="9" spans="1:7" x14ac:dyDescent="0.25">
      <c r="A9" s="69" t="s">
        <v>48</v>
      </c>
      <c r="B9" s="515"/>
      <c r="C9" s="70">
        <v>4.1900000000000001E-3</v>
      </c>
      <c r="D9" s="515"/>
      <c r="E9" s="521" t="b">
        <v>0</v>
      </c>
      <c r="G9" s="513"/>
    </row>
    <row r="10" spans="1:7" x14ac:dyDescent="0.25">
      <c r="A10" s="69" t="s">
        <v>49</v>
      </c>
      <c r="B10" s="516"/>
      <c r="C10" s="70">
        <v>3.63E-3</v>
      </c>
      <c r="D10" s="516"/>
      <c r="E10" s="522"/>
      <c r="G10" s="513"/>
    </row>
    <row r="11" spans="1:7" x14ac:dyDescent="0.25">
      <c r="A11" s="10" t="s">
        <v>13</v>
      </c>
      <c r="B11" s="5">
        <v>2002</v>
      </c>
      <c r="C11" s="6">
        <v>4.3600000000000003E-5</v>
      </c>
      <c r="D11" s="5" t="s">
        <v>60</v>
      </c>
      <c r="E11" s="61" t="b">
        <v>1</v>
      </c>
    </row>
    <row r="12" spans="1:7" x14ac:dyDescent="0.25">
      <c r="A12" s="69" t="s">
        <v>14</v>
      </c>
      <c r="B12" s="71">
        <v>2002</v>
      </c>
      <c r="C12" s="70">
        <v>1.2520000000000001E-4</v>
      </c>
      <c r="D12" s="71" t="s">
        <v>60</v>
      </c>
      <c r="E12" s="72" t="b">
        <v>1</v>
      </c>
    </row>
    <row r="13" spans="1:7" x14ac:dyDescent="0.25">
      <c r="A13" s="10" t="s">
        <v>16</v>
      </c>
      <c r="B13" s="5">
        <v>2002</v>
      </c>
      <c r="C13" s="6">
        <v>3.369E-4</v>
      </c>
      <c r="D13" s="5" t="s">
        <v>60</v>
      </c>
      <c r="E13" s="61" t="b">
        <v>1</v>
      </c>
    </row>
    <row r="14" spans="1:7" x14ac:dyDescent="0.25">
      <c r="A14" s="69" t="s">
        <v>17</v>
      </c>
      <c r="B14" s="71">
        <v>2002</v>
      </c>
      <c r="C14" s="70">
        <v>9.6730000000000004E-4</v>
      </c>
      <c r="D14" s="71" t="s">
        <v>60</v>
      </c>
      <c r="E14" s="72" t="b">
        <v>1</v>
      </c>
    </row>
    <row r="15" spans="1:7" x14ac:dyDescent="0.25">
      <c r="A15" s="10" t="s">
        <v>63</v>
      </c>
      <c r="B15" s="5">
        <v>2001</v>
      </c>
      <c r="C15" s="6">
        <v>6.3080000000000005E-4</v>
      </c>
      <c r="D15" s="5" t="s">
        <v>60</v>
      </c>
      <c r="E15" s="61" t="b">
        <v>1</v>
      </c>
    </row>
    <row r="16" spans="1:7" x14ac:dyDescent="0.25">
      <c r="A16" s="69" t="s">
        <v>9</v>
      </c>
      <c r="B16" s="71">
        <v>2001</v>
      </c>
      <c r="C16" s="70">
        <v>5.5290000000000005E-4</v>
      </c>
      <c r="D16" s="71" t="s">
        <v>60</v>
      </c>
      <c r="E16" s="72" t="b">
        <v>1</v>
      </c>
    </row>
    <row r="17" spans="1:5" x14ac:dyDescent="0.25">
      <c r="A17" s="10" t="s">
        <v>10</v>
      </c>
      <c r="B17" s="5">
        <v>2001</v>
      </c>
      <c r="C17" s="6">
        <v>5.6780000000000003E-4</v>
      </c>
      <c r="D17" s="5" t="s">
        <v>60</v>
      </c>
      <c r="E17" s="61" t="b">
        <v>1</v>
      </c>
    </row>
    <row r="18" spans="1:5" x14ac:dyDescent="0.25">
      <c r="A18" s="69" t="s">
        <v>11</v>
      </c>
      <c r="B18" s="71">
        <v>2001</v>
      </c>
      <c r="C18" s="70">
        <v>4.5619999999999998E-4</v>
      </c>
      <c r="D18" s="71" t="s">
        <v>60</v>
      </c>
      <c r="E18" s="72" t="b">
        <v>1</v>
      </c>
    </row>
    <row r="19" spans="1:5" x14ac:dyDescent="0.25">
      <c r="A19" s="10" t="s">
        <v>12</v>
      </c>
      <c r="B19" s="5">
        <v>2001</v>
      </c>
      <c r="C19" s="6">
        <v>3.9589999999999997E-4</v>
      </c>
      <c r="D19" s="5" t="s">
        <v>60</v>
      </c>
      <c r="E19" s="61" t="b">
        <v>1</v>
      </c>
    </row>
    <row r="20" spans="1:5" x14ac:dyDescent="0.25">
      <c r="A20" s="69" t="s">
        <v>18</v>
      </c>
      <c r="B20" s="71">
        <v>2001</v>
      </c>
      <c r="C20" s="70">
        <v>-1.5192999999999999E-3</v>
      </c>
      <c r="D20" s="71" t="s">
        <v>60</v>
      </c>
      <c r="E20" s="72" t="b">
        <v>1</v>
      </c>
    </row>
    <row r="21" spans="1:5" x14ac:dyDescent="0.25">
      <c r="A21" s="10" t="s">
        <v>19</v>
      </c>
      <c r="B21" s="5">
        <v>2001</v>
      </c>
      <c r="C21" s="6">
        <v>-1.3071000000000001E-3</v>
      </c>
      <c r="D21" s="5" t="s">
        <v>60</v>
      </c>
      <c r="E21" s="61" t="b">
        <v>1</v>
      </c>
    </row>
    <row r="22" spans="1:5" x14ac:dyDescent="0.25">
      <c r="A22" s="69" t="s">
        <v>20</v>
      </c>
      <c r="B22" s="71">
        <v>2001</v>
      </c>
      <c r="C22" s="70">
        <v>-1.3320000000000001E-3</v>
      </c>
      <c r="D22" s="71" t="s">
        <v>60</v>
      </c>
      <c r="E22" s="72" t="b">
        <v>1</v>
      </c>
    </row>
    <row r="23" spans="1:5" x14ac:dyDescent="0.25">
      <c r="A23" s="10" t="s">
        <v>21</v>
      </c>
      <c r="B23" s="5">
        <v>2001</v>
      </c>
      <c r="C23" s="6">
        <v>-1.0334999999999999E-3</v>
      </c>
      <c r="D23" s="5" t="s">
        <v>60</v>
      </c>
      <c r="E23" s="61" t="b">
        <v>1</v>
      </c>
    </row>
    <row r="24" spans="1:5" x14ac:dyDescent="0.25">
      <c r="A24" s="69" t="s">
        <v>22</v>
      </c>
      <c r="B24" s="71">
        <v>2001</v>
      </c>
      <c r="C24" s="70">
        <v>-8.7730000000000002E-4</v>
      </c>
      <c r="D24" s="71" t="s">
        <v>60</v>
      </c>
      <c r="E24" s="72" t="b">
        <v>1</v>
      </c>
    </row>
    <row r="25" spans="1:5" x14ac:dyDescent="0.25">
      <c r="A25" s="10" t="s">
        <v>40</v>
      </c>
      <c r="B25" s="5">
        <v>2001</v>
      </c>
      <c r="C25" s="6">
        <v>-2.5000000000000001E-3</v>
      </c>
      <c r="D25" s="5" t="s">
        <v>60</v>
      </c>
      <c r="E25" s="61" t="b">
        <v>1</v>
      </c>
    </row>
    <row r="26" spans="1:5" x14ac:dyDescent="0.25">
      <c r="A26" s="48" t="s">
        <v>39</v>
      </c>
      <c r="C26" s="19"/>
      <c r="D26" s="20"/>
      <c r="E26" s="21"/>
    </row>
    <row r="27" spans="1:5" ht="101.25" customHeight="1" x14ac:dyDescent="0.25">
      <c r="A27" s="518"/>
      <c r="B27" s="518"/>
      <c r="C27" s="518"/>
      <c r="D27" s="518"/>
      <c r="E27" s="518"/>
    </row>
    <row r="28" spans="1:5" ht="78" customHeight="1" x14ac:dyDescent="0.25">
      <c r="A28" s="518"/>
      <c r="B28" s="518"/>
      <c r="C28" s="518"/>
      <c r="D28" s="518"/>
      <c r="E28" s="518"/>
    </row>
    <row r="29" spans="1:5" ht="46.5" customHeight="1" x14ac:dyDescent="0.25">
      <c r="A29" s="518"/>
      <c r="B29" s="518"/>
      <c r="C29" s="518"/>
      <c r="D29" s="518"/>
      <c r="E29" s="518"/>
    </row>
    <row r="30" spans="1:5" ht="32.25" customHeight="1" x14ac:dyDescent="0.25">
      <c r="A30" s="517"/>
      <c r="B30" s="517"/>
      <c r="C30" s="517"/>
      <c r="D30" s="517"/>
      <c r="E30" s="517"/>
    </row>
    <row r="31" spans="1:5" ht="79.5" customHeight="1" x14ac:dyDescent="0.25">
      <c r="A31" s="518"/>
      <c r="B31" s="518"/>
      <c r="C31" s="518"/>
      <c r="D31" s="518"/>
      <c r="E31" s="518"/>
    </row>
    <row r="32" spans="1:5" ht="39" customHeight="1" x14ac:dyDescent="0.25">
      <c r="A32" s="517"/>
      <c r="B32" s="518"/>
      <c r="C32" s="518"/>
      <c r="D32" s="518"/>
      <c r="E32" s="518"/>
    </row>
    <row r="33" spans="1:5" ht="38.25" customHeight="1" x14ac:dyDescent="0.25">
      <c r="A33" s="517"/>
      <c r="B33" s="518"/>
      <c r="C33" s="518"/>
      <c r="D33" s="518"/>
      <c r="E33" s="518"/>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146050</xdr:rowOff>
                  </from>
                  <to>
                    <xdr:col>6</xdr:col>
                    <xdr:colOff>127000</xdr:colOff>
                    <xdr:row>4</xdr:row>
                    <xdr:rowOff>19050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127000</xdr:colOff>
                    <xdr:row>5</xdr:row>
                    <xdr:rowOff>95250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127000</xdr:rowOff>
                  </from>
                  <to>
                    <xdr:col>6</xdr:col>
                    <xdr:colOff>127000</xdr:colOff>
                    <xdr:row>7</xdr:row>
                    <xdr:rowOff>19050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12700</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133350</xdr:rowOff>
                  </from>
                  <to>
                    <xdr:col>6</xdr:col>
                    <xdr:colOff>127000</xdr:colOff>
                    <xdr:row>11</xdr:row>
                    <xdr:rowOff>31750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133350</xdr:rowOff>
                  </from>
                  <to>
                    <xdr:col>5</xdr:col>
                    <xdr:colOff>0</xdr:colOff>
                    <xdr:row>12</xdr:row>
                    <xdr:rowOff>31750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133350</xdr:rowOff>
                  </from>
                  <to>
                    <xdr:col>5</xdr:col>
                    <xdr:colOff>0</xdr:colOff>
                    <xdr:row>13</xdr:row>
                    <xdr:rowOff>31750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133350</xdr:rowOff>
                  </from>
                  <to>
                    <xdr:col>5</xdr:col>
                    <xdr:colOff>0</xdr:colOff>
                    <xdr:row>14</xdr:row>
                    <xdr:rowOff>31750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133350</xdr:rowOff>
                  </from>
                  <to>
                    <xdr:col>5</xdr:col>
                    <xdr:colOff>0</xdr:colOff>
                    <xdr:row>15</xdr:row>
                    <xdr:rowOff>31750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146050</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133350</xdr:rowOff>
                  </from>
                  <to>
                    <xdr:col>5</xdr:col>
                    <xdr:colOff>0</xdr:colOff>
                    <xdr:row>17</xdr:row>
                    <xdr:rowOff>31750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127000</xdr:rowOff>
                  </from>
                  <to>
                    <xdr:col>5</xdr:col>
                    <xdr:colOff>0</xdr:colOff>
                    <xdr:row>18</xdr:row>
                    <xdr:rowOff>19050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133350</xdr:rowOff>
                  </from>
                  <to>
                    <xdr:col>5</xdr:col>
                    <xdr:colOff>0</xdr:colOff>
                    <xdr:row>19</xdr:row>
                    <xdr:rowOff>31750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133350</xdr:rowOff>
                  </from>
                  <to>
                    <xdr:col>5</xdr:col>
                    <xdr:colOff>0</xdr:colOff>
                    <xdr:row>20</xdr:row>
                    <xdr:rowOff>31750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133350</xdr:rowOff>
                  </from>
                  <to>
                    <xdr:col>5</xdr:col>
                    <xdr:colOff>0</xdr:colOff>
                    <xdr:row>21</xdr:row>
                    <xdr:rowOff>31750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133350</xdr:rowOff>
                  </from>
                  <to>
                    <xdr:col>5</xdr:col>
                    <xdr:colOff>0</xdr:colOff>
                    <xdr:row>22</xdr:row>
                    <xdr:rowOff>31750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133350</xdr:rowOff>
                  </from>
                  <to>
                    <xdr:col>5</xdr:col>
                    <xdr:colOff>0</xdr:colOff>
                    <xdr:row>23</xdr:row>
                    <xdr:rowOff>31750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133350</xdr:rowOff>
                  </from>
                  <to>
                    <xdr:col>5</xdr:col>
                    <xdr:colOff>0</xdr:colOff>
                    <xdr:row>24</xdr:row>
                    <xdr:rowOff>31750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133350</xdr:rowOff>
                  </from>
                  <to>
                    <xdr:col>5</xdr:col>
                    <xdr:colOff>0</xdr:colOff>
                    <xdr:row>25</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8" zoomScale="80" zoomScaleNormal="80" workbookViewId="0">
      <selection activeCell="AH35" sqref="AH35"/>
    </sheetView>
  </sheetViews>
  <sheetFormatPr defaultRowHeight="12.5" x14ac:dyDescent="0.25"/>
  <cols>
    <col min="1" max="1" width="39" customWidth="1"/>
    <col min="2" max="2" width="2.1796875" customWidth="1"/>
    <col min="3" max="3" width="13" customWidth="1"/>
    <col min="4" max="4" width="15.26953125" customWidth="1"/>
    <col min="5" max="5" width="10.453125" customWidth="1"/>
    <col min="6" max="6" width="5.54296875" customWidth="1"/>
    <col min="7" max="8" width="13.26953125" customWidth="1"/>
    <col min="9" max="9" width="14.54296875" customWidth="1"/>
    <col min="10" max="10" width="13.26953125" customWidth="1"/>
    <col min="11" max="11" width="5.54296875" bestFit="1" customWidth="1"/>
    <col min="12" max="12" width="15.1796875" customWidth="1"/>
    <col min="13" max="13" width="17.26953125" bestFit="1" customWidth="1"/>
    <col min="14" max="14" width="17.7265625" customWidth="1"/>
    <col min="15" max="15" width="18.7265625" customWidth="1"/>
    <col min="16" max="16" width="15" customWidth="1"/>
    <col min="17" max="17" width="12.81640625" bestFit="1" customWidth="1"/>
    <col min="18" max="18" width="10.542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c r="Q1" s="203"/>
    </row>
    <row r="2" spans="1:30" ht="20" x14ac:dyDescent="0.4">
      <c r="A2" s="496" t="s">
        <v>246</v>
      </c>
      <c r="B2" s="496"/>
      <c r="C2" s="496"/>
      <c r="D2" s="496"/>
      <c r="E2" s="496"/>
      <c r="F2" s="496"/>
      <c r="G2" s="496"/>
      <c r="H2" s="496"/>
      <c r="I2" s="496"/>
      <c r="J2" s="496"/>
      <c r="K2" s="496"/>
      <c r="L2" s="496"/>
      <c r="M2" s="496"/>
      <c r="N2" s="496"/>
      <c r="O2" s="496"/>
      <c r="P2" s="496"/>
      <c r="Q2" s="197"/>
    </row>
    <row r="3" spans="1:30" ht="18" x14ac:dyDescent="0.4">
      <c r="A3" s="481" t="s">
        <v>95</v>
      </c>
      <c r="B3" s="481"/>
      <c r="C3" s="481"/>
      <c r="D3" s="481"/>
      <c r="E3" s="481"/>
      <c r="F3" s="481"/>
      <c r="G3" s="481"/>
      <c r="H3" s="481"/>
      <c r="I3" s="481"/>
      <c r="J3" s="481"/>
      <c r="K3" s="481"/>
      <c r="L3" s="481"/>
      <c r="M3" s="481"/>
      <c r="N3" s="481"/>
      <c r="O3" s="481"/>
      <c r="P3" s="481"/>
      <c r="Q3" s="198"/>
    </row>
    <row r="4" spans="1:30" ht="15.5" x14ac:dyDescent="0.35">
      <c r="A4" s="481"/>
      <c r="B4" s="481"/>
      <c r="C4" s="481"/>
      <c r="D4" s="481"/>
      <c r="E4" s="481"/>
      <c r="F4" s="481"/>
      <c r="G4" s="481"/>
      <c r="H4" s="481"/>
      <c r="I4" s="481"/>
      <c r="J4" s="481"/>
      <c r="K4" s="481"/>
      <c r="L4" s="481"/>
      <c r="M4" s="481"/>
      <c r="N4" s="481"/>
      <c r="O4" s="481"/>
      <c r="P4" s="481"/>
      <c r="Q4" s="199"/>
    </row>
    <row r="5" spans="1:30" x14ac:dyDescent="0.25">
      <c r="A5" s="76">
        <f ca="1">TODAY()</f>
        <v>45476</v>
      </c>
      <c r="B5" s="488" t="s">
        <v>248</v>
      </c>
      <c r="C5" s="488"/>
      <c r="D5" s="488"/>
      <c r="E5" s="488"/>
      <c r="F5" s="488"/>
      <c r="G5" s="488"/>
      <c r="H5" s="488"/>
      <c r="I5" s="488"/>
      <c r="J5" s="488"/>
      <c r="K5" s="488"/>
      <c r="L5" s="488"/>
      <c r="M5" s="488"/>
      <c r="N5" s="488"/>
      <c r="O5" s="488"/>
    </row>
    <row r="6" spans="1:30" x14ac:dyDescent="0.25">
      <c r="A6" s="479" t="s">
        <v>15</v>
      </c>
      <c r="B6" s="479"/>
      <c r="C6" s="479"/>
      <c r="D6" s="479"/>
      <c r="E6" s="479"/>
      <c r="F6" s="479"/>
      <c r="G6" s="479"/>
      <c r="H6" s="479"/>
      <c r="I6" s="479"/>
      <c r="J6" s="479"/>
      <c r="K6" s="479"/>
    </row>
    <row r="7" spans="1:30" x14ac:dyDescent="0.25">
      <c r="C7" s="18"/>
      <c r="D7" s="18"/>
      <c r="E7" s="18"/>
      <c r="F7" s="18"/>
      <c r="G7" s="18"/>
      <c r="H7" s="18"/>
      <c r="I7" s="18"/>
      <c r="J7" s="18"/>
      <c r="K7" s="18"/>
    </row>
    <row r="8" spans="1:30" ht="15.5" x14ac:dyDescent="0.35">
      <c r="A8" s="23" t="s">
        <v>2</v>
      </c>
      <c r="B8" s="24"/>
      <c r="C8" s="25">
        <f>'Customer Info'!B7</f>
        <v>0</v>
      </c>
      <c r="I8" s="26"/>
    </row>
    <row r="9" spans="1:30" ht="15.5" x14ac:dyDescent="0.35">
      <c r="A9" s="27" t="s">
        <v>26</v>
      </c>
      <c r="B9" s="24"/>
      <c r="C9" s="25">
        <f>'Customer Info'!B8</f>
        <v>0</v>
      </c>
    </row>
    <row r="10" spans="1:30" ht="13" x14ac:dyDescent="0.3">
      <c r="A10" s="23" t="s">
        <v>3</v>
      </c>
      <c r="B10" s="200">
        <f>'Customer Info'!B9</f>
        <v>7</v>
      </c>
      <c r="C10" s="194" t="str">
        <f>LOOKUP(B10,S11:AD11,S12:AD12)</f>
        <v>July</v>
      </c>
      <c r="D10" s="133">
        <f>'Customer Info'!C9</f>
        <v>2024</v>
      </c>
    </row>
    <row r="11" spans="1:30" ht="13" x14ac:dyDescent="0.3">
      <c r="A11" s="494"/>
      <c r="B11" s="494"/>
      <c r="C11" s="494"/>
      <c r="D11" s="494"/>
      <c r="E11" s="494"/>
      <c r="F11" s="494"/>
      <c r="G11" s="494"/>
      <c r="H11" s="494"/>
      <c r="I11" s="494"/>
      <c r="J11" s="94"/>
      <c r="K11" s="94"/>
      <c r="L11" s="94"/>
      <c r="M11" s="94"/>
      <c r="N11" s="94"/>
      <c r="O11" s="94"/>
      <c r="P11" s="94"/>
      <c r="S11">
        <v>1</v>
      </c>
      <c r="T11">
        <v>2</v>
      </c>
      <c r="U11">
        <v>3</v>
      </c>
      <c r="V11">
        <v>4</v>
      </c>
      <c r="W11">
        <v>5</v>
      </c>
      <c r="X11">
        <v>6</v>
      </c>
      <c r="Y11">
        <v>7</v>
      </c>
      <c r="Z11">
        <v>8</v>
      </c>
      <c r="AA11">
        <v>9</v>
      </c>
      <c r="AB11">
        <v>10</v>
      </c>
      <c r="AC11">
        <v>11</v>
      </c>
      <c r="AD11">
        <v>12</v>
      </c>
    </row>
    <row r="12" spans="1:30" ht="13" x14ac:dyDescent="0.3">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5">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ht="13" x14ac:dyDescent="0.3">
      <c r="A16" s="31"/>
      <c r="B16" s="31"/>
      <c r="C16" s="33"/>
      <c r="D16" s="33"/>
      <c r="E16" s="33"/>
      <c r="F16" s="33"/>
      <c r="G16" s="23"/>
      <c r="H16" s="31"/>
      <c r="I16" s="31"/>
      <c r="R16" t="s">
        <v>164</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ht="13" x14ac:dyDescent="0.3">
      <c r="A17" s="28" t="s">
        <v>124</v>
      </c>
      <c r="B17" s="22"/>
      <c r="C17" s="22"/>
      <c r="D17" s="22"/>
      <c r="E17" s="22"/>
      <c r="F17" s="22"/>
      <c r="G17" s="490" t="s">
        <v>68</v>
      </c>
      <c r="H17" s="491"/>
      <c r="I17" s="491"/>
      <c r="J17" s="492"/>
      <c r="K17" s="22"/>
      <c r="L17" s="493" t="s">
        <v>69</v>
      </c>
      <c r="M17" s="493"/>
      <c r="N17" s="493"/>
      <c r="O17" s="493"/>
      <c r="R17" t="s">
        <v>165</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166</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5">
      <c r="A19" t="s">
        <v>32</v>
      </c>
      <c r="G19" s="83"/>
      <c r="H19" s="83"/>
      <c r="I19" s="125">
        <v>10</v>
      </c>
      <c r="J19" s="125">
        <f>SUM(G19:I19)</f>
        <v>10</v>
      </c>
      <c r="L19" s="125"/>
      <c r="M19" s="125"/>
      <c r="N19" s="125">
        <f>I19</f>
        <v>10</v>
      </c>
      <c r="O19" s="125">
        <f>+SUM(L19:N19)</f>
        <v>10</v>
      </c>
      <c r="P19" s="245">
        <v>44531</v>
      </c>
      <c r="R19" s="3" t="s">
        <v>192</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247</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ht="13" x14ac:dyDescent="0.3">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IF($C$14&lt;0,0,IF($C$14&gt;833000,833000,$C$14))</f>
        <v>0</v>
      </c>
      <c r="E25" s="101" t="s">
        <v>41</v>
      </c>
      <c r="F25" s="102" t="s">
        <v>8</v>
      </c>
      <c r="G25" s="103"/>
      <c r="H25" s="103"/>
      <c r="I25" s="103">
        <f>'Rider Rates'!$B$4</f>
        <v>5.9216E-3</v>
      </c>
      <c r="J25" s="201">
        <f t="shared" ref="J25:J45" si="0">SUM(G25:I25)</f>
        <v>5.9216E-3</v>
      </c>
      <c r="K25" s="104" t="s">
        <v>42</v>
      </c>
      <c r="L25" s="105"/>
      <c r="M25" s="105"/>
      <c r="N25" s="105">
        <f t="shared" ref="N25:N30" si="1">ROUND(D25*I25,2)</f>
        <v>0</v>
      </c>
      <c r="O25" s="105">
        <f t="shared" ref="O25:O30"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160</v>
      </c>
      <c r="B31" s="78"/>
      <c r="C31" s="78"/>
      <c r="D31" s="100">
        <f>IF($C$14&lt;0,0,$C$14)</f>
        <v>0</v>
      </c>
      <c r="E31" s="101" t="s">
        <v>41</v>
      </c>
      <c r="F31" s="102" t="s">
        <v>8</v>
      </c>
      <c r="G31" s="103"/>
      <c r="H31" s="103"/>
      <c r="I31" s="103">
        <f>'Rider Rates'!B15</f>
        <v>-9.7000000000000005E-4</v>
      </c>
      <c r="J31" s="103">
        <f>SUM(G31:I31)</f>
        <v>-9.7000000000000005E-4</v>
      </c>
      <c r="K31" s="104" t="s">
        <v>42</v>
      </c>
      <c r="L31" s="105"/>
      <c r="M31" s="105"/>
      <c r="N31" s="105">
        <f>ROUND(D31*I31,2)</f>
        <v>0</v>
      </c>
      <c r="O31" s="105">
        <f t="shared" ref="O31:O37" si="3">SUM(L31:N31)</f>
        <v>0</v>
      </c>
      <c r="P31" s="245">
        <f>'Rider Rates'!$D$15</f>
        <v>45474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41" t="s">
        <v>238</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193</v>
      </c>
      <c r="B33" s="78"/>
      <c r="C33" s="78"/>
      <c r="D33" s="100">
        <f>'Customer Info'!$B$21+'Customer Info'!$B$22-'Customer Info'!$B$23</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t="e">
        <f>'Rider Rates'!#REF!</f>
        <v>#REF!</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162</v>
      </c>
      <c r="B34" s="78"/>
      <c r="C34" s="78"/>
      <c r="D34" s="100">
        <f>'Customer Info'!$B$21+'Customer Info'!$B$22-'Customer Info'!$B$23</f>
        <v>0</v>
      </c>
      <c r="E34" s="101" t="s">
        <v>41</v>
      </c>
      <c r="F34" s="102" t="s">
        <v>8</v>
      </c>
      <c r="G34" s="103">
        <f>'Rider Rates'!$B$28</f>
        <v>3.2000000000000002E-3</v>
      </c>
      <c r="H34" s="103"/>
      <c r="I34" s="103"/>
      <c r="J34" s="237">
        <f>SUM(G34:H34)</f>
        <v>3.2000000000000002E-3</v>
      </c>
      <c r="K34" s="104" t="s">
        <v>42</v>
      </c>
      <c r="L34" s="105">
        <f>ROUND(D34*G34,2)</f>
        <v>0</v>
      </c>
      <c r="M34" s="105"/>
      <c r="N34" s="105"/>
      <c r="O34" s="105">
        <f t="shared" si="3"/>
        <v>0</v>
      </c>
      <c r="P34" s="245" t="e">
        <f>'Rider Rates'!#REF!</f>
        <v>#REF!</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194</v>
      </c>
      <c r="B35" s="78"/>
      <c r="C35" s="78"/>
      <c r="D35" s="100">
        <f>'Customer Info'!$B$21+'Customer Info'!$B$22-'Customer Info'!$B$23</f>
        <v>0</v>
      </c>
      <c r="E35" s="101" t="s">
        <v>41</v>
      </c>
      <c r="F35" s="102" t="s">
        <v>8</v>
      </c>
      <c r="G35" s="103">
        <f>'Rider Rates'!B45</f>
        <v>-3.1569999999999998E-4</v>
      </c>
      <c r="H35" s="103"/>
      <c r="I35" s="103"/>
      <c r="J35" s="237">
        <f>SUM(G35:H35)</f>
        <v>-3.1569999999999998E-4</v>
      </c>
      <c r="K35" s="104" t="s">
        <v>42</v>
      </c>
      <c r="L35" s="105">
        <f>ROUND(D35*G35,2)</f>
        <v>0</v>
      </c>
      <c r="M35" s="105"/>
      <c r="N35" s="105"/>
      <c r="O35" s="105">
        <f>SUM(L35:N35)</f>
        <v>0</v>
      </c>
      <c r="P35" s="245">
        <f>'Rider Rates'!$D$45</f>
        <v>45383</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211</v>
      </c>
      <c r="B36" s="78"/>
      <c r="C36" s="78"/>
      <c r="D36" s="100"/>
      <c r="E36" s="101" t="s">
        <v>115</v>
      </c>
      <c r="F36" s="102"/>
      <c r="G36" s="103"/>
      <c r="H36" s="103"/>
      <c r="I36" s="103">
        <f>'Rider Rates'!D48</f>
        <v>1.39</v>
      </c>
      <c r="J36" s="103">
        <f>SUM(G36:I36)</f>
        <v>1.39</v>
      </c>
      <c r="K36" s="104" t="s">
        <v>42</v>
      </c>
      <c r="L36" s="105"/>
      <c r="M36" s="105"/>
      <c r="N36" s="105">
        <f>J36</f>
        <v>1.39</v>
      </c>
      <c r="O36" s="105">
        <f>SUM(L36:N36)</f>
        <v>1.39</v>
      </c>
      <c r="P36" s="245">
        <f>'Rider Rates'!E48</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190</v>
      </c>
      <c r="B37" s="78"/>
      <c r="C37" s="78"/>
      <c r="D37" s="100">
        <f>IF($C$14&lt;0,0,$C$14)</f>
        <v>0</v>
      </c>
      <c r="E37" s="113" t="s">
        <v>41</v>
      </c>
      <c r="F37" s="102" t="s">
        <v>8</v>
      </c>
      <c r="G37" s="103"/>
      <c r="H37" s="103">
        <f>'Rider Rates'!$B$55</f>
        <v>4.3837099999999997E-2</v>
      </c>
      <c r="I37" s="103"/>
      <c r="J37" s="103">
        <f>SUM(G37:I37)</f>
        <v>4.3837099999999997E-2</v>
      </c>
      <c r="K37" s="104" t="s">
        <v>42</v>
      </c>
      <c r="L37" s="105"/>
      <c r="M37" s="105">
        <f>ROUND(D37*H37,2)</f>
        <v>0</v>
      </c>
      <c r="N37" s="205"/>
      <c r="O37" s="105">
        <f t="shared" si="3"/>
        <v>0</v>
      </c>
      <c r="P37" s="245">
        <f>'Rider Rates'!$D$55</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96</v>
      </c>
      <c r="B38" s="78"/>
      <c r="C38" s="78"/>
      <c r="D38" s="100">
        <f>IF('Customer Info'!C34=TRUE,0,IF($C$14&lt;0,0,$C$14))</f>
        <v>0</v>
      </c>
      <c r="E38" s="101" t="s">
        <v>41</v>
      </c>
      <c r="F38" s="102" t="s">
        <v>8</v>
      </c>
      <c r="G38" s="103"/>
      <c r="H38" s="103"/>
      <c r="I38" s="103">
        <f>'Rider Rates'!$B$67+'Rider Rates'!$C$67</f>
        <v>0</v>
      </c>
      <c r="J38" s="103">
        <f t="shared" si="0"/>
        <v>0</v>
      </c>
      <c r="K38" s="104" t="s">
        <v>42</v>
      </c>
      <c r="L38" s="105"/>
      <c r="M38" s="105"/>
      <c r="N38" s="105">
        <f>ROUND($D$38*'Rider Rates'!$B$67,2)+ROUND($D$38*'Rider Rates'!$C$67,2)</f>
        <v>0</v>
      </c>
      <c r="O38" s="105">
        <f>SUM(L38:N38)</f>
        <v>0</v>
      </c>
      <c r="P38" s="245">
        <f>'Rider Rates'!$D$67</f>
        <v>45444</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99" t="s">
        <v>81</v>
      </c>
      <c r="B39" s="78"/>
      <c r="C39" s="78"/>
      <c r="D39" s="195">
        <f>$N$21</f>
        <v>10</v>
      </c>
      <c r="E39" s="101" t="s">
        <v>122</v>
      </c>
      <c r="F39" s="102" t="s">
        <v>8</v>
      </c>
      <c r="G39" s="111"/>
      <c r="H39" s="112"/>
      <c r="I39" s="120">
        <f>'Rider Rates'!$B$83</f>
        <v>2.9347000000000002E-2</v>
      </c>
      <c r="J39" s="120">
        <f t="shared" si="0"/>
        <v>2.9347000000000002E-2</v>
      </c>
      <c r="K39" s="104"/>
      <c r="L39" s="105"/>
      <c r="M39" s="105"/>
      <c r="N39" s="105">
        <f>ROUND(D39*I39,2)</f>
        <v>0.28999999999999998</v>
      </c>
      <c r="O39" s="105">
        <f>SUM(L39:N39)</f>
        <v>0.28999999999999998</v>
      </c>
      <c r="P39" s="245">
        <f>'Rider Rates'!$D$83</f>
        <v>45383</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82</v>
      </c>
      <c r="B40" s="78"/>
      <c r="C40" s="78"/>
      <c r="D40" s="195">
        <f>$N$21</f>
        <v>10</v>
      </c>
      <c r="E40" s="101" t="s">
        <v>122</v>
      </c>
      <c r="F40" s="102" t="s">
        <v>8</v>
      </c>
      <c r="G40" s="114"/>
      <c r="H40" s="115"/>
      <c r="I40" s="120">
        <f>'Rider Rates'!$B$85</f>
        <v>6.6985699999999995E-2</v>
      </c>
      <c r="J40" s="120">
        <f t="shared" si="0"/>
        <v>6.6985699999999995E-2</v>
      </c>
      <c r="K40" s="104"/>
      <c r="L40" s="105"/>
      <c r="M40" s="105"/>
      <c r="N40" s="105">
        <f>ROUND(D40*I40,2)</f>
        <v>0.67</v>
      </c>
      <c r="O40" s="105">
        <f>SUM(L40:N40)</f>
        <v>0.67</v>
      </c>
      <c r="P40" s="245">
        <f>'Rider Rates'!$D$85</f>
        <v>45167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210" t="s">
        <v>207</v>
      </c>
      <c r="B41" s="78"/>
      <c r="C41" s="78"/>
      <c r="D41" s="195"/>
      <c r="E41" s="113" t="s">
        <v>115</v>
      </c>
      <c r="F41" s="106"/>
      <c r="G41" s="114"/>
      <c r="H41" s="115"/>
      <c r="I41" s="196">
        <f>'Rider Rates'!$B$88</f>
        <v>1.42</v>
      </c>
      <c r="J41" s="196">
        <f t="shared" si="0"/>
        <v>1.42</v>
      </c>
      <c r="K41" s="104"/>
      <c r="L41" s="105"/>
      <c r="M41" s="105"/>
      <c r="N41" s="105">
        <f>I41</f>
        <v>1.42</v>
      </c>
      <c r="O41" s="105">
        <f>SUM(L41:N41)</f>
        <v>1.42</v>
      </c>
      <c r="P41" s="245">
        <f>'Rider Rates'!$D$88</f>
        <v>45442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240</v>
      </c>
      <c r="B42" s="78"/>
      <c r="C42" s="78"/>
      <c r="D42" s="100">
        <f>IF($C$14&lt;0,0,$C$14)</f>
        <v>0</v>
      </c>
      <c r="E42" s="101" t="s">
        <v>41</v>
      </c>
      <c r="F42" s="102" t="s">
        <v>8</v>
      </c>
      <c r="G42" s="103"/>
      <c r="H42" s="103"/>
      <c r="I42" s="103"/>
      <c r="J42" s="103">
        <f>'Rider Rates'!$B$92</f>
        <v>0</v>
      </c>
      <c r="K42" s="104" t="s">
        <v>42</v>
      </c>
      <c r="L42" s="105"/>
      <c r="M42" s="105"/>
      <c r="N42" s="105"/>
      <c r="O42" s="105">
        <f>ROUND($D42*('Rider Rates'!B$92),2)</f>
        <v>0</v>
      </c>
      <c r="P42" s="245">
        <f>'Rider Rates'!$D$92</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99" t="s">
        <v>157</v>
      </c>
      <c r="B43" s="78"/>
      <c r="C43" s="78"/>
      <c r="D43" s="195">
        <f>$N$21</f>
        <v>10</v>
      </c>
      <c r="E43" s="101" t="s">
        <v>122</v>
      </c>
      <c r="F43" s="102" t="s">
        <v>8</v>
      </c>
      <c r="G43" s="114"/>
      <c r="H43" s="115"/>
      <c r="I43" s="120">
        <f>'Rider Rates'!$B$103</f>
        <v>0.21398439999999999</v>
      </c>
      <c r="J43" s="120">
        <f t="shared" si="0"/>
        <v>0.21398439999999999</v>
      </c>
      <c r="K43" s="104"/>
      <c r="L43" s="105"/>
      <c r="M43" s="105"/>
      <c r="N43" s="105">
        <f>ROUND(D43*I43,2)</f>
        <v>2.14</v>
      </c>
      <c r="O43" s="105">
        <f t="shared" ref="O43:O48" si="4">SUM(L43:N43)</f>
        <v>2.14</v>
      </c>
      <c r="P43" s="245">
        <f>'Rider Rates'!$D$103</f>
        <v>45351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210" t="s">
        <v>210</v>
      </c>
      <c r="B44" s="78"/>
      <c r="C44" s="78"/>
      <c r="D44" s="195"/>
      <c r="E44" s="113" t="s">
        <v>115</v>
      </c>
      <c r="F44" s="106"/>
      <c r="G44" s="114"/>
      <c r="H44" s="115"/>
      <c r="I44" s="196">
        <f>'Rider Rates'!$B$106</f>
        <v>0</v>
      </c>
      <c r="J44" s="196">
        <f t="shared" si="0"/>
        <v>0</v>
      </c>
      <c r="K44" s="104"/>
      <c r="L44" s="105"/>
      <c r="M44" s="105"/>
      <c r="N44" s="105">
        <f>I44</f>
        <v>0</v>
      </c>
      <c r="O44" s="105">
        <f t="shared" si="4"/>
        <v>0</v>
      </c>
      <c r="P44" s="245">
        <f>'Rider Rates'!$D$106</f>
        <v>44894</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218</v>
      </c>
      <c r="B45" s="78"/>
      <c r="C45" s="78"/>
      <c r="D45" s="195"/>
      <c r="E45" s="113" t="s">
        <v>115</v>
      </c>
      <c r="F45" s="106"/>
      <c r="G45" s="114"/>
      <c r="H45" s="115"/>
      <c r="I45" s="258">
        <f>'Rider Rates'!B119</f>
        <v>1.26</v>
      </c>
      <c r="J45" s="196">
        <f t="shared" si="0"/>
        <v>1.26</v>
      </c>
      <c r="K45" s="104"/>
      <c r="L45" s="105"/>
      <c r="M45" s="105"/>
      <c r="N45" s="260">
        <f>I45</f>
        <v>1.26</v>
      </c>
      <c r="O45" s="105">
        <f t="shared" si="4"/>
        <v>1.26</v>
      </c>
      <c r="P45" s="245">
        <f>'Rider Rates'!D119</f>
        <v>45226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158</v>
      </c>
      <c r="B46" s="78"/>
      <c r="C46" s="78"/>
      <c r="D46" s="100">
        <f>'Customer Info'!$B$21+'Customer Info'!$B$22-'Customer Info'!$B$23</f>
        <v>0</v>
      </c>
      <c r="E46" s="101" t="s">
        <v>41</v>
      </c>
      <c r="F46" s="102" t="s">
        <v>8</v>
      </c>
      <c r="G46" s="103">
        <f>'Rider Rates'!$B$110</f>
        <v>3.8972999999999998E-3</v>
      </c>
      <c r="H46" s="103"/>
      <c r="I46" s="120"/>
      <c r="J46" s="237">
        <f>SUM(G46:H46)</f>
        <v>3.8972999999999998E-3</v>
      </c>
      <c r="K46" s="104" t="s">
        <v>42</v>
      </c>
      <c r="L46" s="105">
        <f>ROUND(D46*G46,2)</f>
        <v>0</v>
      </c>
      <c r="M46" s="105"/>
      <c r="N46" s="105"/>
      <c r="O46" s="105">
        <f t="shared" si="4"/>
        <v>0</v>
      </c>
      <c r="P46" s="245">
        <f>'Rider Rates'!$D$110</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209</v>
      </c>
      <c r="B47" s="78"/>
      <c r="C47" s="78"/>
      <c r="D47" s="100">
        <f>IF($C$14&lt;1,0,$C$14)</f>
        <v>0</v>
      </c>
      <c r="E47" s="101" t="s">
        <v>41</v>
      </c>
      <c r="F47" s="249" t="s">
        <v>8</v>
      </c>
      <c r="G47" s="103"/>
      <c r="H47" s="103"/>
      <c r="I47" s="237">
        <f>'Rider Rates'!$B$115</f>
        <v>-2.3000000000000001E-4</v>
      </c>
      <c r="J47" s="237">
        <f>SUM(G47:I47)</f>
        <v>-2.3000000000000001E-4</v>
      </c>
      <c r="K47" s="104" t="s">
        <v>42</v>
      </c>
      <c r="L47" s="105"/>
      <c r="M47" s="105"/>
      <c r="N47" s="105">
        <f>D47*J47</f>
        <v>0</v>
      </c>
      <c r="O47" s="105">
        <f t="shared" si="4"/>
        <v>0</v>
      </c>
      <c r="P47" s="245">
        <f>'Rider Rates'!D115</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231</v>
      </c>
      <c r="B48" s="78"/>
      <c r="C48" s="78"/>
      <c r="D48" s="100"/>
      <c r="E48" s="101" t="s">
        <v>115</v>
      </c>
      <c r="F48" s="102" t="s">
        <v>8</v>
      </c>
      <c r="G48" s="263"/>
      <c r="H48" s="263"/>
      <c r="I48" s="263">
        <f>'Rider Rates'!$B$123</f>
        <v>0.1</v>
      </c>
      <c r="J48" s="263">
        <f>SUM(G48:I48)</f>
        <v>0.1</v>
      </c>
      <c r="K48" s="104"/>
      <c r="L48" s="209"/>
      <c r="M48" s="209"/>
      <c r="N48" s="209">
        <f>J48</f>
        <v>0.1</v>
      </c>
      <c r="O48" s="209">
        <f t="shared" si="4"/>
        <v>0.1</v>
      </c>
      <c r="P48" s="264">
        <f>'Rider Rates'!$E$123</f>
        <v>44927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243</v>
      </c>
      <c r="B49" s="78"/>
      <c r="C49" s="78"/>
      <c r="D49" s="100">
        <f>C14</f>
        <v>0</v>
      </c>
      <c r="E49" s="101" t="s">
        <v>41</v>
      </c>
      <c r="F49" s="249" t="s">
        <v>8</v>
      </c>
      <c r="G49" s="103"/>
      <c r="H49" s="103"/>
      <c r="I49" s="103">
        <f>'Rider Rates'!$B$128</f>
        <v>0</v>
      </c>
      <c r="J49" s="237">
        <f>SUM(G49:I49)</f>
        <v>0</v>
      </c>
      <c r="K49" s="104" t="s">
        <v>42</v>
      </c>
      <c r="L49" s="105"/>
      <c r="M49" s="105"/>
      <c r="N49" s="105">
        <f>D49*J49</f>
        <v>0</v>
      </c>
      <c r="O49" s="105">
        <f>SUM(L49:N49)</f>
        <v>0</v>
      </c>
      <c r="P49" s="245">
        <f>'Rider Rates'!D128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242</v>
      </c>
      <c r="B50" s="78"/>
      <c r="C50" s="78"/>
      <c r="D50" s="100"/>
      <c r="E50" s="101" t="s">
        <v>115</v>
      </c>
      <c r="F50" s="102" t="s">
        <v>8</v>
      </c>
      <c r="G50" s="263"/>
      <c r="H50" s="263"/>
      <c r="I50" s="263">
        <f>'Rider Rates'!$B$135</f>
        <v>0</v>
      </c>
      <c r="J50" s="263">
        <f>SUM(G50:I50)</f>
        <v>0</v>
      </c>
      <c r="K50" s="104"/>
      <c r="L50" s="209"/>
      <c r="M50" s="209"/>
      <c r="N50" s="209">
        <f>J50</f>
        <v>0</v>
      </c>
      <c r="O50" s="209">
        <f>SUM(L50:N50)</f>
        <v>0</v>
      </c>
      <c r="P50" s="264">
        <f>'Rider Rates'!$D$131</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244</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ht="13" x14ac:dyDescent="0.3">
      <c r="A52" s="179" t="s">
        <v>71</v>
      </c>
      <c r="B52" s="148"/>
      <c r="C52" s="148"/>
      <c r="D52" s="180"/>
      <c r="E52" s="181"/>
      <c r="F52" s="182"/>
      <c r="G52" s="182"/>
      <c r="H52" s="182"/>
      <c r="I52" s="182"/>
      <c r="J52" s="182"/>
      <c r="K52" s="183"/>
      <c r="L52" s="169">
        <f>SUM(L25:L51)</f>
        <v>0</v>
      </c>
      <c r="M52" s="169">
        <f t="shared" ref="M52:O52" si="5">SUM(M25:M51)</f>
        <v>0</v>
      </c>
      <c r="N52" s="169">
        <f t="shared" si="5"/>
        <v>7.27</v>
      </c>
      <c r="O52" s="169">
        <f t="shared" si="5"/>
        <v>7.27</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ht="13" x14ac:dyDescent="0.3">
      <c r="A54" s="170"/>
      <c r="B54" s="170"/>
      <c r="C54" s="170"/>
      <c r="D54" s="170"/>
      <c r="E54" s="170"/>
      <c r="F54" s="170"/>
      <c r="G54" s="170"/>
      <c r="H54" s="170"/>
      <c r="I54" s="170"/>
      <c r="J54" s="170"/>
      <c r="K54" s="170"/>
      <c r="L54" s="186">
        <f>L21+L52</f>
        <v>0</v>
      </c>
      <c r="M54" s="186">
        <f>M21+M52</f>
        <v>0</v>
      </c>
      <c r="N54" s="186">
        <f>N21+N52</f>
        <v>17.27</v>
      </c>
      <c r="O54" s="187">
        <f>O21+O52</f>
        <v>17.27</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ht="13" x14ac:dyDescent="0.3">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148" t="s">
        <v>117</v>
      </c>
      <c r="B58" s="151"/>
      <c r="C58" s="151"/>
      <c r="D58" s="151"/>
      <c r="E58" s="151"/>
      <c r="F58" s="151"/>
      <c r="G58" s="151"/>
      <c r="H58" s="151"/>
      <c r="I58" s="151"/>
      <c r="J58" s="151"/>
      <c r="K58" s="151"/>
      <c r="L58" s="151"/>
      <c r="M58" s="151"/>
      <c r="N58" s="151"/>
      <c r="O58" s="190">
        <f>IF($C$14&lt;0,O54,IF(O54&gt;O56,O54,I53))</f>
        <v>17.27</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ht="13" x14ac:dyDescent="0.3">
      <c r="A61" s="78"/>
      <c r="B61" s="78"/>
      <c r="C61" s="78"/>
      <c r="D61" s="78"/>
      <c r="E61" s="78"/>
      <c r="F61" s="78"/>
      <c r="G61" s="78"/>
      <c r="H61" s="192"/>
      <c r="I61" s="242" t="s">
        <v>191</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5">
      <c r="A62" s="78"/>
    </row>
    <row r="63" spans="1:236" x14ac:dyDescent="0.25">
      <c r="A63" s="78"/>
    </row>
    <row r="64" spans="1:236" x14ac:dyDescent="0.25">
      <c r="A64" s="78"/>
    </row>
    <row r="65" spans="1:1" x14ac:dyDescent="0.25">
      <c r="A65" s="78"/>
    </row>
    <row r="66" spans="1:1" x14ac:dyDescent="0.25">
      <c r="A66" s="78"/>
    </row>
    <row r="67" spans="1:1" x14ac:dyDescent="0.25">
      <c r="A67" s="78"/>
    </row>
  </sheetData>
  <sheetProtection algorithmName="SHA-512" hashValue="0Y7ZGDC153O9jI5viM6EB3KRkOinZd6txbHoHwurB5+OcqZaHYp3SnTlGaxT1gFiR+NT+NSOB/7TmvZzqL99eA==" saltValue="+zNlRFobQTG5PJm+ktSe2w=="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5" zoomScale="80" zoomScaleNormal="80" workbookViewId="0">
      <selection activeCell="I74" sqref="I74"/>
    </sheetView>
  </sheetViews>
  <sheetFormatPr defaultRowHeight="12.5" x14ac:dyDescent="0.25"/>
  <cols>
    <col min="1" max="1" width="39" customWidth="1"/>
    <col min="2" max="2" width="2.54296875" customWidth="1"/>
    <col min="3" max="3" width="13.54296875" customWidth="1"/>
    <col min="4" max="4" width="15.26953125" customWidth="1"/>
    <col min="5" max="5" width="9.7265625" customWidth="1"/>
    <col min="6" max="6" width="2.7265625" customWidth="1"/>
    <col min="7" max="8" width="13.26953125" customWidth="1"/>
    <col min="9" max="9" width="14.54296875" customWidth="1"/>
    <col min="10" max="10" width="13.26953125" customWidth="1"/>
    <col min="11" max="11" width="6.54296875" customWidth="1"/>
    <col min="12" max="12" width="15.1796875" customWidth="1"/>
    <col min="13" max="13" width="17.26953125" bestFit="1" customWidth="1"/>
    <col min="14" max="14" width="17.453125" customWidth="1"/>
    <col min="15" max="15" width="17.26953125" bestFit="1" customWidth="1"/>
    <col min="16" max="16" width="13" customWidth="1"/>
    <col min="17" max="17" width="12.81640625" bestFit="1" customWidth="1"/>
    <col min="18" max="18" width="10.54296875" hidden="1" customWidth="1"/>
    <col min="19" max="19" width="10.26953125" hidden="1" customWidth="1"/>
    <col min="20" max="23" width="10.81640625" hidden="1" customWidth="1"/>
    <col min="24" max="26" width="10.26953125" hidden="1" customWidth="1"/>
    <col min="27" max="27" width="10.54296875" hidden="1" customWidth="1"/>
    <col min="28" max="28" width="10.81640625" hidden="1" customWidth="1"/>
    <col min="29" max="30" width="10" hidden="1" customWidth="1"/>
    <col min="31" max="31" width="9.1796875" customWidth="1"/>
    <col min="32" max="32" width="10.26953125" customWidth="1"/>
    <col min="33" max="33" width="10.81640625" customWidth="1"/>
    <col min="34" max="34" width="10.26953125" customWidth="1"/>
  </cols>
  <sheetData>
    <row r="1" spans="1:59" ht="20" x14ac:dyDescent="0.4">
      <c r="A1" s="480" t="s">
        <v>120</v>
      </c>
      <c r="B1" s="480"/>
      <c r="C1" s="480"/>
      <c r="D1" s="480"/>
      <c r="E1" s="480"/>
      <c r="F1" s="480"/>
      <c r="G1" s="480"/>
      <c r="H1" s="480"/>
      <c r="I1" s="480"/>
      <c r="J1" s="480"/>
      <c r="K1" s="480"/>
      <c r="L1" s="480"/>
      <c r="M1" s="480"/>
      <c r="N1" s="480"/>
      <c r="O1" s="480"/>
      <c r="P1" s="480"/>
      <c r="Q1" s="197"/>
    </row>
    <row r="2" spans="1:59" ht="20" x14ac:dyDescent="0.4">
      <c r="A2" s="480" t="s">
        <v>279</v>
      </c>
      <c r="B2" s="480"/>
      <c r="C2" s="480"/>
      <c r="D2" s="480"/>
      <c r="E2" s="480"/>
      <c r="F2" s="480"/>
      <c r="G2" s="480"/>
      <c r="H2" s="480"/>
      <c r="I2" s="480"/>
      <c r="J2" s="480"/>
      <c r="K2" s="480"/>
      <c r="L2" s="480"/>
      <c r="M2" s="480"/>
      <c r="N2" s="480"/>
      <c r="O2" s="480"/>
      <c r="P2" s="480"/>
    </row>
    <row r="3" spans="1:59" ht="18" x14ac:dyDescent="0.4">
      <c r="A3" s="496" t="s">
        <v>116</v>
      </c>
      <c r="B3" s="496"/>
      <c r="C3" s="496"/>
      <c r="D3" s="496"/>
      <c r="E3" s="496"/>
      <c r="F3" s="496"/>
      <c r="G3" s="496"/>
      <c r="H3" s="496"/>
      <c r="I3" s="496"/>
      <c r="J3" s="496"/>
      <c r="K3" s="496"/>
      <c r="L3" s="496"/>
      <c r="M3" s="496"/>
      <c r="N3" s="496"/>
      <c r="O3" s="496"/>
      <c r="P3" s="496"/>
      <c r="Q3" s="198"/>
    </row>
    <row r="4" spans="1:59" ht="15.5" x14ac:dyDescent="0.3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5" x14ac:dyDescent="0.35">
      <c r="A5" s="75"/>
      <c r="B5" s="75"/>
      <c r="C5" s="75"/>
      <c r="D5" s="75"/>
      <c r="E5" s="75"/>
      <c r="F5" s="75"/>
      <c r="G5" s="75"/>
      <c r="H5" s="75"/>
      <c r="I5" s="75"/>
      <c r="J5" s="75"/>
      <c r="K5" s="75"/>
      <c r="L5" s="75"/>
      <c r="M5" s="75"/>
      <c r="N5" s="75"/>
      <c r="O5" s="75"/>
      <c r="P5" s="75"/>
      <c r="Q5" s="75"/>
    </row>
    <row r="6" spans="1:59" x14ac:dyDescent="0.25">
      <c r="A6" s="76">
        <f ca="1">TODAY()</f>
        <v>45476</v>
      </c>
      <c r="B6" s="488" t="s">
        <v>221</v>
      </c>
      <c r="C6" s="488"/>
      <c r="D6" s="488"/>
      <c r="E6" s="488"/>
      <c r="F6" s="488"/>
      <c r="G6" s="488"/>
      <c r="H6" s="488"/>
      <c r="I6" s="488"/>
      <c r="J6" s="488"/>
      <c r="K6" s="488"/>
      <c r="L6" s="488"/>
      <c r="M6" s="488"/>
      <c r="N6" s="488"/>
      <c r="O6" s="488"/>
    </row>
    <row r="7" spans="1:59" x14ac:dyDescent="0.25">
      <c r="A7" s="479" t="s">
        <v>15</v>
      </c>
      <c r="B7" s="479"/>
      <c r="C7" s="479"/>
      <c r="D7" s="479"/>
      <c r="E7" s="479"/>
      <c r="F7" s="479"/>
      <c r="G7" s="479"/>
      <c r="H7" s="479"/>
      <c r="I7" s="479"/>
      <c r="J7" s="479"/>
      <c r="K7" s="479"/>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7</v>
      </c>
      <c r="C11" s="194" t="str">
        <f>LOOKUP($B$11,$S$11:$AD$11,S12:AD12)</f>
        <v>July</v>
      </c>
      <c r="D11" s="133">
        <f>'Customer Info'!C9</f>
        <v>2024</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t="s">
        <v>176</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t="s">
        <v>177</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188</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222</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223</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178</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ht="13" x14ac:dyDescent="0.3">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79</v>
      </c>
      <c r="B31" s="176"/>
      <c r="C31" s="176"/>
      <c r="D31" s="100">
        <f>IF($D$17&lt;0,0,IF($D$17&gt;833000,833000,$D$17))</f>
        <v>0</v>
      </c>
      <c r="E31" s="101" t="s">
        <v>41</v>
      </c>
      <c r="F31" s="102" t="s">
        <v>8</v>
      </c>
      <c r="G31" s="103"/>
      <c r="H31" s="103"/>
      <c r="I31" s="103">
        <f>'Rider Rates'!$B$4</f>
        <v>5.9216E-3</v>
      </c>
      <c r="J31" s="103">
        <f t="shared" ref="J31:J38" si="0">SUM(G31:I31)</f>
        <v>5.9216E-3</v>
      </c>
      <c r="K31" s="104" t="s">
        <v>42</v>
      </c>
      <c r="L31" s="105"/>
      <c r="M31" s="105"/>
      <c r="N31" s="105">
        <f t="shared" ref="N31:N37" si="1">ROUND(D31*I31,2)</f>
        <v>0</v>
      </c>
      <c r="O31" s="250">
        <f t="shared" ref="O31:O54"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ht="13" x14ac:dyDescent="0.3">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160</v>
      </c>
      <c r="B37" s="78"/>
      <c r="C37" s="78"/>
      <c r="D37" s="100">
        <f>IF($D$17&lt;0,0,$D$17)</f>
        <v>0</v>
      </c>
      <c r="E37" s="101" t="s">
        <v>41</v>
      </c>
      <c r="F37" s="102" t="s">
        <v>8</v>
      </c>
      <c r="G37" s="103"/>
      <c r="H37" s="103"/>
      <c r="I37" s="103">
        <f>'Rider Rates'!$B$15</f>
        <v>-9.7000000000000005E-4</v>
      </c>
      <c r="J37" s="103">
        <f t="shared" si="0"/>
        <v>-9.7000000000000005E-4</v>
      </c>
      <c r="K37" s="104" t="s">
        <v>42</v>
      </c>
      <c r="L37" s="105"/>
      <c r="M37" s="105"/>
      <c r="N37" s="105">
        <f t="shared" si="1"/>
        <v>0</v>
      </c>
      <c r="O37" s="105">
        <f t="shared" si="2"/>
        <v>0</v>
      </c>
      <c r="P37" s="245">
        <f>'Rider Rates'!$D$15</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ht="13" x14ac:dyDescent="0.3">
      <c r="A38" s="210" t="s">
        <v>238</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187</v>
      </c>
      <c r="B39" s="78"/>
      <c r="C39" s="78"/>
      <c r="D39" s="100">
        <f>'Customer Info'!$B$21+'Customer Info'!$B$22</f>
        <v>0</v>
      </c>
      <c r="E39" s="101" t="s">
        <v>41</v>
      </c>
      <c r="F39" s="102" t="s">
        <v>8</v>
      </c>
      <c r="G39" s="103">
        <f>'Rider Rates'!B21</f>
        <v>7.0209999999999995E-2</v>
      </c>
      <c r="H39" s="103"/>
      <c r="I39" s="103"/>
      <c r="J39" s="237">
        <f>SUM(G39:H39)</f>
        <v>7.0209999999999995E-2</v>
      </c>
      <c r="K39" s="104" t="s">
        <v>42</v>
      </c>
      <c r="L39" s="105">
        <f>ROUND(D39*G39,2)</f>
        <v>0</v>
      </c>
      <c r="M39" s="105"/>
      <c r="N39" s="105"/>
      <c r="O39" s="105">
        <f t="shared" si="2"/>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163</v>
      </c>
      <c r="B40" s="78"/>
      <c r="C40" s="78"/>
      <c r="D40" s="100">
        <f>D18</f>
        <v>0</v>
      </c>
      <c r="E40" s="101" t="s">
        <v>41</v>
      </c>
      <c r="F40" s="102" t="s">
        <v>8</v>
      </c>
      <c r="G40" s="103">
        <f>'Rider Rates'!B31</f>
        <v>2.67383E-2</v>
      </c>
      <c r="H40" s="103"/>
      <c r="I40" s="103"/>
      <c r="J40" s="237">
        <f>SUM(G40:H40)</f>
        <v>2.67383E-2</v>
      </c>
      <c r="K40" s="104" t="s">
        <v>42</v>
      </c>
      <c r="L40" s="239">
        <f>ROUND($D$40*$G$40,2)</f>
        <v>0</v>
      </c>
      <c r="M40" s="105"/>
      <c r="N40" s="105"/>
      <c r="O40" s="105">
        <f>SUM(L40:N40)</f>
        <v>0</v>
      </c>
      <c r="P40" s="245">
        <f>'Rider Rates'!D31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220</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194</v>
      </c>
      <c r="B42" s="78"/>
      <c r="C42" s="78"/>
      <c r="D42" s="100">
        <f>'Customer Info'!$B$21+'Customer Info'!$B$22</f>
        <v>0</v>
      </c>
      <c r="E42" s="101" t="s">
        <v>41</v>
      </c>
      <c r="F42" s="102" t="s">
        <v>8</v>
      </c>
      <c r="G42" s="103">
        <f>'Rider Rates'!$B$45</f>
        <v>-3.1569999999999998E-4</v>
      </c>
      <c r="H42" s="103"/>
      <c r="I42" s="103"/>
      <c r="J42" s="237">
        <f>SUM(G42:H42)</f>
        <v>-3.1569999999999998E-4</v>
      </c>
      <c r="K42" s="104" t="s">
        <v>42</v>
      </c>
      <c r="L42" s="105">
        <f>ROUND(D42*G42,2)</f>
        <v>0</v>
      </c>
      <c r="M42" s="105"/>
      <c r="N42" s="105"/>
      <c r="O42" s="105">
        <f t="shared" si="2"/>
        <v>0</v>
      </c>
      <c r="P42" s="245">
        <f>'Rider Rates'!$D$45</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211</v>
      </c>
      <c r="B43" s="78"/>
      <c r="C43" s="78"/>
      <c r="D43" s="100"/>
      <c r="E43" s="101" t="s">
        <v>115</v>
      </c>
      <c r="F43" s="102"/>
      <c r="G43" s="103"/>
      <c r="H43" s="103"/>
      <c r="I43" s="103">
        <f>'Rider Rates'!D48</f>
        <v>1.39</v>
      </c>
      <c r="J43" s="237">
        <f t="shared" ref="J43:J48" si="3">SUM(G43:I43)</f>
        <v>1.39</v>
      </c>
      <c r="K43" s="104"/>
      <c r="L43" s="105"/>
      <c r="M43" s="105"/>
      <c r="N43" s="105">
        <f>J43</f>
        <v>1.39</v>
      </c>
      <c r="O43" s="105">
        <f>SUM(L43:N43)</f>
        <v>1.39</v>
      </c>
      <c r="P43" s="245">
        <f>'Rider Rates'!E48</f>
        <v>45474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190</v>
      </c>
      <c r="B44" s="78"/>
      <c r="C44" s="78"/>
      <c r="D44" s="100">
        <f>IF($D$17&lt;0,0,$D$17)</f>
        <v>0</v>
      </c>
      <c r="E44" s="113" t="s">
        <v>41</v>
      </c>
      <c r="F44" s="102" t="s">
        <v>8</v>
      </c>
      <c r="G44" s="103"/>
      <c r="H44" s="103">
        <f>'Rider Rates'!$B$55</f>
        <v>4.3837099999999997E-2</v>
      </c>
      <c r="I44" s="103"/>
      <c r="J44" s="103">
        <f t="shared" si="3"/>
        <v>4.3837099999999997E-2</v>
      </c>
      <c r="K44" s="104" t="s">
        <v>42</v>
      </c>
      <c r="L44" s="105"/>
      <c r="M44" s="105">
        <f>ROUND(D44*H44,2)</f>
        <v>0</v>
      </c>
      <c r="N44" s="205"/>
      <c r="O44" s="105">
        <f t="shared" si="2"/>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96</v>
      </c>
      <c r="B45" s="78"/>
      <c r="C45" s="78"/>
      <c r="D45" s="100">
        <f>IF('Customer Info'!C34=TRUE,0,IF($D$17&lt;0,0,$D$17))</f>
        <v>0</v>
      </c>
      <c r="E45" s="101" t="s">
        <v>41</v>
      </c>
      <c r="F45" s="102" t="s">
        <v>8</v>
      </c>
      <c r="G45" s="103"/>
      <c r="H45" s="103"/>
      <c r="I45" s="103">
        <f>'Rider Rates'!$B$67+'Rider Rates'!$C$67</f>
        <v>0</v>
      </c>
      <c r="J45" s="103">
        <f t="shared" si="3"/>
        <v>0</v>
      </c>
      <c r="K45" s="104" t="s">
        <v>42</v>
      </c>
      <c r="L45" s="105"/>
      <c r="M45" s="105"/>
      <c r="N45" s="105">
        <f>ROUND($D$45*'Rider Rates'!$B$67,2)+ROUND($D$45*'Rider Rates'!$C$67,2)</f>
        <v>0</v>
      </c>
      <c r="O45" s="250">
        <f t="shared" si="2"/>
        <v>0</v>
      </c>
      <c r="P45" s="245">
        <f>'Rider Rates'!$D$67</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81</v>
      </c>
      <c r="B46" s="78"/>
      <c r="C46" s="78"/>
      <c r="D46" s="195">
        <f>$N$27</f>
        <v>10</v>
      </c>
      <c r="E46" s="101" t="s">
        <v>122</v>
      </c>
      <c r="F46" s="102" t="s">
        <v>8</v>
      </c>
      <c r="G46" s="111"/>
      <c r="H46" s="112"/>
      <c r="I46" s="120">
        <f>'Rider Rates'!$B$83</f>
        <v>2.9347000000000002E-2</v>
      </c>
      <c r="J46" s="120">
        <f t="shared" si="3"/>
        <v>2.9347000000000002E-2</v>
      </c>
      <c r="K46" s="104"/>
      <c r="L46" s="105"/>
      <c r="M46" s="105"/>
      <c r="N46" s="105">
        <f>ROUND(D46*I46,2)</f>
        <v>0.28999999999999998</v>
      </c>
      <c r="O46" s="105">
        <f t="shared" si="2"/>
        <v>0.28999999999999998</v>
      </c>
      <c r="P46" s="245">
        <f>'Rider Rates'!$D$83</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99" t="s">
        <v>82</v>
      </c>
      <c r="B47" s="78"/>
      <c r="C47" s="78"/>
      <c r="D47" s="195">
        <f>$N$27</f>
        <v>10</v>
      </c>
      <c r="E47" s="101" t="s">
        <v>122</v>
      </c>
      <c r="F47" s="102" t="s">
        <v>8</v>
      </c>
      <c r="G47" s="114"/>
      <c r="H47" s="115"/>
      <c r="I47" s="120">
        <f>'Rider Rates'!$B$85</f>
        <v>6.6985699999999995E-2</v>
      </c>
      <c r="J47" s="120">
        <f t="shared" si="3"/>
        <v>6.6985699999999995E-2</v>
      </c>
      <c r="K47" s="104"/>
      <c r="L47" s="105"/>
      <c r="M47" s="105"/>
      <c r="N47" s="105">
        <f>ROUND(D47*I47,2)</f>
        <v>0.67</v>
      </c>
      <c r="O47" s="105">
        <f t="shared" si="2"/>
        <v>0.67</v>
      </c>
      <c r="P47" s="245">
        <f>'Rider Rates'!$D$85</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207</v>
      </c>
      <c r="B48" s="78"/>
      <c r="C48" s="78"/>
      <c r="D48" s="195"/>
      <c r="E48" s="113" t="s">
        <v>115</v>
      </c>
      <c r="F48" s="106"/>
      <c r="G48" s="114"/>
      <c r="H48" s="115"/>
      <c r="I48" s="196">
        <f>'Rider Rates'!$B$88</f>
        <v>1.42</v>
      </c>
      <c r="J48" s="196">
        <f t="shared" si="3"/>
        <v>1.42</v>
      </c>
      <c r="K48" s="104"/>
      <c r="L48" s="105"/>
      <c r="M48" s="105"/>
      <c r="N48" s="105">
        <f>I48</f>
        <v>1.42</v>
      </c>
      <c r="O48" s="250">
        <f>SUM(L48:N48)</f>
        <v>1.42</v>
      </c>
      <c r="P48" s="245">
        <f>'Rider Rates'!$D$88</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240</v>
      </c>
      <c r="B49" s="78"/>
      <c r="C49" s="78"/>
      <c r="D49" s="100">
        <f>IF($D$17&lt;0,0,$D$17)</f>
        <v>0</v>
      </c>
      <c r="E49" s="101" t="s">
        <v>41</v>
      </c>
      <c r="F49" s="102" t="s">
        <v>8</v>
      </c>
      <c r="G49" s="103"/>
      <c r="H49" s="103"/>
      <c r="I49" s="103"/>
      <c r="J49" s="103">
        <f>'Rider Rates'!$B$92</f>
        <v>0</v>
      </c>
      <c r="K49" s="104" t="s">
        <v>42</v>
      </c>
      <c r="L49" s="105"/>
      <c r="M49" s="105"/>
      <c r="N49" s="105"/>
      <c r="O49" s="105">
        <f>ROUND($D49*('Rider Rates'!B$92),2)</f>
        <v>0</v>
      </c>
      <c r="P49" s="245">
        <f>'Rider Rates'!$D$92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99" t="s">
        <v>157</v>
      </c>
      <c r="B50" s="78"/>
      <c r="C50" s="78"/>
      <c r="D50" s="195">
        <f>$N$27</f>
        <v>10</v>
      </c>
      <c r="E50" s="101" t="s">
        <v>122</v>
      </c>
      <c r="F50" s="102" t="s">
        <v>8</v>
      </c>
      <c r="G50" s="114"/>
      <c r="H50" s="115"/>
      <c r="I50" s="120">
        <f>'Rider Rates'!$B$103</f>
        <v>0.21398439999999999</v>
      </c>
      <c r="J50" s="238">
        <f>SUM(G50:I50)</f>
        <v>0.21398439999999999</v>
      </c>
      <c r="K50" s="104"/>
      <c r="L50" s="105"/>
      <c r="M50" s="105"/>
      <c r="N50" s="105">
        <f>ROUND(D50*I50,2)</f>
        <v>2.14</v>
      </c>
      <c r="O50" s="105">
        <f t="shared" si="2"/>
        <v>2.14</v>
      </c>
      <c r="P50" s="245">
        <f>'Rider Rates'!$D$103</f>
        <v>45351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210" t="s">
        <v>210</v>
      </c>
      <c r="B51" s="78"/>
      <c r="C51" s="78"/>
      <c r="D51" s="195"/>
      <c r="E51" s="113" t="s">
        <v>115</v>
      </c>
      <c r="F51" s="106"/>
      <c r="G51" s="114"/>
      <c r="H51" s="115"/>
      <c r="I51" s="196">
        <f>'Rider Rates'!$B$106</f>
        <v>0</v>
      </c>
      <c r="J51" s="196">
        <f>SUM(G51:I51)</f>
        <v>0</v>
      </c>
      <c r="K51" s="104"/>
      <c r="L51" s="105"/>
      <c r="M51" s="105"/>
      <c r="N51" s="105">
        <f>I51</f>
        <v>0</v>
      </c>
      <c r="O51" s="105">
        <f>SUM(L51:N51)</f>
        <v>0</v>
      </c>
      <c r="P51" s="245">
        <f>'Rider Rates'!$D$106</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210" t="s">
        <v>218</v>
      </c>
      <c r="B52" s="78"/>
      <c r="C52" s="78"/>
      <c r="D52" s="195"/>
      <c r="E52" s="113" t="s">
        <v>115</v>
      </c>
      <c r="F52" s="106"/>
      <c r="G52" s="114"/>
      <c r="H52" s="115"/>
      <c r="I52" s="258">
        <f>'Rider Rates'!B119</f>
        <v>1.26</v>
      </c>
      <c r="J52" s="259">
        <f>SUM(G52:I52)</f>
        <v>1.26</v>
      </c>
      <c r="K52" s="104"/>
      <c r="L52" s="105"/>
      <c r="M52" s="105"/>
      <c r="N52" s="260">
        <f>I52</f>
        <v>1.26</v>
      </c>
      <c r="O52" s="105">
        <f>SUM(L52:N52)</f>
        <v>1.26</v>
      </c>
      <c r="P52" s="245">
        <f>'Rider Rates'!D119</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158</v>
      </c>
      <c r="B53" s="78"/>
      <c r="C53" s="78"/>
      <c r="D53" s="100">
        <f>'Customer Info'!$B$21+'Customer Info'!$B$22</f>
        <v>0</v>
      </c>
      <c r="E53" s="101" t="s">
        <v>41</v>
      </c>
      <c r="F53" s="102" t="s">
        <v>8</v>
      </c>
      <c r="G53" s="103">
        <f>'Rider Rates'!$B$110</f>
        <v>3.8972999999999998E-3</v>
      </c>
      <c r="H53" s="103"/>
      <c r="I53" s="103"/>
      <c r="J53" s="237">
        <f>SUM(G53:H53)</f>
        <v>3.8972999999999998E-3</v>
      </c>
      <c r="K53" s="104" t="s">
        <v>42</v>
      </c>
      <c r="L53" s="105">
        <f>ROUND(D53*G53,2)</f>
        <v>0</v>
      </c>
      <c r="M53" s="105"/>
      <c r="N53" s="105"/>
      <c r="O53" s="105">
        <f t="shared" si="2"/>
        <v>0</v>
      </c>
      <c r="P53" s="245">
        <f>'Rider Rates'!$D$110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209</v>
      </c>
      <c r="B54" s="78"/>
      <c r="C54" s="78"/>
      <c r="D54" s="100">
        <f>IF($D$17&lt;1,0,$D$17)</f>
        <v>0</v>
      </c>
      <c r="E54" s="101" t="s">
        <v>41</v>
      </c>
      <c r="F54" s="249" t="s">
        <v>8</v>
      </c>
      <c r="G54" s="103"/>
      <c r="H54" s="103"/>
      <c r="I54" s="103">
        <f>'Rider Rates'!$B$115</f>
        <v>-2.3000000000000001E-4</v>
      </c>
      <c r="J54" s="237">
        <f>SUM(G54:I54)</f>
        <v>-2.3000000000000001E-4</v>
      </c>
      <c r="K54" s="104" t="s">
        <v>42</v>
      </c>
      <c r="L54" s="105"/>
      <c r="M54" s="105"/>
      <c r="N54" s="105">
        <f>D54*J54</f>
        <v>0</v>
      </c>
      <c r="O54" s="105">
        <f t="shared" si="2"/>
        <v>0</v>
      </c>
      <c r="P54" s="245">
        <f>'Rider Rates'!D115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231</v>
      </c>
      <c r="B55" s="78"/>
      <c r="C55" s="78"/>
      <c r="D55" s="100"/>
      <c r="E55" s="101" t="s">
        <v>115</v>
      </c>
      <c r="F55" s="102" t="s">
        <v>8</v>
      </c>
      <c r="G55" s="263"/>
      <c r="H55" s="263"/>
      <c r="I55" s="263">
        <f>'Rider Rates'!$B$123</f>
        <v>0.1</v>
      </c>
      <c r="J55" s="263">
        <f>SUM(G55:I55)</f>
        <v>0.1</v>
      </c>
      <c r="K55" s="104"/>
      <c r="L55" s="209"/>
      <c r="M55" s="209"/>
      <c r="N55" s="209">
        <f>J55</f>
        <v>0.1</v>
      </c>
      <c r="O55" s="209">
        <f>SUM(L55:N55)</f>
        <v>0.1</v>
      </c>
      <c r="P55" s="264">
        <f>'Rider Rates'!$E$123</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243</v>
      </c>
      <c r="B56" s="78"/>
      <c r="C56" s="78"/>
      <c r="D56" s="100">
        <f>C19</f>
        <v>0</v>
      </c>
      <c r="E56" s="101" t="s">
        <v>41</v>
      </c>
      <c r="F56" s="249" t="s">
        <v>8</v>
      </c>
      <c r="G56" s="103"/>
      <c r="H56" s="103"/>
      <c r="I56" s="103">
        <f>'Rider Rates'!$B$128</f>
        <v>0</v>
      </c>
      <c r="J56" s="237">
        <f>SUM(G56:I56)</f>
        <v>0</v>
      </c>
      <c r="K56" s="104" t="s">
        <v>42</v>
      </c>
      <c r="L56" s="105"/>
      <c r="M56" s="105"/>
      <c r="N56" s="105">
        <f>D56*J56</f>
        <v>0</v>
      </c>
      <c r="O56" s="105">
        <f>SUM(L56:N56)</f>
        <v>0</v>
      </c>
      <c r="P56" s="245">
        <f>'Rider Rates'!D133</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242</v>
      </c>
      <c r="B57" s="78"/>
      <c r="C57" s="78"/>
      <c r="D57" s="100"/>
      <c r="E57" s="101" t="s">
        <v>115</v>
      </c>
      <c r="F57" s="102" t="s">
        <v>8</v>
      </c>
      <c r="G57" s="263"/>
      <c r="H57" s="263"/>
      <c r="I57" s="263">
        <f>'Rider Rates'!$B$135</f>
        <v>0</v>
      </c>
      <c r="J57" s="263">
        <f>SUM(G57:I57)</f>
        <v>0</v>
      </c>
      <c r="K57" s="104"/>
      <c r="L57" s="209"/>
      <c r="M57" s="209"/>
      <c r="N57" s="209">
        <f>J57</f>
        <v>0</v>
      </c>
      <c r="O57" s="209">
        <f>SUM(L57:N57)</f>
        <v>0</v>
      </c>
      <c r="P57" s="264">
        <f>'Rider Rates'!$D$131</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244</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79" t="s">
        <v>71</v>
      </c>
      <c r="B59" s="148"/>
      <c r="C59" s="148"/>
      <c r="D59" s="180"/>
      <c r="E59" s="181"/>
      <c r="F59" s="182"/>
      <c r="G59" s="182"/>
      <c r="H59" s="182"/>
      <c r="I59" s="182"/>
      <c r="J59" s="182"/>
      <c r="K59" s="183"/>
      <c r="L59" s="169">
        <f>SUM(L31:L58)</f>
        <v>0</v>
      </c>
      <c r="M59" s="169">
        <f t="shared" ref="M59:O59" si="4">SUM(M31:M58)</f>
        <v>0</v>
      </c>
      <c r="N59" s="169">
        <f t="shared" si="4"/>
        <v>7.27</v>
      </c>
      <c r="O59" s="169">
        <f t="shared" si="4"/>
        <v>7.27</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85" t="s">
        <v>94</v>
      </c>
      <c r="B61" s="170"/>
      <c r="C61" s="170"/>
      <c r="D61" s="170"/>
      <c r="E61" s="170"/>
      <c r="F61" s="170"/>
      <c r="G61" s="170"/>
      <c r="H61" s="170"/>
      <c r="I61" s="170"/>
      <c r="J61" s="170"/>
      <c r="K61" s="170"/>
      <c r="L61" s="186">
        <f>L27+L59</f>
        <v>0</v>
      </c>
      <c r="M61" s="186">
        <f>M27+M59</f>
        <v>0</v>
      </c>
      <c r="N61" s="186">
        <f>N27+N59</f>
        <v>17.27</v>
      </c>
      <c r="O61" s="187">
        <f>O27+O59</f>
        <v>17.27</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t="s">
        <v>117</v>
      </c>
      <c r="B66" s="151"/>
      <c r="C66" s="151"/>
      <c r="D66" s="151"/>
      <c r="E66" s="151"/>
      <c r="F66" s="151"/>
      <c r="G66" s="151"/>
      <c r="H66" s="151"/>
      <c r="I66" s="151"/>
      <c r="J66" s="151"/>
      <c r="K66" s="151"/>
      <c r="L66" s="151"/>
      <c r="M66" s="151"/>
      <c r="N66" s="151"/>
      <c r="O66" s="190">
        <f>IF($D$17&lt;0,O61,IF(O61&gt;O64,O61,O64))</f>
        <v>17.27</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ht="13" x14ac:dyDescent="0.3">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ht="13" x14ac:dyDescent="0.3">
      <c r="A69" s="37"/>
      <c r="B69" s="78"/>
      <c r="C69" s="78"/>
      <c r="D69" s="78"/>
      <c r="E69" s="78"/>
      <c r="F69" s="78"/>
      <c r="G69" s="78"/>
      <c r="H69" s="192"/>
      <c r="I69" s="242" t="s">
        <v>191</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ht="13" x14ac:dyDescent="0.3">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ht="13" x14ac:dyDescent="0.3">
      <c r="A73" s="96"/>
      <c r="D73" s="1"/>
      <c r="E73" s="35"/>
      <c r="F73" s="4"/>
      <c r="Q73" s="36"/>
    </row>
    <row r="74" spans="1:236" ht="13" x14ac:dyDescent="0.3">
      <c r="A74" s="96"/>
      <c r="D74" s="1"/>
      <c r="E74" s="35"/>
      <c r="F74" s="4"/>
      <c r="Q74" s="36"/>
    </row>
    <row r="75" spans="1:236" ht="13" x14ac:dyDescent="0.3">
      <c r="A75" s="41"/>
      <c r="B75" s="77"/>
      <c r="C75" s="77"/>
      <c r="D75" s="77"/>
      <c r="E75" s="77"/>
      <c r="F75" s="77"/>
    </row>
    <row r="76" spans="1:236" ht="13" x14ac:dyDescent="0.3">
      <c r="B76" s="37"/>
      <c r="C76" s="37"/>
      <c r="D76" s="37"/>
      <c r="E76" s="37"/>
      <c r="F76" s="37"/>
      <c r="P76" s="37"/>
      <c r="Q76" s="37"/>
    </row>
    <row r="77" spans="1:236" ht="13" x14ac:dyDescent="0.3">
      <c r="B77" s="37"/>
      <c r="C77" s="37"/>
      <c r="D77" s="37"/>
      <c r="E77" s="37"/>
      <c r="F77" s="37"/>
      <c r="P77" s="25"/>
      <c r="Q77" s="25"/>
    </row>
    <row r="80" spans="1:23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row r="94" spans="1:1" x14ac:dyDescent="0.25">
      <c r="A94" s="478"/>
    </row>
  </sheetData>
  <sheetProtection algorithmName="SHA-512" hashValue="q5EjSAhwYhASucrVmReEfULLDkDXqb2sCmnwCHCVPdDsVptXkQSUh27dpZn+LTFcvRwjZEhicv+dPLuodNEeHw==" saltValue="0FWLPecinKFu910YTmEJs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584200</xdr:colOff>
                    <xdr:row>87</xdr:row>
                    <xdr:rowOff>57150</xdr:rowOff>
                  </from>
                  <to>
                    <xdr:col>30</xdr:col>
                    <xdr:colOff>241300</xdr:colOff>
                    <xdr:row>88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13" zoomScale="80" zoomScaleNormal="80" workbookViewId="0">
      <selection activeCell="G34" sqref="G34"/>
    </sheetView>
  </sheetViews>
  <sheetFormatPr defaultRowHeight="12.5" x14ac:dyDescent="0.25"/>
  <cols>
    <col min="1" max="1" width="37.54296875" customWidth="1"/>
    <col min="2" max="2" width="2.1796875" customWidth="1"/>
    <col min="3" max="3" width="14.54296875" customWidth="1"/>
    <col min="4" max="4" width="15.26953125" customWidth="1"/>
    <col min="5" max="5" width="9.81640625" customWidth="1"/>
    <col min="6" max="6" width="5.54296875" customWidth="1"/>
    <col min="7" max="8" width="13.26953125" customWidth="1"/>
    <col min="9" max="9" width="14.54296875" customWidth="1"/>
    <col min="10" max="10" width="14.81640625" bestFit="1" customWidth="1"/>
    <col min="11" max="11" width="7" customWidth="1"/>
    <col min="12" max="12" width="15.1796875" customWidth="1"/>
    <col min="13" max="13" width="17.26953125" bestFit="1" customWidth="1"/>
    <col min="14" max="14" width="16.7265625" customWidth="1"/>
    <col min="15" max="15" width="17.26953125" bestFit="1" customWidth="1"/>
    <col min="16" max="16" width="12.81640625" bestFit="1" customWidth="1"/>
    <col min="18" max="18" width="13.8164062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175</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c r="L5" s="75"/>
      <c r="M5" s="75"/>
      <c r="N5" s="75"/>
      <c r="O5" s="75"/>
      <c r="P5" s="75"/>
    </row>
    <row r="6" spans="1:30" x14ac:dyDescent="0.25">
      <c r="A6" s="76">
        <f ca="1">TODAY()</f>
        <v>45476</v>
      </c>
      <c r="B6" s="206" t="s">
        <v>237</v>
      </c>
      <c r="C6" s="206"/>
      <c r="D6" s="206"/>
      <c r="E6" s="206"/>
      <c r="F6" s="206"/>
      <c r="G6" s="206"/>
      <c r="H6" s="206"/>
      <c r="I6" s="206"/>
      <c r="J6" s="206"/>
      <c r="K6" s="206"/>
      <c r="L6" s="206"/>
      <c r="M6" s="206"/>
      <c r="N6" s="206"/>
      <c r="O6" s="206"/>
    </row>
    <row r="7" spans="1:30" x14ac:dyDescent="0.25">
      <c r="A7" s="479" t="s">
        <v>15</v>
      </c>
      <c r="B7" s="479"/>
      <c r="C7" s="479"/>
      <c r="D7" s="479"/>
      <c r="E7" s="479"/>
      <c r="F7" s="479"/>
      <c r="G7" s="479"/>
      <c r="H7" s="479"/>
      <c r="I7" s="479"/>
      <c r="J7" s="479"/>
      <c r="K7" s="479"/>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97" t="s">
        <v>27</v>
      </c>
      <c r="B13" s="18"/>
      <c r="C13" s="18"/>
      <c r="D13" s="18"/>
      <c r="E13" s="18"/>
      <c r="F13" s="18"/>
      <c r="G13" s="18"/>
      <c r="H13" s="18"/>
      <c r="I13" s="18"/>
      <c r="R13" s="78" t="s">
        <v>169</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8"/>
      <c r="B14" s="18"/>
      <c r="C14" s="18"/>
      <c r="D14" s="18"/>
      <c r="E14" s="18"/>
      <c r="F14" s="18"/>
      <c r="G14" s="18"/>
      <c r="H14" s="18"/>
      <c r="I14" s="18"/>
      <c r="R14" s="78" t="s">
        <v>170</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43</v>
      </c>
      <c r="B15" s="31"/>
      <c r="C15" s="32">
        <f>IF('Customer Info'!B21+'Customer Info'!B22-'Customer Info'!B23&lt;0,0,'Customer Info'!B21+'Customer Info'!B22-'Customer Info'!B23)</f>
        <v>0</v>
      </c>
      <c r="D15" s="31" t="s">
        <v>41</v>
      </c>
      <c r="E15" s="31"/>
      <c r="F15" s="33"/>
      <c r="G15" s="31"/>
      <c r="H15" s="31"/>
      <c r="I15" s="31"/>
      <c r="R15" s="3" t="s">
        <v>188</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ht="13" x14ac:dyDescent="0.3">
      <c r="A16" s="31"/>
      <c r="B16" s="31"/>
      <c r="C16" s="33"/>
      <c r="D16" s="33"/>
      <c r="E16" s="33"/>
      <c r="F16" s="33"/>
      <c r="G16" s="23"/>
      <c r="H16" s="31"/>
      <c r="I16" s="31"/>
    </row>
    <row r="17" spans="1:221" ht="13" x14ac:dyDescent="0.3">
      <c r="A17" s="28" t="s">
        <v>124</v>
      </c>
      <c r="B17" s="22"/>
      <c r="C17" s="22"/>
      <c r="D17" s="22"/>
      <c r="E17" s="22"/>
      <c r="F17" s="22"/>
      <c r="G17" s="490" t="s">
        <v>68</v>
      </c>
      <c r="H17" s="491"/>
      <c r="I17" s="491"/>
      <c r="J17" s="492"/>
      <c r="K17" s="22"/>
      <c r="L17" s="493" t="s">
        <v>69</v>
      </c>
      <c r="M17" s="493"/>
      <c r="N17" s="493"/>
      <c r="O17" s="493"/>
    </row>
    <row r="18" spans="1:221" ht="13" x14ac:dyDescent="0.3">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5">
      <c r="A19" t="s">
        <v>32</v>
      </c>
      <c r="G19" s="83"/>
      <c r="H19" s="83"/>
      <c r="I19" s="125">
        <v>10</v>
      </c>
      <c r="J19" s="125">
        <f>SUM(G19:I19)</f>
        <v>10</v>
      </c>
      <c r="L19" s="125"/>
      <c r="M19" s="125"/>
      <c r="N19" s="125">
        <f>I19</f>
        <v>10</v>
      </c>
      <c r="O19" s="125">
        <f>+SUM(L19:N19)</f>
        <v>10</v>
      </c>
      <c r="P19" s="245">
        <v>44531</v>
      </c>
    </row>
    <row r="20" spans="1:221" x14ac:dyDescent="0.25">
      <c r="A20" t="s">
        <v>298</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ht="13" x14ac:dyDescent="0.3">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ht="13" x14ac:dyDescent="0.3">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 t="shared" ref="N25:N30" si="1">ROUND(D25*I25,2)</f>
        <v>0</v>
      </c>
      <c r="O25" s="105">
        <f t="shared" ref="O25:O47"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ht="13" x14ac:dyDescent="0.3">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160</v>
      </c>
      <c r="B31" s="78"/>
      <c r="C31" s="78"/>
      <c r="D31" s="100">
        <f>IF($C$15&lt;0,0,$C$15)</f>
        <v>0</v>
      </c>
      <c r="E31" s="101" t="s">
        <v>41</v>
      </c>
      <c r="F31" s="102" t="s">
        <v>8</v>
      </c>
      <c r="G31" s="103"/>
      <c r="H31" s="103"/>
      <c r="I31" s="103">
        <f>'Rider Rates'!$B$15</f>
        <v>-9.7000000000000005E-4</v>
      </c>
      <c r="J31" s="103">
        <f>SUM(G31:I31)</f>
        <v>-9.7000000000000005E-4</v>
      </c>
      <c r="K31" s="104" t="s">
        <v>42</v>
      </c>
      <c r="L31" s="105"/>
      <c r="M31" s="105"/>
      <c r="N31" s="105">
        <f>ROUND(D31*I31,2)</f>
        <v>0</v>
      </c>
      <c r="O31" s="105">
        <f t="shared" ref="O31:O38" si="3">SUM(L31:N31)</f>
        <v>0</v>
      </c>
      <c r="P31" s="245">
        <f>'Rider Rates'!$D$15</f>
        <v>45474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ht="13" x14ac:dyDescent="0.3">
      <c r="A32" s="210" t="s">
        <v>238</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187</v>
      </c>
      <c r="B33" s="78"/>
      <c r="C33" s="78"/>
      <c r="D33" s="100">
        <f>'Customer Info'!$B$21+'Customer Info'!$B$22</f>
        <v>0</v>
      </c>
      <c r="E33" s="101" t="s">
        <v>41</v>
      </c>
      <c r="F33" s="102" t="s">
        <v>8</v>
      </c>
      <c r="G33" s="103">
        <f>'Rider Rates'!B21</f>
        <v>7.0209999999999995E-2</v>
      </c>
      <c r="H33" s="103"/>
      <c r="I33" s="103"/>
      <c r="J33" s="237">
        <f>SUM(G33:H33)</f>
        <v>7.0209999999999995E-2</v>
      </c>
      <c r="K33" s="104" t="s">
        <v>42</v>
      </c>
      <c r="L33" s="105">
        <f>ROUND(D33*G33,2)</f>
        <v>0</v>
      </c>
      <c r="M33" s="105"/>
      <c r="N33" s="105"/>
      <c r="O33" s="105">
        <f t="shared" si="3"/>
        <v>0</v>
      </c>
      <c r="P33" s="245">
        <f>'Rider Rates'!$D$21</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173</v>
      </c>
      <c r="B34" s="78"/>
      <c r="C34" s="78"/>
      <c r="D34" s="100">
        <f>'Customer Info'!B22</f>
        <v>0</v>
      </c>
      <c r="E34" s="101" t="s">
        <v>41</v>
      </c>
      <c r="F34" s="102" t="s">
        <v>8</v>
      </c>
      <c r="G34" s="103">
        <f>'Rider Rates'!B30</f>
        <v>1.8255000000000001E-3</v>
      </c>
      <c r="H34" s="103"/>
      <c r="I34" s="103"/>
      <c r="J34" s="237">
        <f>SUM(G34:H34)</f>
        <v>1.8255000000000001E-3</v>
      </c>
      <c r="K34" s="104" t="s">
        <v>42</v>
      </c>
      <c r="L34" s="105">
        <f>ROUND(D34*G34,2)</f>
        <v>0</v>
      </c>
      <c r="M34" s="105"/>
      <c r="N34" s="105"/>
      <c r="O34" s="105">
        <f t="shared" si="3"/>
        <v>0</v>
      </c>
      <c r="P34" s="245">
        <f>'Rider Rates'!$D$29</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174</v>
      </c>
      <c r="B35" s="78"/>
      <c r="C35" s="78"/>
      <c r="D35" s="1">
        <f>'Customer Info'!B21</f>
        <v>0</v>
      </c>
      <c r="E35" s="101" t="s">
        <v>41</v>
      </c>
      <c r="F35" s="102" t="s">
        <v>8</v>
      </c>
      <c r="G35" s="103">
        <f>'Rider Rates'!B29</f>
        <v>6.6265999999999999E-3</v>
      </c>
      <c r="H35" s="103"/>
      <c r="I35" s="103"/>
      <c r="J35" s="237">
        <f>SUM(G35:H35)</f>
        <v>6.6265999999999999E-3</v>
      </c>
      <c r="K35" s="104" t="s">
        <v>42</v>
      </c>
      <c r="L35" s="105">
        <f>ROUND(D35*G35,2)</f>
        <v>0</v>
      </c>
      <c r="M35" s="105"/>
      <c r="N35" s="105"/>
      <c r="O35" s="105">
        <f t="shared" si="3"/>
        <v>0</v>
      </c>
      <c r="P35" s="245">
        <f>'Rider Rates'!$D$30</f>
        <v>45444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194</v>
      </c>
      <c r="B36" s="78"/>
      <c r="C36" s="78"/>
      <c r="D36" s="100">
        <f>'Customer Info'!$B$21+'Customer Info'!$B$22</f>
        <v>0</v>
      </c>
      <c r="E36" s="101" t="s">
        <v>41</v>
      </c>
      <c r="F36" s="102" t="s">
        <v>8</v>
      </c>
      <c r="G36" s="103">
        <f>'Rider Rates'!B45</f>
        <v>-3.1569999999999998E-4</v>
      </c>
      <c r="H36" s="103"/>
      <c r="I36" s="103"/>
      <c r="J36" s="237">
        <f>SUM(G36:H36)</f>
        <v>-3.1569999999999998E-4</v>
      </c>
      <c r="K36" s="104" t="s">
        <v>42</v>
      </c>
      <c r="L36" s="105">
        <f>ROUND(D36*G36,2)</f>
        <v>0</v>
      </c>
      <c r="M36" s="105"/>
      <c r="N36" s="105"/>
      <c r="O36" s="105">
        <f>SUM(L36:N36)</f>
        <v>0</v>
      </c>
      <c r="P36" s="245">
        <f>'Rider Rates'!$D$45</f>
        <v>45383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211</v>
      </c>
      <c r="B37" s="78"/>
      <c r="C37" s="78"/>
      <c r="D37" s="100"/>
      <c r="E37" s="101" t="s">
        <v>115</v>
      </c>
      <c r="F37" s="102" t="s">
        <v>15</v>
      </c>
      <c r="G37" s="103"/>
      <c r="H37" s="103"/>
      <c r="I37" s="103">
        <f>'Rider Rates'!D48</f>
        <v>1.39</v>
      </c>
      <c r="J37" s="103">
        <f>SUM(G37:I37)</f>
        <v>1.39</v>
      </c>
      <c r="K37" s="104" t="s">
        <v>42</v>
      </c>
      <c r="L37" s="105"/>
      <c r="M37" s="105"/>
      <c r="N37" s="105">
        <f>J37</f>
        <v>1.39</v>
      </c>
      <c r="O37" s="105">
        <f>SUM(L37:N37)</f>
        <v>1.39</v>
      </c>
      <c r="P37" s="245">
        <f>'Rider Rates'!E48</f>
        <v>45474</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190</v>
      </c>
      <c r="B38" s="78"/>
      <c r="C38" s="78"/>
      <c r="D38" s="100">
        <f>IF($C$15&lt;0,0,$C$15)</f>
        <v>0</v>
      </c>
      <c r="E38" s="113" t="s">
        <v>41</v>
      </c>
      <c r="F38" s="102" t="s">
        <v>8</v>
      </c>
      <c r="G38" s="103"/>
      <c r="H38" s="103">
        <f>'Rider Rates'!$B$55</f>
        <v>4.3837099999999997E-2</v>
      </c>
      <c r="I38" s="103"/>
      <c r="J38" s="103">
        <f>SUM(G38:I38)</f>
        <v>4.3837099999999997E-2</v>
      </c>
      <c r="K38" s="104" t="s">
        <v>42</v>
      </c>
      <c r="L38" s="105"/>
      <c r="M38" s="105">
        <f>ROUND(D38*H38,2)</f>
        <v>0</v>
      </c>
      <c r="N38" s="205"/>
      <c r="O38" s="105">
        <f t="shared" si="3"/>
        <v>0</v>
      </c>
      <c r="P38" s="245">
        <f>'Rider Rates'!$D$55</f>
        <v>45383</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Info'!C34=TRUE,0,IF($C$15&lt;0,0,$C$15))</f>
        <v>0</v>
      </c>
      <c r="E39" s="101" t="s">
        <v>41</v>
      </c>
      <c r="F39" s="102" t="s">
        <v>8</v>
      </c>
      <c r="G39" s="103"/>
      <c r="H39" s="103"/>
      <c r="I39" s="103">
        <f>'Rider Rates'!$B$67+'Rider Rates'!$C$67</f>
        <v>0</v>
      </c>
      <c r="J39" s="103">
        <f t="shared" si="0"/>
        <v>0</v>
      </c>
      <c r="K39" s="104" t="s">
        <v>42</v>
      </c>
      <c r="L39" s="105"/>
      <c r="M39" s="105"/>
      <c r="N39" s="105">
        <f>ROUND($D$39*'Rider Rates'!$B$67,2)+ROUND($D$39*'Rider Rates'!$C$67,2)</f>
        <v>0</v>
      </c>
      <c r="O39" s="105">
        <f t="shared" si="2"/>
        <v>0</v>
      </c>
      <c r="P39" s="245">
        <f>'Rider Rates'!$D$67</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ht="13" x14ac:dyDescent="0.3">
      <c r="A40" s="99" t="s">
        <v>81</v>
      </c>
      <c r="B40" s="78"/>
      <c r="C40" s="78"/>
      <c r="D40" s="195">
        <f>$N$21</f>
        <v>10</v>
      </c>
      <c r="E40" s="101" t="s">
        <v>122</v>
      </c>
      <c r="F40" s="102" t="s">
        <v>8</v>
      </c>
      <c r="G40" s="111"/>
      <c r="H40" s="112"/>
      <c r="I40" s="120">
        <f>'Rider Rates'!$B$83</f>
        <v>2.9347000000000002E-2</v>
      </c>
      <c r="J40" s="120">
        <f t="shared" si="0"/>
        <v>2.9347000000000002E-2</v>
      </c>
      <c r="K40" s="104"/>
      <c r="L40" s="105"/>
      <c r="M40" s="105"/>
      <c r="N40" s="105">
        <f>ROUND(D40*I40,2)</f>
        <v>0.28999999999999998</v>
      </c>
      <c r="O40" s="105">
        <f t="shared" si="2"/>
        <v>0.28999999999999998</v>
      </c>
      <c r="P40" s="245">
        <f>'Rider Rates'!$D$83</f>
        <v>45383</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99" t="s">
        <v>82</v>
      </c>
      <c r="B41" s="78"/>
      <c r="C41" s="78"/>
      <c r="D41" s="195">
        <f>$N$21</f>
        <v>10</v>
      </c>
      <c r="E41" s="101" t="s">
        <v>122</v>
      </c>
      <c r="F41" s="102" t="s">
        <v>8</v>
      </c>
      <c r="G41" s="114"/>
      <c r="H41" s="115"/>
      <c r="I41" s="120">
        <f>'Rider Rates'!$B$85</f>
        <v>6.6985699999999995E-2</v>
      </c>
      <c r="J41" s="120">
        <f t="shared" si="0"/>
        <v>6.6985699999999995E-2</v>
      </c>
      <c r="K41" s="104"/>
      <c r="L41" s="105"/>
      <c r="M41" s="105"/>
      <c r="N41" s="105">
        <f>ROUND(D41*I41,2)</f>
        <v>0.67</v>
      </c>
      <c r="O41" s="105">
        <f t="shared" si="2"/>
        <v>0.67</v>
      </c>
      <c r="P41" s="245">
        <f>'Rider Rates'!$D$85</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210" t="s">
        <v>207</v>
      </c>
      <c r="B42" s="78"/>
      <c r="C42" s="78"/>
      <c r="D42" s="195"/>
      <c r="E42" s="113" t="s">
        <v>115</v>
      </c>
      <c r="F42" s="106"/>
      <c r="G42" s="114"/>
      <c r="H42" s="115"/>
      <c r="I42" s="196">
        <f>'Rider Rates'!$B$88</f>
        <v>1.42</v>
      </c>
      <c r="J42" s="196">
        <f t="shared" si="0"/>
        <v>1.42</v>
      </c>
      <c r="K42" s="104"/>
      <c r="L42" s="105"/>
      <c r="M42" s="105"/>
      <c r="N42" s="105">
        <f>I42</f>
        <v>1.42</v>
      </c>
      <c r="O42" s="105">
        <f t="shared" si="2"/>
        <v>1.42</v>
      </c>
      <c r="P42" s="245">
        <f>'Rider Rates'!$D$88</f>
        <v>45442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240</v>
      </c>
      <c r="B43" s="78"/>
      <c r="C43" s="78"/>
      <c r="D43" s="100">
        <f>IF($C$15&lt;0,0,$C$15)</f>
        <v>0</v>
      </c>
      <c r="E43" s="101" t="s">
        <v>41</v>
      </c>
      <c r="F43" s="102" t="s">
        <v>8</v>
      </c>
      <c r="G43" s="103"/>
      <c r="H43" s="103"/>
      <c r="I43" s="103"/>
      <c r="J43" s="103">
        <f>'Rider Rates'!$B$92</f>
        <v>0</v>
      </c>
      <c r="K43" s="104" t="s">
        <v>42</v>
      </c>
      <c r="L43" s="105"/>
      <c r="M43" s="105"/>
      <c r="N43" s="105"/>
      <c r="O43" s="105">
        <f>ROUND($D43*('Rider Rates'!B$92),2)</f>
        <v>0</v>
      </c>
      <c r="P43" s="245">
        <f>'Rider Rates'!$D$92</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ht="13" x14ac:dyDescent="0.3">
      <c r="A44" s="99" t="s">
        <v>157</v>
      </c>
      <c r="B44" s="78"/>
      <c r="C44" s="78"/>
      <c r="D44" s="195">
        <f>$N$21</f>
        <v>10</v>
      </c>
      <c r="E44" s="101" t="s">
        <v>122</v>
      </c>
      <c r="F44" s="102" t="s">
        <v>8</v>
      </c>
      <c r="G44" s="114"/>
      <c r="H44" s="115"/>
      <c r="I44" s="120">
        <f>'Rider Rates'!$B$103</f>
        <v>0.21398439999999999</v>
      </c>
      <c r="J44" s="120">
        <f t="shared" si="0"/>
        <v>0.21398439999999999</v>
      </c>
      <c r="K44" s="104"/>
      <c r="L44" s="105"/>
      <c r="M44" s="105"/>
      <c r="N44" s="105">
        <f>ROUND(D44*I44,2)</f>
        <v>2.14</v>
      </c>
      <c r="O44" s="105">
        <f t="shared" si="2"/>
        <v>2.14</v>
      </c>
      <c r="P44" s="245">
        <f>'Rider Rates'!$D$103</f>
        <v>45351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210" t="s">
        <v>210</v>
      </c>
      <c r="B45" s="78"/>
      <c r="C45" s="78"/>
      <c r="D45" s="195"/>
      <c r="E45" s="113" t="s">
        <v>115</v>
      </c>
      <c r="F45" s="106"/>
      <c r="G45" s="114"/>
      <c r="H45" s="115"/>
      <c r="I45" s="196">
        <f>'Rider Rates'!$B$106</f>
        <v>0</v>
      </c>
      <c r="J45" s="196">
        <f t="shared" si="0"/>
        <v>0</v>
      </c>
      <c r="K45" s="104"/>
      <c r="L45" s="105"/>
      <c r="M45" s="105"/>
      <c r="N45" s="105">
        <f>I45</f>
        <v>0</v>
      </c>
      <c r="O45" s="105">
        <f t="shared" si="2"/>
        <v>0</v>
      </c>
      <c r="P45" s="245">
        <f>'Rider Rates'!$D$106</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218</v>
      </c>
      <c r="B46" s="78"/>
      <c r="C46" s="78"/>
      <c r="D46" s="195"/>
      <c r="E46" s="113" t="s">
        <v>115</v>
      </c>
      <c r="F46" s="106"/>
      <c r="G46" s="114"/>
      <c r="H46" s="115"/>
      <c r="I46" s="258">
        <f>'Rider Rates'!B119</f>
        <v>1.26</v>
      </c>
      <c r="J46" s="196">
        <f t="shared" si="0"/>
        <v>1.26</v>
      </c>
      <c r="K46" s="104"/>
      <c r="L46" s="105"/>
      <c r="M46" s="105"/>
      <c r="N46" s="260">
        <f>I46</f>
        <v>1.26</v>
      </c>
      <c r="O46" s="105">
        <f t="shared" si="2"/>
        <v>1.26</v>
      </c>
      <c r="P46" s="245">
        <f>'Rider Rates'!D119</f>
        <v>45226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158</v>
      </c>
      <c r="B47" s="78"/>
      <c r="C47" s="78"/>
      <c r="D47" s="100">
        <f>'Customer Info'!$B$21+'Customer Info'!$B$22</f>
        <v>0</v>
      </c>
      <c r="E47" s="101" t="s">
        <v>41</v>
      </c>
      <c r="F47" s="102" t="s">
        <v>8</v>
      </c>
      <c r="G47" s="103">
        <f>'Rider Rates'!$B$110</f>
        <v>3.8972999999999998E-3</v>
      </c>
      <c r="H47" s="103"/>
      <c r="I47" s="120"/>
      <c r="J47" s="237">
        <f>SUM(G47:H47)</f>
        <v>3.8972999999999998E-3</v>
      </c>
      <c r="K47" s="104" t="s">
        <v>42</v>
      </c>
      <c r="L47" s="105">
        <f>ROUND(D47*G47,2)</f>
        <v>0</v>
      </c>
      <c r="M47" s="105"/>
      <c r="N47" s="105"/>
      <c r="O47" s="105">
        <f t="shared" si="2"/>
        <v>0</v>
      </c>
      <c r="P47" s="245">
        <f>'Rider Rates'!$D$110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209</v>
      </c>
      <c r="B48" s="78"/>
      <c r="C48" s="78"/>
      <c r="D48" s="100">
        <f>IF($C$15&lt;1,0,$C$15)</f>
        <v>0</v>
      </c>
      <c r="E48" s="101" t="s">
        <v>41</v>
      </c>
      <c r="F48" s="249" t="s">
        <v>8</v>
      </c>
      <c r="G48" s="165"/>
      <c r="H48" s="165"/>
      <c r="I48" s="251">
        <f>'Rider Rates'!B115</f>
        <v>-2.3000000000000001E-4</v>
      </c>
      <c r="J48" s="251">
        <f>SUM(G48:I48)</f>
        <v>-2.3000000000000001E-4</v>
      </c>
      <c r="K48" s="104" t="s">
        <v>42</v>
      </c>
      <c r="L48" s="105"/>
      <c r="M48" s="105"/>
      <c r="N48" s="105">
        <f>D48*J48</f>
        <v>0</v>
      </c>
      <c r="O48" s="105">
        <f>SUM(L48:N48)</f>
        <v>0</v>
      </c>
      <c r="P48" s="245">
        <f>'Rider Rates'!D115</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231</v>
      </c>
      <c r="B49" s="78"/>
      <c r="C49" s="78"/>
      <c r="D49" s="100"/>
      <c r="E49" s="101" t="s">
        <v>115</v>
      </c>
      <c r="F49" s="102" t="s">
        <v>8</v>
      </c>
      <c r="G49" s="263"/>
      <c r="H49" s="263"/>
      <c r="I49" s="263">
        <f>'Rider Rates'!$B$123</f>
        <v>0.1</v>
      </c>
      <c r="J49" s="263">
        <f>SUM(G49:I49)</f>
        <v>0.1</v>
      </c>
      <c r="K49" s="104"/>
      <c r="L49" s="209"/>
      <c r="M49" s="209"/>
      <c r="N49" s="209">
        <f>J49</f>
        <v>0.1</v>
      </c>
      <c r="O49" s="209">
        <f>SUM(L49:N49)</f>
        <v>0.1</v>
      </c>
      <c r="P49" s="264">
        <f>'Rider Rates'!$E$123</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243</v>
      </c>
      <c r="B50" s="78"/>
      <c r="C50" s="78"/>
      <c r="D50" s="100">
        <f>C15</f>
        <v>0</v>
      </c>
      <c r="E50" s="101" t="s">
        <v>41</v>
      </c>
      <c r="F50" s="249" t="s">
        <v>8</v>
      </c>
      <c r="G50" s="103"/>
      <c r="H50" s="103"/>
      <c r="I50" s="103">
        <f>'Rider Rates'!$B$128</f>
        <v>0</v>
      </c>
      <c r="J50" s="237">
        <f>SUM(G50:I50)</f>
        <v>0</v>
      </c>
      <c r="K50" s="104" t="s">
        <v>42</v>
      </c>
      <c r="L50" s="105"/>
      <c r="M50" s="105"/>
      <c r="N50" s="105">
        <f>D50*J50</f>
        <v>0</v>
      </c>
      <c r="O50" s="105">
        <f>SUM(L50:N50)</f>
        <v>0</v>
      </c>
      <c r="P50" s="245">
        <f>'Rider Rates'!D128</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242</v>
      </c>
      <c r="B51" s="78"/>
      <c r="C51" s="78"/>
      <c r="D51" s="100"/>
      <c r="E51" s="101" t="s">
        <v>115</v>
      </c>
      <c r="F51" s="102" t="s">
        <v>8</v>
      </c>
      <c r="G51" s="263"/>
      <c r="H51" s="263"/>
      <c r="I51" s="263">
        <f>'Rider Rates'!$B$135</f>
        <v>0</v>
      </c>
      <c r="J51" s="263">
        <f>SUM(G51:I51)</f>
        <v>0</v>
      </c>
      <c r="K51" s="104"/>
      <c r="L51" s="209"/>
      <c r="M51" s="209"/>
      <c r="N51" s="209">
        <f>J51</f>
        <v>0</v>
      </c>
      <c r="O51" s="209">
        <f>SUM(L51:N51)</f>
        <v>0</v>
      </c>
      <c r="P51" s="264">
        <f>'Rider Rates'!$D$131</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244</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ht="13" x14ac:dyDescent="0.3">
      <c r="A53" s="179" t="s">
        <v>71</v>
      </c>
      <c r="B53" s="148"/>
      <c r="C53" s="148"/>
      <c r="D53" s="180"/>
      <c r="E53" s="181"/>
      <c r="F53" s="182"/>
      <c r="G53" s="182"/>
      <c r="H53" s="182"/>
      <c r="I53" s="182"/>
      <c r="J53" s="182"/>
      <c r="K53" s="183"/>
      <c r="L53" s="169">
        <f>SUM(L25:L52)</f>
        <v>0</v>
      </c>
      <c r="M53" s="169">
        <f t="shared" ref="M53:O53" si="4">SUM(M25:M52)</f>
        <v>0</v>
      </c>
      <c r="N53" s="169">
        <f t="shared" si="4"/>
        <v>7.27</v>
      </c>
      <c r="O53" s="169">
        <f t="shared" si="4"/>
        <v>7.27</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ht="13" x14ac:dyDescent="0.3">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ht="13" x14ac:dyDescent="0.3">
      <c r="A55" s="170"/>
      <c r="B55" s="170"/>
      <c r="C55" s="170"/>
      <c r="D55" s="170"/>
      <c r="E55" s="170"/>
      <c r="F55" s="170"/>
      <c r="G55" s="170"/>
      <c r="H55" s="170"/>
      <c r="I55" s="170"/>
      <c r="J55" s="170"/>
      <c r="K55" s="170"/>
      <c r="L55" s="186">
        <f>L21+L53</f>
        <v>0</v>
      </c>
      <c r="M55" s="186">
        <f>M21+M53</f>
        <v>0</v>
      </c>
      <c r="N55" s="186">
        <f>N21+N53</f>
        <v>17.27</v>
      </c>
      <c r="O55" s="187">
        <f>O21+O53</f>
        <v>17.27</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ht="13" x14ac:dyDescent="0.3">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ht="13" x14ac:dyDescent="0.3">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ht="13" x14ac:dyDescent="0.3">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ht="13" x14ac:dyDescent="0.3">
      <c r="A60" s="148" t="s">
        <v>117</v>
      </c>
      <c r="B60" s="151"/>
      <c r="C60" s="151"/>
      <c r="D60" s="151"/>
      <c r="E60" s="151"/>
      <c r="F60" s="151"/>
      <c r="G60" s="151"/>
      <c r="H60" s="151"/>
      <c r="I60" s="151"/>
      <c r="J60" s="151"/>
      <c r="K60" s="151"/>
      <c r="L60" s="151"/>
      <c r="M60" s="151"/>
      <c r="N60" s="151"/>
      <c r="O60" s="190">
        <f>IF($C$15&lt;0,O55,IF(O55&gt;O58,O55,O58))</f>
        <v>17.27</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ht="13" x14ac:dyDescent="0.3">
      <c r="A62" s="147"/>
      <c r="I62" s="166" t="s">
        <v>121</v>
      </c>
      <c r="J62" s="166"/>
      <c r="K62" s="166"/>
      <c r="L62" s="191"/>
      <c r="M62" s="191"/>
      <c r="N62" s="191"/>
      <c r="O62" s="191">
        <f>ROUND(IF($C$15&lt;1,0,O55/($C$15*100)*10000),2)</f>
        <v>0</v>
      </c>
      <c r="P62" s="37" t="s">
        <v>87</v>
      </c>
    </row>
    <row r="63" spans="1:221" ht="13" x14ac:dyDescent="0.3">
      <c r="A63" s="147"/>
      <c r="I63" s="242" t="s">
        <v>191</v>
      </c>
      <c r="J63" s="78"/>
      <c r="K63" s="78"/>
      <c r="L63" s="78"/>
      <c r="M63" s="78"/>
      <c r="N63" s="78"/>
      <c r="O63" s="243">
        <f>ROUND(IF($C$15&lt;1,0,(L55)/($C$15*100)*10000),2)</f>
        <v>0</v>
      </c>
      <c r="P63" s="25" t="s">
        <v>87</v>
      </c>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0c+ClekTIVu41ORKc3JbJyYWBM1oQDHOyb9FwECe+KvZXw92N9p1OfDJQExkfavUGfykY7hb0beYhbCaQ4aKNw==" saltValue="eEn/mhneM8YrXgdzDcTRo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69850</xdr:colOff>
                    <xdr:row>0</xdr:row>
                    <xdr:rowOff>76200</xdr:rowOff>
                  </from>
                  <to>
                    <xdr:col>0</xdr:col>
                    <xdr:colOff>584200</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603250</xdr:colOff>
                    <xdr:row>78</xdr:row>
                    <xdr:rowOff>38100</xdr:rowOff>
                  </from>
                  <to>
                    <xdr:col>14</xdr:col>
                    <xdr:colOff>1123950</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topLeftCell="A10" zoomScale="80" zoomScaleNormal="80" workbookViewId="0">
      <selection activeCell="AG48" sqref="AG48"/>
    </sheetView>
  </sheetViews>
  <sheetFormatPr defaultRowHeight="12.5" x14ac:dyDescent="0.25"/>
  <cols>
    <col min="1" max="1" width="39" customWidth="1"/>
    <col min="2" max="2" width="2.54296875" customWidth="1"/>
    <col min="3" max="3" width="13.54296875" customWidth="1"/>
    <col min="4" max="4" width="15.26953125" customWidth="1"/>
    <col min="5" max="5" width="9.7265625" customWidth="1"/>
    <col min="6" max="6" width="2.7265625" customWidth="1"/>
    <col min="7" max="8" width="13.26953125" customWidth="1"/>
    <col min="9" max="9" width="14.54296875" customWidth="1"/>
    <col min="10" max="10" width="13.26953125" customWidth="1"/>
    <col min="11" max="11" width="6.54296875" customWidth="1"/>
    <col min="12" max="12" width="15.1796875" customWidth="1"/>
    <col min="13" max="13" width="17.26953125" bestFit="1" customWidth="1"/>
    <col min="14" max="14" width="17.453125" customWidth="1"/>
    <col min="15" max="15" width="17.26953125" bestFit="1" customWidth="1"/>
    <col min="16" max="16" width="13" customWidth="1"/>
    <col min="17" max="17" width="12.81640625" bestFit="1" customWidth="1"/>
    <col min="18" max="18" width="10.54296875" hidden="1" customWidth="1"/>
    <col min="19" max="19" width="10.26953125" hidden="1" customWidth="1"/>
    <col min="20" max="23" width="10.81640625" hidden="1" customWidth="1"/>
    <col min="24" max="26" width="10.26953125" hidden="1" customWidth="1"/>
    <col min="27" max="27" width="10.54296875" hidden="1" customWidth="1"/>
    <col min="28" max="28" width="10.81640625" hidden="1" customWidth="1"/>
    <col min="29" max="30" width="10" hidden="1" customWidth="1"/>
    <col min="31" max="31" width="9.1796875" customWidth="1"/>
    <col min="32" max="32" width="10.26953125" customWidth="1"/>
    <col min="33" max="33" width="10.81640625" customWidth="1"/>
    <col min="34" max="34" width="10.26953125" customWidth="1"/>
  </cols>
  <sheetData>
    <row r="1" spans="1:59" ht="20" x14ac:dyDescent="0.4">
      <c r="A1" s="480" t="s">
        <v>120</v>
      </c>
      <c r="B1" s="480"/>
      <c r="C1" s="480"/>
      <c r="D1" s="480"/>
      <c r="E1" s="480"/>
      <c r="F1" s="480"/>
      <c r="G1" s="480"/>
      <c r="H1" s="480"/>
      <c r="I1" s="480"/>
      <c r="J1" s="480"/>
      <c r="K1" s="480"/>
      <c r="L1" s="480"/>
      <c r="M1" s="480"/>
      <c r="N1" s="480"/>
      <c r="O1" s="480"/>
      <c r="P1" s="480"/>
      <c r="Q1" s="197"/>
    </row>
    <row r="2" spans="1:59" ht="18" customHeight="1" x14ac:dyDescent="0.25">
      <c r="A2" s="489" t="s">
        <v>282</v>
      </c>
      <c r="B2" s="489"/>
      <c r="C2" s="489"/>
      <c r="D2" s="489"/>
      <c r="E2" s="489"/>
      <c r="F2" s="489"/>
      <c r="G2" s="489"/>
      <c r="H2" s="489"/>
      <c r="I2" s="489"/>
      <c r="J2" s="489"/>
      <c r="K2" s="489"/>
      <c r="L2" s="489"/>
      <c r="M2" s="489"/>
      <c r="N2" s="489"/>
      <c r="O2" s="489"/>
      <c r="P2" s="489"/>
    </row>
    <row r="3" spans="1:59" ht="18" x14ac:dyDescent="0.4">
      <c r="A3" s="489"/>
      <c r="B3" s="489"/>
      <c r="C3" s="489"/>
      <c r="D3" s="489"/>
      <c r="E3" s="489"/>
      <c r="F3" s="489"/>
      <c r="G3" s="489"/>
      <c r="H3" s="489"/>
      <c r="I3" s="489"/>
      <c r="J3" s="489"/>
      <c r="K3" s="489"/>
      <c r="L3" s="489"/>
      <c r="M3" s="489"/>
      <c r="N3" s="489"/>
      <c r="O3" s="489"/>
      <c r="P3" s="489"/>
      <c r="Q3" s="198"/>
    </row>
    <row r="4" spans="1:59" ht="15.5" x14ac:dyDescent="0.35">
      <c r="A4" s="481" t="str">
        <f>'Customer Info'!$B$11</f>
        <v>Breakdown of Charges Based on Entered Information</v>
      </c>
      <c r="B4" s="481"/>
      <c r="C4" s="481"/>
      <c r="D4" s="481"/>
      <c r="E4" s="481"/>
      <c r="F4" s="481"/>
      <c r="G4" s="481"/>
      <c r="H4" s="481"/>
      <c r="I4" s="481"/>
      <c r="J4" s="481"/>
      <c r="K4" s="481"/>
      <c r="L4" s="481"/>
      <c r="M4" s="481"/>
      <c r="N4" s="481"/>
      <c r="O4" s="481"/>
      <c r="P4" s="481"/>
      <c r="Q4" s="199"/>
    </row>
    <row r="5" spans="1:59" ht="15.5" x14ac:dyDescent="0.35">
      <c r="A5" s="75"/>
      <c r="B5" s="75"/>
      <c r="C5" s="75"/>
      <c r="D5" s="75"/>
      <c r="E5" s="75"/>
      <c r="F5" s="75"/>
      <c r="G5" s="75"/>
      <c r="H5" s="75"/>
      <c r="I5" s="75"/>
      <c r="J5" s="75"/>
      <c r="K5" s="75"/>
      <c r="L5" s="75"/>
      <c r="M5" s="75"/>
      <c r="N5" s="75"/>
      <c r="O5" s="75"/>
      <c r="P5" s="75"/>
      <c r="Q5" s="75"/>
    </row>
    <row r="6" spans="1:59" x14ac:dyDescent="0.25">
      <c r="A6" s="277">
        <f ca="1">TODAY()</f>
        <v>45476</v>
      </c>
      <c r="B6" s="488" t="s">
        <v>236</v>
      </c>
      <c r="C6" s="488"/>
      <c r="D6" s="488"/>
      <c r="E6" s="488"/>
      <c r="F6" s="488"/>
      <c r="G6" s="488"/>
      <c r="H6" s="488"/>
      <c r="I6" s="488"/>
      <c r="J6" s="488"/>
      <c r="K6" s="488"/>
      <c r="L6" s="488"/>
      <c r="M6" s="488"/>
      <c r="N6" s="488"/>
      <c r="O6" s="488"/>
    </row>
    <row r="7" spans="1:59" x14ac:dyDescent="0.25">
      <c r="A7" s="479" t="s">
        <v>15</v>
      </c>
      <c r="B7" s="479"/>
      <c r="C7" s="479"/>
      <c r="D7" s="479"/>
      <c r="E7" s="479"/>
      <c r="F7" s="479"/>
      <c r="G7" s="479"/>
      <c r="H7" s="479"/>
      <c r="I7" s="479"/>
      <c r="J7" s="479"/>
      <c r="K7" s="479"/>
    </row>
    <row r="8" spans="1:59" x14ac:dyDescent="0.25">
      <c r="C8" s="18"/>
      <c r="D8" s="18"/>
      <c r="E8" s="18"/>
      <c r="F8" s="18"/>
      <c r="G8" s="18"/>
      <c r="H8" s="18"/>
      <c r="I8" s="18"/>
      <c r="J8" s="18"/>
      <c r="K8" s="18"/>
    </row>
    <row r="9" spans="1:59" ht="15.5" x14ac:dyDescent="0.35">
      <c r="A9" s="23" t="s">
        <v>2</v>
      </c>
      <c r="B9" s="24"/>
      <c r="C9" s="25">
        <f>'Customer Info'!B7</f>
        <v>0</v>
      </c>
      <c r="I9" s="26"/>
    </row>
    <row r="10" spans="1:59" ht="15.5" x14ac:dyDescent="0.35">
      <c r="A10" s="27" t="s">
        <v>26</v>
      </c>
      <c r="B10" s="24"/>
      <c r="C10" s="25">
        <f>'Customer Info'!B8</f>
        <v>0</v>
      </c>
    </row>
    <row r="11" spans="1:59" ht="13" x14ac:dyDescent="0.3">
      <c r="A11" s="23" t="s">
        <v>100</v>
      </c>
      <c r="B11" s="200">
        <f>'Customer Info'!B9</f>
        <v>7</v>
      </c>
      <c r="C11" s="194" t="str">
        <f>LOOKUP($B$11,$S$11:$AD$11,S12:AD12)</f>
        <v>July</v>
      </c>
      <c r="D11" s="133">
        <f>'Customer Info'!C9</f>
        <v>2024</v>
      </c>
      <c r="S11">
        <v>1</v>
      </c>
      <c r="T11">
        <v>2</v>
      </c>
      <c r="U11">
        <v>3</v>
      </c>
      <c r="V11">
        <v>4</v>
      </c>
      <c r="W11">
        <v>5</v>
      </c>
      <c r="X11">
        <v>6</v>
      </c>
      <c r="Y11">
        <v>7</v>
      </c>
      <c r="Z11">
        <v>8</v>
      </c>
      <c r="AA11">
        <v>9</v>
      </c>
      <c r="AB11">
        <v>10</v>
      </c>
      <c r="AC11">
        <v>11</v>
      </c>
      <c r="AD11">
        <v>12</v>
      </c>
    </row>
    <row r="12" spans="1:59" ht="13" x14ac:dyDescent="0.3">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5" x14ac:dyDescent="0.3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283</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ht="13" x14ac:dyDescent="0.3">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ht="13" x14ac:dyDescent="0.3">
      <c r="A23" s="148" t="s">
        <v>31</v>
      </c>
      <c r="B23" s="78"/>
      <c r="C23" s="78"/>
      <c r="D23" s="78"/>
      <c r="E23" s="78"/>
      <c r="F23" s="78"/>
      <c r="G23" s="485" t="s">
        <v>68</v>
      </c>
      <c r="H23" s="486"/>
      <c r="I23" s="486"/>
      <c r="J23" s="487"/>
      <c r="K23" s="159"/>
      <c r="L23" s="482" t="s">
        <v>69</v>
      </c>
      <c r="M23" s="483"/>
      <c r="N23" s="483"/>
      <c r="O23" s="484"/>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ht="13" x14ac:dyDescent="0.3">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178</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210" t="s">
        <v>284</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ht="13" x14ac:dyDescent="0.3">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ht="13" x14ac:dyDescent="0.3">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ht="13" x14ac:dyDescent="0.3">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176"/>
      <c r="C32" s="176"/>
      <c r="D32" s="100">
        <f>IF($D$17&lt;0,0,IF($D$17&gt;833000,833000,$D$17))</f>
        <v>0</v>
      </c>
      <c r="E32" s="101" t="s">
        <v>41</v>
      </c>
      <c r="F32" s="102" t="s">
        <v>8</v>
      </c>
      <c r="G32" s="103"/>
      <c r="H32" s="103"/>
      <c r="I32" s="103">
        <f>'Rider Rates'!$B$4</f>
        <v>5.9216E-3</v>
      </c>
      <c r="J32" s="103">
        <f t="shared" ref="J32:J50" si="0">SUM(G32:I32)</f>
        <v>5.9216E-3</v>
      </c>
      <c r="K32" s="104" t="s">
        <v>42</v>
      </c>
      <c r="L32" s="105"/>
      <c r="M32" s="105"/>
      <c r="N32" s="105">
        <f t="shared" ref="N32:N38" si="1">ROUND(D32*I32,2)</f>
        <v>0</v>
      </c>
      <c r="O32" s="250">
        <f t="shared" ref="O32:O54" si="2">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ht="13" x14ac:dyDescent="0.3">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160</v>
      </c>
      <c r="B38" s="78"/>
      <c r="C38" s="78"/>
      <c r="D38" s="100">
        <f>IF($D$17&lt;0,0,$D$17)</f>
        <v>0</v>
      </c>
      <c r="E38" s="101" t="s">
        <v>41</v>
      </c>
      <c r="F38" s="102" t="s">
        <v>8</v>
      </c>
      <c r="G38" s="103"/>
      <c r="H38" s="103"/>
      <c r="I38" s="103">
        <f>'Rider Rates'!B15</f>
        <v>-9.7000000000000005E-4</v>
      </c>
      <c r="J38" s="103">
        <f>SUM(G38:I38)</f>
        <v>-9.7000000000000005E-4</v>
      </c>
      <c r="K38" s="104" t="s">
        <v>42</v>
      </c>
      <c r="L38" s="105"/>
      <c r="M38" s="105"/>
      <c r="N38" s="105">
        <f t="shared" si="1"/>
        <v>0</v>
      </c>
      <c r="O38" s="105">
        <f t="shared" ref="O38:O44" si="3">SUM(L38:N38)</f>
        <v>0</v>
      </c>
      <c r="P38" s="245">
        <f>'Rider Rates'!$D$15</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ht="13" x14ac:dyDescent="0.3">
      <c r="A39" s="241" t="s">
        <v>238</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187</v>
      </c>
      <c r="B40" s="78"/>
      <c r="C40" s="78"/>
      <c r="D40" s="100">
        <f>'Customer Info'!$B$21+'Customer Info'!$B$22-'Customer Info'!$B$23</f>
        <v>0</v>
      </c>
      <c r="E40" s="101" t="s">
        <v>41</v>
      </c>
      <c r="F40" s="102" t="s">
        <v>8</v>
      </c>
      <c r="G40" s="103">
        <f>'Rider Rates'!$B$21</f>
        <v>7.0209999999999995E-2</v>
      </c>
      <c r="H40" s="103"/>
      <c r="I40" s="103"/>
      <c r="J40" s="237">
        <f>SUM(G40:H40)</f>
        <v>7.0209999999999995E-2</v>
      </c>
      <c r="K40" s="104" t="s">
        <v>42</v>
      </c>
      <c r="L40" s="105">
        <f>ROUND(D40*G40,2)</f>
        <v>0</v>
      </c>
      <c r="M40" s="105"/>
      <c r="N40" s="105"/>
      <c r="O40" s="105">
        <f t="shared" si="3"/>
        <v>0</v>
      </c>
      <c r="P40" s="245">
        <f>'Rider Rates'!$D$21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162</v>
      </c>
      <c r="B41" s="78"/>
      <c r="C41" s="78"/>
      <c r="D41" s="100">
        <f>'Customer Info'!$B$21+'Customer Info'!$B$22-'Customer Info'!$B$23</f>
        <v>0</v>
      </c>
      <c r="E41" s="101" t="s">
        <v>41</v>
      </c>
      <c r="F41" s="102" t="s">
        <v>8</v>
      </c>
      <c r="G41" s="103">
        <f>'Rider Rates'!$B$28</f>
        <v>3.2000000000000002E-3</v>
      </c>
      <c r="H41" s="103"/>
      <c r="I41" s="103"/>
      <c r="J41" s="237">
        <f>SUM(G41:H41)</f>
        <v>3.2000000000000002E-3</v>
      </c>
      <c r="K41" s="104" t="s">
        <v>42</v>
      </c>
      <c r="L41" s="239">
        <f>ROUND($D$41*$G$41,2)</f>
        <v>0</v>
      </c>
      <c r="M41" s="105"/>
      <c r="N41" s="105"/>
      <c r="O41" s="105">
        <f>SUM(L41:N41)</f>
        <v>0</v>
      </c>
      <c r="P41" s="245">
        <f>'Rider Rates'!$D$28</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194</v>
      </c>
      <c r="B42" s="78"/>
      <c r="C42" s="78"/>
      <c r="D42" s="100">
        <f>'Customer Info'!$B$21+'Customer Info'!$B$22-'Customer Info'!$B$23</f>
        <v>0</v>
      </c>
      <c r="E42" s="101" t="s">
        <v>41</v>
      </c>
      <c r="F42" s="102" t="s">
        <v>8</v>
      </c>
      <c r="G42" s="103">
        <f>'Rider Rates'!$B$45</f>
        <v>-3.1569999999999998E-4</v>
      </c>
      <c r="H42" s="103"/>
      <c r="I42" s="103"/>
      <c r="J42" s="237">
        <f>SUM(G42:H42)</f>
        <v>-3.1569999999999998E-4</v>
      </c>
      <c r="K42" s="104" t="s">
        <v>42</v>
      </c>
      <c r="L42" s="105">
        <f>ROUND(D42*G42,2)</f>
        <v>0</v>
      </c>
      <c r="M42" s="105"/>
      <c r="N42" s="105"/>
      <c r="O42" s="105">
        <f t="shared" si="3"/>
        <v>0</v>
      </c>
      <c r="P42" s="245">
        <f>'Rider Rates'!$D$45</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41" t="s">
        <v>211</v>
      </c>
      <c r="B43" s="78"/>
      <c r="C43" s="78"/>
      <c r="D43" s="100"/>
      <c r="E43" s="101" t="s">
        <v>115</v>
      </c>
      <c r="F43" s="102"/>
      <c r="G43" s="103"/>
      <c r="H43" s="103"/>
      <c r="I43" s="103">
        <f>'Rider Rates'!D48</f>
        <v>1.39</v>
      </c>
      <c r="J43" s="237">
        <f>SUM(G43:I43)</f>
        <v>1.39</v>
      </c>
      <c r="K43" s="104"/>
      <c r="L43" s="105"/>
      <c r="M43" s="105"/>
      <c r="N43" s="105">
        <f>J43</f>
        <v>1.39</v>
      </c>
      <c r="O43" s="105">
        <f>SUM(L43:N43)</f>
        <v>1.39</v>
      </c>
      <c r="P43" s="245">
        <f>'Rider Rates'!E48</f>
        <v>45474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190</v>
      </c>
      <c r="B44" s="78"/>
      <c r="C44" s="78"/>
      <c r="D44" s="100">
        <f>IF($D$17&lt;0,0,$D$17)</f>
        <v>0</v>
      </c>
      <c r="E44" s="113" t="s">
        <v>41</v>
      </c>
      <c r="F44" s="102" t="s">
        <v>8</v>
      </c>
      <c r="G44" s="103"/>
      <c r="H44" s="103">
        <f>'Rider Rates'!$B$55</f>
        <v>4.3837099999999997E-2</v>
      </c>
      <c r="I44" s="103"/>
      <c r="J44" s="103">
        <f>SUM(G44:I44)</f>
        <v>4.3837099999999997E-2</v>
      </c>
      <c r="K44" s="104" t="s">
        <v>42</v>
      </c>
      <c r="L44" s="105"/>
      <c r="M44" s="105">
        <f>ROUND(D44*H44,2)</f>
        <v>0</v>
      </c>
      <c r="N44" s="205"/>
      <c r="O44" s="105">
        <f t="shared" si="3"/>
        <v>0</v>
      </c>
      <c r="P44" s="245">
        <f>'Rider Rates'!$D$55</f>
        <v>45383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96</v>
      </c>
      <c r="B45" s="78"/>
      <c r="C45" s="78"/>
      <c r="D45" s="100">
        <f>IF('Customer Info'!C34=TRUE,0,IF($D$17&lt;0,0,$D$17))</f>
        <v>0</v>
      </c>
      <c r="E45" s="101" t="s">
        <v>41</v>
      </c>
      <c r="F45" s="102" t="s">
        <v>8</v>
      </c>
      <c r="G45" s="103"/>
      <c r="H45" s="103"/>
      <c r="I45" s="103">
        <f>'Rider Rates'!$B$67+'Rider Rates'!$C$67</f>
        <v>0</v>
      </c>
      <c r="J45" s="103">
        <f t="shared" si="0"/>
        <v>0</v>
      </c>
      <c r="K45" s="104" t="s">
        <v>42</v>
      </c>
      <c r="L45" s="105"/>
      <c r="M45" s="105"/>
      <c r="N45" s="105">
        <f>ROUND($D$45*'Rider Rates'!$B$67,2)+ROUND($D$45*'Rider Rates'!$C$67,2)</f>
        <v>0</v>
      </c>
      <c r="O45" s="250">
        <f t="shared" si="2"/>
        <v>0</v>
      </c>
      <c r="P45" s="245">
        <f>'Rider Rates'!$D$67</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99" t="s">
        <v>81</v>
      </c>
      <c r="B46" s="78"/>
      <c r="C46" s="78"/>
      <c r="D46" s="195">
        <f>$N$28</f>
        <v>10</v>
      </c>
      <c r="E46" s="101" t="s">
        <v>122</v>
      </c>
      <c r="F46" s="102" t="s">
        <v>8</v>
      </c>
      <c r="G46" s="111"/>
      <c r="H46" s="112"/>
      <c r="I46" s="120">
        <f>'Rider Rates'!$B$83</f>
        <v>2.9347000000000002E-2</v>
      </c>
      <c r="J46" s="120">
        <f>SUM(G46:I46)</f>
        <v>2.9347000000000002E-2</v>
      </c>
      <c r="K46" s="104"/>
      <c r="L46" s="105"/>
      <c r="M46" s="105"/>
      <c r="N46" s="105">
        <f>ROUND(D46*I46,2)</f>
        <v>0.28999999999999998</v>
      </c>
      <c r="O46" s="105">
        <f t="shared" si="2"/>
        <v>0.28999999999999998</v>
      </c>
      <c r="P46" s="245">
        <f>'Rider Rates'!$D$83</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99" t="s">
        <v>82</v>
      </c>
      <c r="B47" s="78"/>
      <c r="C47" s="78"/>
      <c r="D47" s="195">
        <f>$N$28</f>
        <v>10</v>
      </c>
      <c r="E47" s="101" t="s">
        <v>122</v>
      </c>
      <c r="F47" s="102" t="s">
        <v>8</v>
      </c>
      <c r="G47" s="114"/>
      <c r="H47" s="115"/>
      <c r="I47" s="120">
        <f>'Rider Rates'!$B$85</f>
        <v>6.6985699999999995E-2</v>
      </c>
      <c r="J47" s="120">
        <f t="shared" si="0"/>
        <v>6.6985699999999995E-2</v>
      </c>
      <c r="K47" s="104"/>
      <c r="L47" s="105"/>
      <c r="M47" s="105"/>
      <c r="N47" s="105">
        <f>ROUND(D47*I47,2)</f>
        <v>0.67</v>
      </c>
      <c r="O47" s="105">
        <f t="shared" si="2"/>
        <v>0.67</v>
      </c>
      <c r="P47" s="245">
        <f>'Rider Rates'!$D$85</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ht="13" x14ac:dyDescent="0.3">
      <c r="A48" s="210" t="s">
        <v>207</v>
      </c>
      <c r="B48" s="78"/>
      <c r="C48" s="78"/>
      <c r="D48" s="195"/>
      <c r="E48" s="113" t="s">
        <v>115</v>
      </c>
      <c r="F48" s="106"/>
      <c r="G48" s="114"/>
      <c r="H48" s="115"/>
      <c r="I48" s="196">
        <f>'Rider Rates'!$B$88</f>
        <v>1.42</v>
      </c>
      <c r="J48" s="196">
        <f>SUM(G48:I48)</f>
        <v>1.42</v>
      </c>
      <c r="K48" s="104"/>
      <c r="L48" s="105"/>
      <c r="M48" s="105"/>
      <c r="N48" s="105">
        <f>I48</f>
        <v>1.42</v>
      </c>
      <c r="O48" s="250">
        <f>SUM(L48:N48)</f>
        <v>1.42</v>
      </c>
      <c r="P48" s="245">
        <f>'Rider Rates'!$D$88</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240</v>
      </c>
      <c r="B49" s="78"/>
      <c r="C49" s="78"/>
      <c r="D49" s="100">
        <f>IF($D$17&lt;0,0,$D$17)</f>
        <v>0</v>
      </c>
      <c r="E49" s="101" t="s">
        <v>41</v>
      </c>
      <c r="F49" s="102" t="s">
        <v>8</v>
      </c>
      <c r="G49" s="103"/>
      <c r="H49" s="103"/>
      <c r="I49" s="103"/>
      <c r="J49" s="103">
        <f>'Rider Rates'!$B$92</f>
        <v>0</v>
      </c>
      <c r="K49" s="104" t="s">
        <v>42</v>
      </c>
      <c r="L49" s="105"/>
      <c r="M49" s="105"/>
      <c r="N49" s="105"/>
      <c r="O49" s="105">
        <f>ROUND($D49*('Rider Rates'!B$92),2)</f>
        <v>0</v>
      </c>
      <c r="P49" s="245">
        <f>'Rider Rates'!$D$92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ht="13" x14ac:dyDescent="0.3">
      <c r="A50" s="99" t="s">
        <v>157</v>
      </c>
      <c r="B50" s="78"/>
      <c r="C50" s="78"/>
      <c r="D50" s="195">
        <f>$N$28</f>
        <v>10</v>
      </c>
      <c r="E50" s="101" t="s">
        <v>122</v>
      </c>
      <c r="F50" s="102" t="s">
        <v>8</v>
      </c>
      <c r="G50" s="114"/>
      <c r="H50" s="115"/>
      <c r="I50" s="120">
        <f>'Rider Rates'!$B$103</f>
        <v>0.21398439999999999</v>
      </c>
      <c r="J50" s="238">
        <f t="shared" si="0"/>
        <v>0.21398439999999999</v>
      </c>
      <c r="K50" s="104"/>
      <c r="L50" s="105"/>
      <c r="M50" s="105"/>
      <c r="N50" s="105">
        <f>ROUND(D50*I50,2)</f>
        <v>2.14</v>
      </c>
      <c r="O50" s="105">
        <f t="shared" si="2"/>
        <v>2.14</v>
      </c>
      <c r="P50" s="245">
        <f>'Rider Rates'!$D$103</f>
        <v>45351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ht="13" x14ac:dyDescent="0.3">
      <c r="A51" s="210" t="s">
        <v>210</v>
      </c>
      <c r="B51" s="78"/>
      <c r="C51" s="78"/>
      <c r="D51" s="195"/>
      <c r="E51" s="113" t="s">
        <v>115</v>
      </c>
      <c r="F51" s="106"/>
      <c r="G51" s="114"/>
      <c r="H51" s="115"/>
      <c r="I51" s="196">
        <f>'Rider Rates'!$B$106</f>
        <v>0</v>
      </c>
      <c r="J51" s="196">
        <f>SUM(G51:I51)</f>
        <v>0</v>
      </c>
      <c r="K51" s="104"/>
      <c r="L51" s="105"/>
      <c r="M51" s="105"/>
      <c r="N51" s="105">
        <f>I51</f>
        <v>0</v>
      </c>
      <c r="O51" s="105">
        <f>SUM(L51:N51)</f>
        <v>0</v>
      </c>
      <c r="P51" s="245">
        <f>'Rider Rates'!$D$106</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ht="13" x14ac:dyDescent="0.3">
      <c r="A52" s="210" t="s">
        <v>218</v>
      </c>
      <c r="B52" s="78"/>
      <c r="C52" s="78"/>
      <c r="D52" s="195"/>
      <c r="E52" s="113" t="s">
        <v>115</v>
      </c>
      <c r="F52" s="106"/>
      <c r="G52" s="114"/>
      <c r="H52" s="115"/>
      <c r="I52" s="258">
        <f>'Rider Rates'!B119</f>
        <v>1.26</v>
      </c>
      <c r="J52" s="259">
        <f>SUM(G52:I52)</f>
        <v>1.26</v>
      </c>
      <c r="K52" s="104"/>
      <c r="L52" s="105"/>
      <c r="M52" s="105"/>
      <c r="N52" s="260">
        <f>I52</f>
        <v>1.26</v>
      </c>
      <c r="O52" s="105">
        <f>SUM(L52:N52)</f>
        <v>1.26</v>
      </c>
      <c r="P52" s="245">
        <f>'Rider Rates'!D119</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158</v>
      </c>
      <c r="B53" s="78"/>
      <c r="C53" s="78"/>
      <c r="D53" s="100">
        <f>'Customer Info'!$B$21+'Customer Info'!$B$22-'Customer Info'!$B$23</f>
        <v>0</v>
      </c>
      <c r="E53" s="101" t="s">
        <v>41</v>
      </c>
      <c r="F53" s="102" t="s">
        <v>8</v>
      </c>
      <c r="G53" s="103">
        <f>'Rider Rates'!$B$110</f>
        <v>3.8972999999999998E-3</v>
      </c>
      <c r="H53" s="103"/>
      <c r="I53" s="103"/>
      <c r="J53" s="237">
        <f>SUM(G53:H53)</f>
        <v>3.8972999999999998E-3</v>
      </c>
      <c r="K53" s="104" t="s">
        <v>42</v>
      </c>
      <c r="L53" s="105">
        <f>ROUND(D53*G53,2)</f>
        <v>0</v>
      </c>
      <c r="M53" s="105"/>
      <c r="N53" s="105"/>
      <c r="O53" s="105">
        <f t="shared" si="2"/>
        <v>0</v>
      </c>
      <c r="P53" s="245">
        <f>'Rider Rates'!$D$110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209</v>
      </c>
      <c r="B54" s="78"/>
      <c r="C54" s="78"/>
      <c r="D54" s="100">
        <f>IF($D$17&lt;1,0,$D$17)</f>
        <v>0</v>
      </c>
      <c r="E54" s="101" t="s">
        <v>41</v>
      </c>
      <c r="F54" s="249" t="s">
        <v>8</v>
      </c>
      <c r="G54" s="103"/>
      <c r="H54" s="103"/>
      <c r="I54" s="103">
        <f>'Rider Rates'!$B$115</f>
        <v>-2.3000000000000001E-4</v>
      </c>
      <c r="J54" s="237">
        <f>SUM(G54:I54)</f>
        <v>-2.3000000000000001E-4</v>
      </c>
      <c r="K54" s="104" t="s">
        <v>42</v>
      </c>
      <c r="L54" s="105"/>
      <c r="M54" s="105"/>
      <c r="N54" s="105">
        <f>D54*J54</f>
        <v>0</v>
      </c>
      <c r="O54" s="105">
        <f t="shared" si="2"/>
        <v>0</v>
      </c>
      <c r="P54" s="245">
        <f>'Rider Rates'!D115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231</v>
      </c>
      <c r="B55" s="78"/>
      <c r="C55" s="78"/>
      <c r="D55" s="100"/>
      <c r="E55" s="101" t="s">
        <v>115</v>
      </c>
      <c r="F55" s="102" t="s">
        <v>8</v>
      </c>
      <c r="G55" s="263"/>
      <c r="H55" s="263"/>
      <c r="I55" s="263">
        <f>'Rider Rates'!$B$123</f>
        <v>0.1</v>
      </c>
      <c r="J55" s="263">
        <f>SUM(G55:I55)</f>
        <v>0.1</v>
      </c>
      <c r="K55" s="104"/>
      <c r="L55" s="209"/>
      <c r="M55" s="209"/>
      <c r="N55" s="209">
        <f>J55</f>
        <v>0.1</v>
      </c>
      <c r="O55" s="209">
        <f>SUM(L55:N55)</f>
        <v>0.1</v>
      </c>
      <c r="P55" s="264">
        <f>'Rider Rates'!E123</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243</v>
      </c>
      <c r="B56" s="78"/>
      <c r="C56" s="78"/>
      <c r="D56" s="100">
        <f>D17</f>
        <v>0</v>
      </c>
      <c r="E56" s="101" t="s">
        <v>41</v>
      </c>
      <c r="F56" s="249" t="s">
        <v>8</v>
      </c>
      <c r="G56" s="103"/>
      <c r="H56" s="103"/>
      <c r="I56" s="103">
        <f>'Rider Rates'!B128</f>
        <v>0</v>
      </c>
      <c r="J56" s="237">
        <f>SUM(G56:I56)</f>
        <v>0</v>
      </c>
      <c r="K56" s="104" t="s">
        <v>42</v>
      </c>
      <c r="L56" s="105"/>
      <c r="M56" s="105"/>
      <c r="N56" s="105">
        <f>D56*J56</f>
        <v>0</v>
      </c>
      <c r="O56" s="105">
        <f t="shared" ref="O56" si="4">SUM(L56:N56)</f>
        <v>0</v>
      </c>
      <c r="P56" s="245">
        <f>'Rider Rates'!D128</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242</v>
      </c>
      <c r="B57" s="78"/>
      <c r="C57" s="78"/>
      <c r="D57" s="100"/>
      <c r="E57" s="101" t="s">
        <v>115</v>
      </c>
      <c r="F57" s="102" t="s">
        <v>8</v>
      </c>
      <c r="G57" s="263"/>
      <c r="H57" s="263"/>
      <c r="I57" s="263">
        <f>'Rider Rates'!$B$135</f>
        <v>0</v>
      </c>
      <c r="J57" s="263">
        <f>SUM(G57:I57)</f>
        <v>0</v>
      </c>
      <c r="K57" s="104"/>
      <c r="L57" s="209"/>
      <c r="M57" s="209"/>
      <c r="N57" s="209">
        <f>J57</f>
        <v>0</v>
      </c>
      <c r="O57" s="209">
        <f>SUM(L57:N57)</f>
        <v>0</v>
      </c>
      <c r="P57" s="264">
        <f>'Rider Rates'!D135</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244</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ht="13" x14ac:dyDescent="0.3">
      <c r="A59" s="179" t="s">
        <v>71</v>
      </c>
      <c r="B59" s="148"/>
      <c r="C59" s="148"/>
      <c r="D59" s="180"/>
      <c r="E59" s="181"/>
      <c r="F59" s="182"/>
      <c r="G59" s="182"/>
      <c r="H59" s="182"/>
      <c r="I59" s="182"/>
      <c r="J59" s="182"/>
      <c r="K59" s="183"/>
      <c r="L59" s="169">
        <f>SUM(L32:L58)</f>
        <v>0</v>
      </c>
      <c r="M59" s="169">
        <f t="shared" ref="M59:O59" si="5">SUM(M32:M58)</f>
        <v>0</v>
      </c>
      <c r="N59" s="169">
        <f t="shared" si="5"/>
        <v>7.27</v>
      </c>
      <c r="O59" s="169">
        <f t="shared" si="5"/>
        <v>7.27</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ht="13" x14ac:dyDescent="0.3">
      <c r="A61" s="185" t="s">
        <v>94</v>
      </c>
      <c r="B61" s="170"/>
      <c r="C61" s="170"/>
      <c r="D61" s="170"/>
      <c r="E61" s="170"/>
      <c r="F61" s="170"/>
      <c r="G61" s="170"/>
      <c r="H61" s="170"/>
      <c r="I61" s="170"/>
      <c r="J61" s="170"/>
      <c r="K61" s="170"/>
      <c r="L61" s="186">
        <f>L28+L59</f>
        <v>0</v>
      </c>
      <c r="M61" s="186">
        <f>M28+M59</f>
        <v>0</v>
      </c>
      <c r="N61" s="186">
        <f>N28+N59</f>
        <v>17.27</v>
      </c>
      <c r="O61" s="187">
        <f>O28+O59</f>
        <v>17.27</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ht="13" x14ac:dyDescent="0.3">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ht="13" x14ac:dyDescent="0.3">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ht="13" x14ac:dyDescent="0.3">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ht="13" x14ac:dyDescent="0.3">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ht="13" x14ac:dyDescent="0.3">
      <c r="A66" s="148" t="s">
        <v>117</v>
      </c>
      <c r="B66" s="151"/>
      <c r="C66" s="151"/>
      <c r="D66" s="151"/>
      <c r="E66" s="151"/>
      <c r="F66" s="151"/>
      <c r="G66" s="151"/>
      <c r="H66" s="151"/>
      <c r="I66" s="151"/>
      <c r="J66" s="151"/>
      <c r="K66" s="151"/>
      <c r="L66" s="151"/>
      <c r="M66" s="151"/>
      <c r="N66" s="151"/>
      <c r="O66" s="190">
        <f>IF($D$17&lt;0,O61,IF(O61&gt;O64,O61,O64))</f>
        <v>17.27</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ht="13" x14ac:dyDescent="0.3">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ht="13" x14ac:dyDescent="0.3">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ht="13" x14ac:dyDescent="0.3">
      <c r="A69" s="37"/>
      <c r="B69" s="78"/>
      <c r="C69" s="78"/>
      <c r="D69" s="78"/>
      <c r="E69" s="78"/>
      <c r="F69" s="78"/>
      <c r="G69" s="78"/>
      <c r="H69" s="192"/>
      <c r="I69" s="242" t="s">
        <v>191</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ht="13" x14ac:dyDescent="0.3">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ht="13" x14ac:dyDescent="0.3">
      <c r="A73" s="96"/>
      <c r="D73" s="1"/>
      <c r="E73" s="35"/>
      <c r="F73" s="4"/>
      <c r="Q73" s="36"/>
    </row>
    <row r="74" spans="1:236" ht="13" x14ac:dyDescent="0.3">
      <c r="A74" s="96"/>
      <c r="D74" s="1"/>
      <c r="E74" s="35"/>
      <c r="F74" s="4"/>
      <c r="Q74" s="36"/>
    </row>
    <row r="75" spans="1:236" ht="13" x14ac:dyDescent="0.3">
      <c r="A75" s="41"/>
      <c r="B75" s="77"/>
      <c r="C75" s="77"/>
      <c r="D75" s="77"/>
      <c r="E75" s="77"/>
      <c r="F75" s="77"/>
    </row>
    <row r="76" spans="1:236" ht="13" x14ac:dyDescent="0.3">
      <c r="B76" s="37"/>
      <c r="C76" s="37"/>
      <c r="D76" s="37"/>
      <c r="E76" s="37"/>
      <c r="F76" s="37"/>
      <c r="P76" s="37"/>
      <c r="Q76" s="37"/>
    </row>
    <row r="77" spans="1:236" ht="13" x14ac:dyDescent="0.3">
      <c r="B77" s="37"/>
      <c r="C77" s="37"/>
      <c r="D77" s="37"/>
      <c r="E77" s="37"/>
      <c r="F77" s="37"/>
      <c r="P77" s="25"/>
      <c r="Q77" s="25"/>
    </row>
    <row r="80" spans="1:236" x14ac:dyDescent="0.25">
      <c r="A80" s="478"/>
    </row>
    <row r="81" spans="1:1" x14ac:dyDescent="0.25">
      <c r="A81" s="478"/>
    </row>
    <row r="82" spans="1:1" x14ac:dyDescent="0.25">
      <c r="A82" s="478"/>
    </row>
    <row r="83" spans="1:1" x14ac:dyDescent="0.25">
      <c r="A83" s="478"/>
    </row>
    <row r="84" spans="1:1" x14ac:dyDescent="0.25">
      <c r="A84" s="478"/>
    </row>
    <row r="85" spans="1:1" x14ac:dyDescent="0.25">
      <c r="A85" s="478"/>
    </row>
    <row r="86" spans="1:1" x14ac:dyDescent="0.25">
      <c r="A86" s="478"/>
    </row>
    <row r="87" spans="1:1" x14ac:dyDescent="0.25">
      <c r="A87" s="478"/>
    </row>
    <row r="88" spans="1:1" x14ac:dyDescent="0.25">
      <c r="A88" s="478"/>
    </row>
    <row r="89" spans="1:1" x14ac:dyDescent="0.25">
      <c r="A89" s="478"/>
    </row>
    <row r="90" spans="1:1" x14ac:dyDescent="0.25">
      <c r="A90" s="478"/>
    </row>
    <row r="91" spans="1:1" x14ac:dyDescent="0.25">
      <c r="A91" s="478"/>
    </row>
    <row r="92" spans="1:1" x14ac:dyDescent="0.25">
      <c r="A92" s="478"/>
    </row>
    <row r="93" spans="1:1" x14ac:dyDescent="0.25">
      <c r="A93" s="478"/>
    </row>
    <row r="94" spans="1:1" x14ac:dyDescent="0.25">
      <c r="A94" s="478"/>
    </row>
  </sheetData>
  <sheetProtection algorithmName="SHA-512" hashValue="Fe22xRtxcwX8rvGZT8h3+EONLy0THJyOzGF2br2U+1miBj8r5AeF+p37EIEDolB/PKoFWPH1E8XMQh5wwoFKcw==" saltValue="4wKjJQFo1SMD3sVSknKoIA=="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69850</xdr:colOff>
                    <xdr:row>0</xdr:row>
                    <xdr:rowOff>76200</xdr:rowOff>
                  </from>
                  <to>
                    <xdr:col>0</xdr:col>
                    <xdr:colOff>584200</xdr:colOff>
                    <xdr:row>1</xdr:row>
                    <xdr:rowOff>69850</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584200</xdr:colOff>
                    <xdr:row>87</xdr:row>
                    <xdr:rowOff>57150</xdr:rowOff>
                  </from>
                  <to>
                    <xdr:col>30</xdr:col>
                    <xdr:colOff>241300</xdr:colOff>
                    <xdr:row>88</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topLeftCell="A8" zoomScale="80" zoomScaleNormal="80" workbookViewId="0">
      <selection activeCell="J59" sqref="J59"/>
    </sheetView>
  </sheetViews>
  <sheetFormatPr defaultRowHeight="12.5" x14ac:dyDescent="0.25"/>
  <cols>
    <col min="1" max="1" width="37.54296875" style="349" customWidth="1"/>
    <col min="2" max="2" width="2.1796875" style="349" customWidth="1"/>
    <col min="3" max="3" width="14.54296875" style="349" customWidth="1"/>
    <col min="4" max="4" width="15.26953125" style="349" customWidth="1"/>
    <col min="5" max="5" width="9.81640625" style="349" customWidth="1"/>
    <col min="6" max="6" width="5.54296875" style="349" customWidth="1"/>
    <col min="7" max="8" width="13.26953125" style="349" customWidth="1"/>
    <col min="9" max="9" width="14.54296875" style="349" customWidth="1"/>
    <col min="10" max="10" width="14.81640625" style="349" bestFit="1" customWidth="1"/>
    <col min="11" max="11" width="7" style="349" customWidth="1"/>
    <col min="12" max="12" width="15.1796875" style="349" customWidth="1"/>
    <col min="13" max="13" width="17.26953125" style="349" bestFit="1" customWidth="1"/>
    <col min="14" max="14" width="16.7265625" style="349" customWidth="1"/>
    <col min="15" max="15" width="17.26953125" style="349" bestFit="1" customWidth="1"/>
    <col min="16" max="16" width="12.81640625" style="349" bestFit="1" customWidth="1"/>
    <col min="17" max="17" width="8.7265625" style="349"/>
    <col min="18" max="18" width="13.81640625" style="349" hidden="1" customWidth="1"/>
    <col min="19" max="26" width="10.26953125" style="349" hidden="1" customWidth="1"/>
    <col min="27" max="27" width="10.54296875" style="349" hidden="1" customWidth="1"/>
    <col min="28" max="30" width="10.26953125" style="349" hidden="1" customWidth="1"/>
    <col min="31" max="16384" width="8.7265625" style="349"/>
  </cols>
  <sheetData>
    <row r="1" spans="1:30" ht="20" x14ac:dyDescent="0.4">
      <c r="A1" s="501" t="s">
        <v>120</v>
      </c>
      <c r="B1" s="501"/>
      <c r="C1" s="501"/>
      <c r="D1" s="501"/>
      <c r="E1" s="501"/>
      <c r="F1" s="501"/>
      <c r="G1" s="501"/>
      <c r="H1" s="501"/>
      <c r="I1" s="501"/>
      <c r="J1" s="501"/>
      <c r="K1" s="501"/>
      <c r="L1" s="501"/>
      <c r="M1" s="501"/>
      <c r="N1" s="501"/>
      <c r="O1" s="501"/>
      <c r="P1" s="501"/>
    </row>
    <row r="2" spans="1:30" ht="20" x14ac:dyDescent="0.4">
      <c r="A2" s="501" t="s">
        <v>279</v>
      </c>
      <c r="B2" s="501"/>
      <c r="C2" s="501"/>
      <c r="D2" s="501"/>
      <c r="E2" s="501"/>
      <c r="F2" s="501"/>
      <c r="G2" s="501"/>
      <c r="H2" s="501"/>
      <c r="I2" s="501"/>
      <c r="J2" s="501"/>
      <c r="K2" s="501"/>
      <c r="L2" s="501"/>
      <c r="M2" s="501"/>
      <c r="N2" s="501"/>
      <c r="O2" s="501"/>
      <c r="P2" s="501"/>
    </row>
    <row r="3" spans="1:30" ht="18" x14ac:dyDescent="0.4">
      <c r="A3" s="502" t="s">
        <v>320</v>
      </c>
      <c r="B3" s="502"/>
      <c r="C3" s="502"/>
      <c r="D3" s="502"/>
      <c r="E3" s="502"/>
      <c r="F3" s="502"/>
      <c r="G3" s="502"/>
      <c r="H3" s="502"/>
      <c r="I3" s="502"/>
      <c r="J3" s="502"/>
      <c r="K3" s="502"/>
      <c r="L3" s="502"/>
      <c r="M3" s="502"/>
      <c r="N3" s="502"/>
      <c r="O3" s="502"/>
      <c r="P3" s="502"/>
    </row>
    <row r="4" spans="1:30" ht="15.5" x14ac:dyDescent="0.35">
      <c r="A4" s="503" t="str">
        <f>'Customer Info'!B11</f>
        <v>Breakdown of Charges Based on Entered Information</v>
      </c>
      <c r="B4" s="503"/>
      <c r="C4" s="503"/>
      <c r="D4" s="503"/>
      <c r="E4" s="503"/>
      <c r="F4" s="503"/>
      <c r="G4" s="503"/>
      <c r="H4" s="503"/>
      <c r="I4" s="503"/>
      <c r="J4" s="503"/>
      <c r="K4" s="503"/>
      <c r="L4" s="503"/>
      <c r="M4" s="503"/>
      <c r="N4" s="503"/>
      <c r="O4" s="503"/>
      <c r="P4" s="503"/>
    </row>
    <row r="5" spans="1:30" ht="15.5" x14ac:dyDescent="0.35">
      <c r="A5" s="350"/>
      <c r="B5" s="350"/>
      <c r="C5" s="350"/>
      <c r="D5" s="350"/>
      <c r="E5" s="350"/>
      <c r="F5" s="350"/>
      <c r="G5" s="350"/>
      <c r="H5" s="350"/>
      <c r="I5" s="350"/>
      <c r="J5" s="350"/>
      <c r="K5" s="350"/>
      <c r="L5" s="350"/>
      <c r="M5" s="350"/>
      <c r="N5" s="350"/>
      <c r="O5" s="350"/>
      <c r="P5" s="350"/>
    </row>
    <row r="6" spans="1:30" x14ac:dyDescent="0.25">
      <c r="A6" s="351">
        <f ca="1">TODAY()</f>
        <v>45476</v>
      </c>
      <c r="B6" s="352" t="s">
        <v>321</v>
      </c>
      <c r="C6" s="352"/>
      <c r="D6" s="352"/>
      <c r="E6" s="352"/>
      <c r="F6" s="352"/>
      <c r="G6" s="352"/>
      <c r="H6" s="352"/>
      <c r="I6" s="352"/>
      <c r="J6" s="352"/>
      <c r="K6" s="352"/>
      <c r="L6" s="352"/>
      <c r="M6" s="352"/>
      <c r="N6" s="352"/>
      <c r="O6" s="352"/>
    </row>
    <row r="7" spans="1:30" x14ac:dyDescent="0.25">
      <c r="A7" s="504" t="s">
        <v>15</v>
      </c>
      <c r="B7" s="504"/>
      <c r="C7" s="504"/>
      <c r="D7" s="504"/>
      <c r="E7" s="504"/>
      <c r="F7" s="504"/>
      <c r="G7" s="504"/>
      <c r="H7" s="504"/>
      <c r="I7" s="504"/>
      <c r="J7" s="504"/>
      <c r="K7" s="504"/>
    </row>
    <row r="8" spans="1:30" x14ac:dyDescent="0.25">
      <c r="C8" s="353"/>
      <c r="D8" s="353"/>
      <c r="E8" s="353"/>
      <c r="F8" s="353"/>
      <c r="G8" s="353"/>
      <c r="H8" s="353"/>
      <c r="I8" s="353"/>
      <c r="J8" s="353"/>
      <c r="K8" s="353"/>
    </row>
    <row r="9" spans="1:30" ht="15.5" x14ac:dyDescent="0.35">
      <c r="A9" s="354" t="s">
        <v>2</v>
      </c>
      <c r="B9" s="355"/>
      <c r="C9" s="356">
        <f>'Customer Info'!B7</f>
        <v>0</v>
      </c>
      <c r="I9" s="357"/>
    </row>
    <row r="10" spans="1:30" ht="15.5" x14ac:dyDescent="0.35">
      <c r="A10" s="358" t="s">
        <v>26</v>
      </c>
      <c r="B10" s="355"/>
      <c r="C10" s="356">
        <f>'Customer Info'!B8</f>
        <v>0</v>
      </c>
    </row>
    <row r="11" spans="1:30" ht="13" x14ac:dyDescent="0.3">
      <c r="A11" s="354" t="s">
        <v>3</v>
      </c>
      <c r="B11" s="359">
        <f>'Customer Info'!B9</f>
        <v>7</v>
      </c>
      <c r="C11" s="360" t="str">
        <f>LOOKUP(B11,R11:AD11,R12:AD12)</f>
        <v>July</v>
      </c>
      <c r="D11" s="361">
        <f>'Customer Info'!C9</f>
        <v>2024</v>
      </c>
      <c r="S11" s="349">
        <v>1</v>
      </c>
      <c r="T11" s="349">
        <v>2</v>
      </c>
      <c r="U11" s="349">
        <v>3</v>
      </c>
      <c r="V11" s="349">
        <v>4</v>
      </c>
      <c r="W11" s="349">
        <v>5</v>
      </c>
      <c r="X11" s="349">
        <v>6</v>
      </c>
      <c r="Y11" s="349">
        <v>7</v>
      </c>
      <c r="Z11" s="349">
        <v>8</v>
      </c>
      <c r="AA11" s="349">
        <v>9</v>
      </c>
      <c r="AB11" s="349">
        <v>10</v>
      </c>
      <c r="AC11" s="349">
        <v>11</v>
      </c>
      <c r="AD11" s="349">
        <v>12</v>
      </c>
    </row>
    <row r="12" spans="1:30" ht="13" x14ac:dyDescent="0.3">
      <c r="A12" s="505"/>
      <c r="B12" s="505"/>
      <c r="C12" s="505"/>
      <c r="D12" s="505"/>
      <c r="E12" s="505"/>
      <c r="F12" s="505"/>
      <c r="G12" s="505"/>
      <c r="H12" s="505"/>
      <c r="I12" s="505"/>
      <c r="J12" s="362"/>
      <c r="K12" s="362"/>
      <c r="L12" s="362"/>
      <c r="M12" s="362"/>
      <c r="N12" s="362"/>
      <c r="O12" s="362"/>
      <c r="P12" s="362"/>
      <c r="R12" s="349" t="s">
        <v>115</v>
      </c>
      <c r="S12" s="363" t="s">
        <v>102</v>
      </c>
      <c r="T12" s="363" t="s">
        <v>103</v>
      </c>
      <c r="U12" s="363" t="s">
        <v>104</v>
      </c>
      <c r="V12" s="363" t="s">
        <v>105</v>
      </c>
      <c r="W12" s="363" t="s">
        <v>106</v>
      </c>
      <c r="X12" s="363" t="s">
        <v>107</v>
      </c>
      <c r="Y12" s="363" t="s">
        <v>108</v>
      </c>
      <c r="Z12" s="363" t="s">
        <v>109</v>
      </c>
      <c r="AA12" s="363" t="s">
        <v>110</v>
      </c>
      <c r="AB12" s="363" t="s">
        <v>112</v>
      </c>
      <c r="AC12" s="363" t="s">
        <v>111</v>
      </c>
      <c r="AD12" s="363" t="s">
        <v>113</v>
      </c>
    </row>
    <row r="13" spans="1:30" ht="13" x14ac:dyDescent="0.3">
      <c r="A13" s="364" t="s">
        <v>27</v>
      </c>
      <c r="B13" s="353"/>
      <c r="C13" s="353"/>
      <c r="D13" s="353"/>
      <c r="E13" s="353"/>
      <c r="F13" s="353"/>
      <c r="G13" s="353"/>
      <c r="H13" s="353"/>
      <c r="I13" s="353"/>
      <c r="R13" s="353" t="s">
        <v>169</v>
      </c>
      <c r="S13" s="365">
        <v>1.8274700000000001E-2</v>
      </c>
      <c r="T13" s="365">
        <v>1.8274700000000001E-2</v>
      </c>
      <c r="U13" s="365">
        <v>1.8274700000000001E-2</v>
      </c>
      <c r="V13" s="365">
        <v>1.8274700000000001E-2</v>
      </c>
      <c r="W13" s="365">
        <v>1.8274700000000001E-2</v>
      </c>
      <c r="X13" s="365">
        <v>1.8274700000000001E-2</v>
      </c>
      <c r="Y13" s="365">
        <v>1.8274700000000001E-2</v>
      </c>
      <c r="Z13" s="365">
        <v>1.8274700000000001E-2</v>
      </c>
      <c r="AA13" s="365">
        <v>1.8274700000000001E-2</v>
      </c>
      <c r="AB13" s="365">
        <v>1.8274700000000001E-2</v>
      </c>
      <c r="AC13" s="365">
        <v>1.8274700000000001E-2</v>
      </c>
      <c r="AD13" s="365">
        <v>1.8274700000000001E-2</v>
      </c>
    </row>
    <row r="14" spans="1:30" x14ac:dyDescent="0.25">
      <c r="A14" s="353"/>
      <c r="B14" s="353"/>
      <c r="C14" s="353"/>
      <c r="D14" s="353"/>
      <c r="E14" s="353"/>
      <c r="F14" s="353"/>
      <c r="G14" s="353"/>
      <c r="H14" s="353"/>
      <c r="I14" s="353"/>
      <c r="R14" s="353" t="s">
        <v>170</v>
      </c>
      <c r="S14" s="365">
        <v>1.8274700000000001E-2</v>
      </c>
      <c r="T14" s="365">
        <v>1.8274700000000001E-2</v>
      </c>
      <c r="U14" s="365">
        <v>1.8274700000000001E-2</v>
      </c>
      <c r="V14" s="365">
        <v>1.8274700000000001E-2</v>
      </c>
      <c r="W14" s="365">
        <v>1.8274700000000001E-2</v>
      </c>
      <c r="X14" s="365">
        <v>1.8274700000000001E-2</v>
      </c>
      <c r="Y14" s="365">
        <v>1.8274700000000001E-2</v>
      </c>
      <c r="Z14" s="365">
        <v>1.8274700000000001E-2</v>
      </c>
      <c r="AA14" s="365">
        <v>1.8274700000000001E-2</v>
      </c>
      <c r="AB14" s="365">
        <v>1.8274700000000001E-2</v>
      </c>
      <c r="AC14" s="365">
        <v>1.8274700000000001E-2</v>
      </c>
      <c r="AD14" s="365">
        <v>1.8274700000000001E-2</v>
      </c>
    </row>
    <row r="15" spans="1:30" ht="13" x14ac:dyDescent="0.3">
      <c r="A15" s="366" t="s">
        <v>335</v>
      </c>
      <c r="B15" s="353"/>
      <c r="C15" s="356">
        <f>IF('Customer Info'!B21&lt;0,0,'Customer Info'!B21)</f>
        <v>0</v>
      </c>
      <c r="D15" s="353"/>
      <c r="E15" s="353"/>
      <c r="F15" s="353"/>
      <c r="G15" s="353"/>
      <c r="H15" s="353"/>
      <c r="I15" s="353"/>
      <c r="R15" s="353"/>
      <c r="S15" s="365"/>
      <c r="T15" s="365"/>
      <c r="U15" s="365"/>
      <c r="V15" s="365"/>
      <c r="W15" s="365"/>
      <c r="X15" s="365"/>
      <c r="Y15" s="365"/>
      <c r="Z15" s="365"/>
      <c r="AA15" s="365"/>
      <c r="AB15" s="365"/>
      <c r="AC15" s="365"/>
      <c r="AD15" s="365"/>
    </row>
    <row r="16" spans="1:30" ht="13" x14ac:dyDescent="0.3">
      <c r="A16" s="366" t="s">
        <v>336</v>
      </c>
      <c r="B16" s="353"/>
      <c r="C16" s="356">
        <f>IF('Customer Info'!B22&lt;0,0,'Customer Info'!B22)</f>
        <v>0</v>
      </c>
      <c r="D16" s="353"/>
      <c r="E16" s="353"/>
      <c r="F16" s="353"/>
      <c r="G16" s="353"/>
      <c r="H16" s="353"/>
      <c r="I16" s="353"/>
      <c r="R16" s="353"/>
      <c r="S16" s="365"/>
      <c r="T16" s="365"/>
      <c r="U16" s="365"/>
      <c r="V16" s="365"/>
      <c r="W16" s="365"/>
      <c r="X16" s="365"/>
      <c r="Y16" s="365"/>
      <c r="Z16" s="365"/>
      <c r="AA16" s="365"/>
      <c r="AB16" s="365"/>
      <c r="AC16" s="365"/>
      <c r="AD16" s="365"/>
    </row>
    <row r="17" spans="1:221" x14ac:dyDescent="0.25">
      <c r="A17" s="366" t="s">
        <v>337</v>
      </c>
      <c r="B17" s="367"/>
      <c r="C17" s="353">
        <f>C15+C16</f>
        <v>0</v>
      </c>
      <c r="D17" s="367" t="s">
        <v>41</v>
      </c>
      <c r="E17" s="367"/>
      <c r="F17" s="368"/>
      <c r="G17" s="367"/>
      <c r="H17" s="367"/>
      <c r="I17" s="367"/>
      <c r="R17" s="369" t="s">
        <v>188</v>
      </c>
      <c r="S17" s="349">
        <f>'Rider Rates'!$C$21</f>
        <v>7.0209999999999995E-2</v>
      </c>
      <c r="T17" s="349">
        <f>'Rider Rates'!$C$21</f>
        <v>7.0209999999999995E-2</v>
      </c>
      <c r="U17" s="349">
        <f>'Rider Rates'!$C$21</f>
        <v>7.0209999999999995E-2</v>
      </c>
      <c r="V17" s="349">
        <f>'Rider Rates'!$C$21</f>
        <v>7.0209999999999995E-2</v>
      </c>
      <c r="W17" s="349">
        <f>'Rider Rates'!$C$21</f>
        <v>7.0209999999999995E-2</v>
      </c>
      <c r="X17" s="349">
        <f>'Rider Rates'!$B$21</f>
        <v>7.0209999999999995E-2</v>
      </c>
      <c r="Y17" s="349">
        <f>'Rider Rates'!$B$21</f>
        <v>7.0209999999999995E-2</v>
      </c>
      <c r="Z17" s="349">
        <f>'Rider Rates'!$B$21</f>
        <v>7.0209999999999995E-2</v>
      </c>
      <c r="AA17" s="349">
        <f>'Rider Rates'!$B$21</f>
        <v>7.0209999999999995E-2</v>
      </c>
      <c r="AB17" s="349">
        <f>'Rider Rates'!$C$21</f>
        <v>7.0209999999999995E-2</v>
      </c>
      <c r="AC17" s="349">
        <f>'Rider Rates'!$C$21</f>
        <v>7.0209999999999995E-2</v>
      </c>
      <c r="AD17" s="349">
        <f>'Rider Rates'!$C$21</f>
        <v>7.0209999999999995E-2</v>
      </c>
    </row>
    <row r="18" spans="1:221" ht="13" x14ac:dyDescent="0.3">
      <c r="A18" s="367"/>
      <c r="B18" s="367"/>
      <c r="C18" s="368"/>
      <c r="D18" s="368"/>
      <c r="E18" s="368"/>
      <c r="F18" s="368"/>
      <c r="G18" s="354"/>
      <c r="H18" s="367"/>
      <c r="I18" s="367"/>
    </row>
    <row r="19" spans="1:221" ht="13" x14ac:dyDescent="0.3">
      <c r="A19" s="370" t="s">
        <v>124</v>
      </c>
      <c r="B19" s="371"/>
      <c r="C19" s="371"/>
      <c r="D19" s="371"/>
      <c r="E19" s="371"/>
      <c r="F19" s="371"/>
      <c r="G19" s="497" t="s">
        <v>68</v>
      </c>
      <c r="H19" s="498"/>
      <c r="I19" s="498"/>
      <c r="J19" s="499"/>
      <c r="K19" s="371"/>
      <c r="L19" s="500" t="s">
        <v>69</v>
      </c>
      <c r="M19" s="500"/>
      <c r="N19" s="500"/>
      <c r="O19" s="500"/>
    </row>
    <row r="20" spans="1:221" ht="13" x14ac:dyDescent="0.3">
      <c r="A20" s="353"/>
      <c r="B20" s="353"/>
      <c r="C20" s="353"/>
      <c r="D20" s="353"/>
      <c r="E20" s="353"/>
      <c r="F20" s="353"/>
      <c r="G20" s="372" t="s">
        <v>65</v>
      </c>
      <c r="H20" s="372" t="s">
        <v>66</v>
      </c>
      <c r="I20" s="372" t="s">
        <v>67</v>
      </c>
      <c r="J20" s="373" t="s">
        <v>34</v>
      </c>
      <c r="K20" s="353"/>
      <c r="L20" s="374" t="s">
        <v>65</v>
      </c>
      <c r="M20" s="374" t="s">
        <v>66</v>
      </c>
      <c r="N20" s="374" t="s">
        <v>67</v>
      </c>
      <c r="O20" s="374" t="s">
        <v>34</v>
      </c>
      <c r="P20" s="375" t="s">
        <v>57</v>
      </c>
    </row>
    <row r="21" spans="1:221" x14ac:dyDescent="0.25">
      <c r="A21" s="376" t="s">
        <v>32</v>
      </c>
      <c r="G21" s="377"/>
      <c r="H21" s="377"/>
      <c r="I21" s="250">
        <f>'Rider Rates'!B140</f>
        <v>10</v>
      </c>
      <c r="J21" s="250">
        <f>SUM(G21:I21)</f>
        <v>10</v>
      </c>
      <c r="L21" s="250"/>
      <c r="M21" s="250"/>
      <c r="N21" s="250">
        <f>I21</f>
        <v>10</v>
      </c>
      <c r="O21" s="250">
        <f>+SUM(L21:N21)</f>
        <v>10</v>
      </c>
      <c r="P21" s="378">
        <v>44531</v>
      </c>
    </row>
    <row r="22" spans="1:221" x14ac:dyDescent="0.25">
      <c r="A22" s="379" t="s">
        <v>333</v>
      </c>
      <c r="D22" s="380">
        <f>C15</f>
        <v>0</v>
      </c>
      <c r="E22" s="381" t="s">
        <v>41</v>
      </c>
      <c r="F22" s="382" t="s">
        <v>8</v>
      </c>
      <c r="G22" s="383"/>
      <c r="H22" s="383"/>
      <c r="I22" s="383">
        <f>'Rider Rates'!C140</f>
        <v>3.7427700000000001E-2</v>
      </c>
      <c r="J22" s="383">
        <f>SUM(G22:I22)</f>
        <v>3.7427700000000001E-2</v>
      </c>
      <c r="K22" s="384" t="s">
        <v>42</v>
      </c>
      <c r="L22" s="385"/>
      <c r="M22" s="385"/>
      <c r="N22" s="385">
        <f>ROUND($D22*I22,2)</f>
        <v>0</v>
      </c>
      <c r="O22" s="250">
        <f>+SUM(L22:N22)</f>
        <v>0</v>
      </c>
      <c r="P22" s="378">
        <f>'Rider Rates'!H140</f>
        <v>45444</v>
      </c>
    </row>
    <row r="23" spans="1:221" x14ac:dyDescent="0.25">
      <c r="A23" s="379" t="s">
        <v>334</v>
      </c>
      <c r="D23" s="380">
        <f>C16</f>
        <v>0</v>
      </c>
      <c r="E23" s="384" t="s">
        <v>92</v>
      </c>
      <c r="F23" s="382"/>
      <c r="G23" s="383"/>
      <c r="H23" s="383"/>
      <c r="I23" s="383">
        <f>'Rider Rates'!D140</f>
        <v>1.5787499999999999E-2</v>
      </c>
      <c r="J23" s="383">
        <f>SUM(G23:I23)</f>
        <v>1.5787499999999999E-2</v>
      </c>
      <c r="K23" s="384" t="s">
        <v>42</v>
      </c>
      <c r="L23" s="385"/>
      <c r="M23" s="385"/>
      <c r="N23" s="385">
        <f>ROUND($D23*I23,2)</f>
        <v>0</v>
      </c>
      <c r="O23" s="250">
        <f>+SUM(L23:N23)</f>
        <v>0</v>
      </c>
      <c r="P23" s="378">
        <f>'Rider Rates'!H140</f>
        <v>45444</v>
      </c>
    </row>
    <row r="24" spans="1:221" ht="13" x14ac:dyDescent="0.3">
      <c r="A24" s="386" t="s">
        <v>75</v>
      </c>
      <c r="B24" s="387"/>
      <c r="C24" s="387"/>
      <c r="D24" s="388"/>
      <c r="E24" s="388"/>
      <c r="F24" s="387"/>
      <c r="G24" s="387"/>
      <c r="I24" s="389"/>
      <c r="K24" s="390"/>
      <c r="L24" s="391"/>
      <c r="M24" s="392"/>
      <c r="N24" s="391">
        <f>SUM(N19:N23)</f>
        <v>10</v>
      </c>
      <c r="O24" s="391">
        <f>SUM(O21:O23)</f>
        <v>10</v>
      </c>
      <c r="R24" s="393"/>
      <c r="S24" s="394"/>
      <c r="T24" s="395"/>
      <c r="U24" s="353"/>
      <c r="V24" s="396"/>
      <c r="W24" s="353"/>
      <c r="X24" s="353"/>
      <c r="Y24" s="353"/>
      <c r="Z24" s="353"/>
      <c r="AA24" s="353"/>
      <c r="AB24" s="353"/>
      <c r="AC24" s="353"/>
      <c r="AD24" s="353"/>
    </row>
    <row r="25" spans="1:221" ht="13" x14ac:dyDescent="0.3">
      <c r="A25" s="397"/>
      <c r="B25" s="397"/>
      <c r="C25" s="397"/>
      <c r="D25" s="398"/>
      <c r="E25" s="398"/>
      <c r="F25" s="397"/>
      <c r="G25" s="398"/>
      <c r="H25" s="398"/>
      <c r="I25" s="398"/>
      <c r="J25" s="398"/>
      <c r="K25" s="399"/>
      <c r="L25" s="398"/>
      <c r="M25" s="398"/>
      <c r="N25" s="398"/>
      <c r="O25" s="398"/>
      <c r="P25" s="398"/>
      <c r="R25" s="400"/>
      <c r="S25" s="394"/>
      <c r="T25" s="395"/>
      <c r="U25" s="353"/>
      <c r="V25" s="396"/>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row>
    <row r="26" spans="1:221" ht="13" x14ac:dyDescent="0.3">
      <c r="A26" s="364" t="s">
        <v>70</v>
      </c>
      <c r="B26" s="401"/>
      <c r="C26" s="401"/>
      <c r="D26" s="402"/>
      <c r="E26" s="402"/>
      <c r="F26" s="401"/>
      <c r="G26" s="402"/>
      <c r="H26" s="402"/>
      <c r="I26" s="402"/>
      <c r="J26" s="402"/>
      <c r="K26" s="402"/>
      <c r="L26" s="402"/>
      <c r="M26" s="402"/>
      <c r="N26" s="402"/>
      <c r="O26" s="402"/>
      <c r="P26" s="353"/>
      <c r="R26" s="400"/>
      <c r="S26" s="394"/>
      <c r="T26" s="395"/>
      <c r="U26" s="353"/>
      <c r="V26" s="396"/>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row>
    <row r="27" spans="1:221" x14ac:dyDescent="0.25">
      <c r="P27" s="403"/>
      <c r="R27" s="400"/>
      <c r="S27" s="394"/>
      <c r="T27" s="395"/>
      <c r="U27" s="353"/>
      <c r="V27" s="396"/>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c r="BX27" s="353"/>
      <c r="BY27" s="353"/>
      <c r="BZ27" s="353"/>
      <c r="CA27" s="353"/>
      <c r="CB27" s="353"/>
      <c r="CC27" s="353"/>
      <c r="CD27" s="353"/>
      <c r="CE27" s="353"/>
      <c r="CF27" s="353"/>
      <c r="CG27" s="353"/>
      <c r="CH27" s="353"/>
      <c r="CI27" s="353"/>
      <c r="CJ27" s="353"/>
      <c r="CK27" s="353"/>
      <c r="CL27" s="353"/>
      <c r="CM27" s="353"/>
      <c r="CN27" s="353"/>
      <c r="CO27" s="353"/>
      <c r="CP27" s="353"/>
      <c r="CQ27" s="353"/>
      <c r="CR27" s="353"/>
      <c r="CS27" s="353"/>
      <c r="CT27" s="353"/>
      <c r="CU27" s="353"/>
      <c r="CV27" s="353"/>
      <c r="CW27" s="353"/>
      <c r="CX27" s="353"/>
      <c r="CY27" s="353"/>
      <c r="CZ27" s="353"/>
      <c r="DA27" s="353"/>
      <c r="DB27" s="353"/>
      <c r="DC27" s="353"/>
      <c r="DD27" s="353"/>
      <c r="DE27" s="353"/>
      <c r="DF27" s="353"/>
      <c r="DG27" s="353"/>
      <c r="DH27" s="353"/>
      <c r="DI27" s="353"/>
      <c r="DJ27" s="353"/>
      <c r="DK27" s="353"/>
      <c r="DL27" s="353"/>
      <c r="DM27" s="353"/>
      <c r="DN27" s="353"/>
      <c r="DO27" s="353"/>
      <c r="DP27" s="353"/>
      <c r="DQ27" s="353"/>
      <c r="DR27" s="353"/>
      <c r="DS27" s="353"/>
      <c r="DT27" s="353"/>
      <c r="DU27" s="353"/>
      <c r="DV27" s="353"/>
      <c r="DW27" s="353"/>
      <c r="DX27" s="353"/>
      <c r="DY27" s="353"/>
      <c r="DZ27" s="353"/>
      <c r="EA27" s="353"/>
      <c r="EB27" s="353"/>
      <c r="EC27" s="353"/>
      <c r="ED27" s="353"/>
      <c r="EE27" s="353"/>
      <c r="EF27" s="353"/>
      <c r="EG27" s="353"/>
      <c r="EH27" s="353"/>
      <c r="EI27" s="353"/>
      <c r="EJ27" s="353"/>
      <c r="EK27" s="353"/>
      <c r="EL27" s="353"/>
      <c r="EM27" s="353"/>
      <c r="EN27" s="353"/>
      <c r="EO27" s="353"/>
      <c r="EP27" s="353"/>
      <c r="EQ27" s="353"/>
      <c r="ER27" s="353"/>
      <c r="ES27" s="353"/>
      <c r="ET27" s="353"/>
      <c r="EU27" s="353"/>
      <c r="EV27" s="353"/>
      <c r="EW27" s="353"/>
      <c r="EX27" s="353"/>
      <c r="EY27" s="353"/>
      <c r="EZ27" s="353"/>
      <c r="FA27" s="353"/>
      <c r="FB27" s="353"/>
      <c r="FC27" s="353"/>
      <c r="FD27" s="353"/>
      <c r="FE27" s="353"/>
      <c r="FF27" s="353"/>
      <c r="FG27" s="353"/>
      <c r="FH27" s="353"/>
      <c r="FI27" s="353"/>
      <c r="FJ27" s="353"/>
      <c r="FK27" s="353"/>
      <c r="FL27" s="353"/>
      <c r="FM27" s="353"/>
      <c r="FN27" s="353"/>
      <c r="FO27" s="353"/>
      <c r="FP27" s="353"/>
      <c r="FQ27" s="353"/>
      <c r="FR27" s="353"/>
      <c r="FS27" s="353"/>
      <c r="FT27" s="353"/>
      <c r="FU27" s="353"/>
      <c r="FV27" s="353"/>
      <c r="FW27" s="353"/>
      <c r="FX27" s="353"/>
      <c r="FY27" s="353"/>
      <c r="FZ27" s="353"/>
      <c r="GA27" s="353"/>
      <c r="GB27" s="353"/>
      <c r="GC27" s="353"/>
      <c r="GD27" s="353"/>
      <c r="GE27" s="353"/>
      <c r="GF27" s="353"/>
      <c r="GG27" s="353"/>
      <c r="GH27" s="353"/>
      <c r="GI27" s="353"/>
      <c r="GJ27" s="353"/>
      <c r="GK27" s="353"/>
      <c r="GL27" s="353"/>
      <c r="GM27" s="353"/>
      <c r="GN27" s="353"/>
      <c r="GO27" s="353"/>
      <c r="GP27" s="353"/>
      <c r="GQ27" s="353"/>
      <c r="GR27" s="353"/>
      <c r="GS27" s="353"/>
      <c r="GT27" s="353"/>
      <c r="GU27" s="353"/>
      <c r="GV27" s="353"/>
      <c r="GW27" s="353"/>
      <c r="GX27" s="353"/>
      <c r="GY27" s="353"/>
      <c r="GZ27" s="353"/>
      <c r="HA27" s="353"/>
      <c r="HB27" s="353"/>
      <c r="HC27" s="353"/>
      <c r="HD27" s="353"/>
      <c r="HE27" s="353"/>
      <c r="HF27" s="353"/>
      <c r="HG27" s="353"/>
      <c r="HH27" s="353"/>
      <c r="HI27" s="353"/>
      <c r="HJ27" s="353"/>
      <c r="HK27" s="353"/>
      <c r="HL27" s="353"/>
      <c r="HM27" s="353"/>
    </row>
    <row r="28" spans="1:221" x14ac:dyDescent="0.25">
      <c r="A28" s="404" t="s">
        <v>79</v>
      </c>
      <c r="B28" s="405"/>
      <c r="C28" s="405"/>
      <c r="D28" s="380">
        <f>IF($C$17&lt;0,0,IF($C$17&gt;833000,833000,$C$17))</f>
        <v>0</v>
      </c>
      <c r="E28" s="381" t="s">
        <v>41</v>
      </c>
      <c r="F28" s="382" t="s">
        <v>8</v>
      </c>
      <c r="G28" s="406"/>
      <c r="H28" s="406"/>
      <c r="I28" s="406">
        <f>'Rider Rates'!$B$4</f>
        <v>5.9216E-3</v>
      </c>
      <c r="J28" s="407">
        <f t="shared" ref="J28:J48" si="0">SUM(G28:I28)</f>
        <v>5.9216E-3</v>
      </c>
      <c r="K28" s="384" t="s">
        <v>42</v>
      </c>
      <c r="L28" s="250"/>
      <c r="M28" s="250"/>
      <c r="N28" s="250">
        <f t="shared" ref="N28:N33" si="1">ROUND(D28*I28,2)</f>
        <v>0</v>
      </c>
      <c r="O28" s="250">
        <f t="shared" ref="O28:O49" si="2">SUM(L28:N28)</f>
        <v>0</v>
      </c>
      <c r="P28" s="378">
        <f>'Rider Rates'!$D$4</f>
        <v>45293</v>
      </c>
      <c r="R28" s="400"/>
      <c r="S28" s="394"/>
      <c r="T28" s="395"/>
      <c r="U28" s="353"/>
      <c r="V28" s="396"/>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row>
    <row r="29" spans="1:221" x14ac:dyDescent="0.25">
      <c r="A29" s="404" t="s">
        <v>80</v>
      </c>
      <c r="B29" s="353"/>
      <c r="C29" s="353"/>
      <c r="D29" s="408">
        <f>IF($C$17&gt;833000,$C$17-833000,0)</f>
        <v>0</v>
      </c>
      <c r="E29" s="381" t="s">
        <v>41</v>
      </c>
      <c r="F29" s="382" t="s">
        <v>8</v>
      </c>
      <c r="G29" s="406"/>
      <c r="H29" s="406"/>
      <c r="I29" s="406">
        <f>'Rider Rates'!$B$5</f>
        <v>1.7560000000000001E-4</v>
      </c>
      <c r="J29" s="407">
        <f t="shared" si="0"/>
        <v>1.7560000000000001E-4</v>
      </c>
      <c r="K29" s="384" t="s">
        <v>42</v>
      </c>
      <c r="L29" s="250"/>
      <c r="M29" s="250"/>
      <c r="N29" s="250">
        <f t="shared" si="1"/>
        <v>0</v>
      </c>
      <c r="O29" s="250">
        <f t="shared" si="2"/>
        <v>0</v>
      </c>
      <c r="P29" s="378">
        <f>'Rider Rates'!$D$4</f>
        <v>45293</v>
      </c>
      <c r="R29" s="400"/>
      <c r="S29" s="394"/>
      <c r="T29" s="395"/>
      <c r="U29" s="353"/>
      <c r="V29" s="396"/>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row>
    <row r="30" spans="1:221" x14ac:dyDescent="0.25">
      <c r="A30" s="404" t="s">
        <v>97</v>
      </c>
      <c r="B30" s="353"/>
      <c r="C30" s="353"/>
      <c r="D30" s="380">
        <f>IF($C$17&lt;0,0,IF($C$17&gt;2000,2000,$C$17))</f>
        <v>0</v>
      </c>
      <c r="E30" s="381" t="s">
        <v>41</v>
      </c>
      <c r="F30" s="382" t="s">
        <v>8</v>
      </c>
      <c r="G30" s="406"/>
      <c r="H30" s="406"/>
      <c r="I30" s="409">
        <f>'Rider Rates'!$B$8</f>
        <v>4.6499999999999996E-3</v>
      </c>
      <c r="J30" s="409">
        <f t="shared" si="0"/>
        <v>4.6499999999999996E-3</v>
      </c>
      <c r="K30" s="384" t="s">
        <v>42</v>
      </c>
      <c r="L30" s="250"/>
      <c r="M30" s="250"/>
      <c r="N30" s="250">
        <f t="shared" si="1"/>
        <v>0</v>
      </c>
      <c r="O30" s="250">
        <f t="shared" si="2"/>
        <v>0</v>
      </c>
      <c r="P30" s="378">
        <f>'Rider Rates'!$D$7</f>
        <v>44531</v>
      </c>
      <c r="R30" s="400"/>
      <c r="S30" s="394"/>
      <c r="T30" s="395"/>
      <c r="U30" s="353"/>
      <c r="V30" s="396"/>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row>
    <row r="31" spans="1:221" x14ac:dyDescent="0.25">
      <c r="A31" s="404" t="s">
        <v>98</v>
      </c>
      <c r="B31" s="353"/>
      <c r="C31" s="353"/>
      <c r="D31" s="380">
        <f>IF($C$17&lt;=2000,0,IF($C$17=0,0,IF($C$17-2000&gt;13000,13000,$C$17-2000)))</f>
        <v>0</v>
      </c>
      <c r="E31" s="381" t="s">
        <v>41</v>
      </c>
      <c r="F31" s="382" t="s">
        <v>8</v>
      </c>
      <c r="G31" s="406"/>
      <c r="H31" s="406"/>
      <c r="I31" s="409">
        <f>'Rider Rates'!$B$9</f>
        <v>4.1900000000000001E-3</v>
      </c>
      <c r="J31" s="409">
        <f t="shared" si="0"/>
        <v>4.1900000000000001E-3</v>
      </c>
      <c r="K31" s="384" t="s">
        <v>42</v>
      </c>
      <c r="L31" s="250"/>
      <c r="M31" s="250"/>
      <c r="N31" s="250">
        <f t="shared" si="1"/>
        <v>0</v>
      </c>
      <c r="O31" s="250">
        <f t="shared" si="2"/>
        <v>0</v>
      </c>
      <c r="P31" s="378">
        <f>'Rider Rates'!$D$7</f>
        <v>44531</v>
      </c>
      <c r="R31" s="400"/>
      <c r="S31" s="394"/>
      <c r="T31" s="395"/>
      <c r="U31" s="353"/>
      <c r="V31" s="396"/>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3"/>
      <c r="FX31" s="353"/>
      <c r="FY31" s="353"/>
      <c r="FZ31" s="353"/>
      <c r="GA31" s="353"/>
      <c r="GB31" s="353"/>
      <c r="GC31" s="353"/>
      <c r="GD31" s="353"/>
      <c r="GE31" s="353"/>
      <c r="GF31" s="353"/>
      <c r="GG31" s="353"/>
      <c r="GH31" s="353"/>
      <c r="GI31" s="353"/>
      <c r="GJ31" s="353"/>
      <c r="GK31" s="353"/>
      <c r="GL31" s="353"/>
      <c r="GM31" s="353"/>
      <c r="GN31" s="353"/>
      <c r="GO31" s="353"/>
      <c r="GP31" s="353"/>
      <c r="GQ31" s="353"/>
      <c r="GR31" s="353"/>
      <c r="GS31" s="353"/>
      <c r="GT31" s="353"/>
      <c r="GU31" s="353"/>
      <c r="GV31" s="353"/>
      <c r="GW31" s="353"/>
      <c r="GX31" s="353"/>
      <c r="GY31" s="353"/>
      <c r="GZ31" s="353"/>
      <c r="HA31" s="353"/>
      <c r="HB31" s="353"/>
      <c r="HC31" s="353"/>
      <c r="HD31" s="353"/>
      <c r="HE31" s="353"/>
      <c r="HF31" s="353"/>
      <c r="HG31" s="353"/>
      <c r="HH31" s="353"/>
      <c r="HI31" s="353"/>
      <c r="HJ31" s="353"/>
      <c r="HK31" s="353"/>
      <c r="HL31" s="353"/>
      <c r="HM31" s="353"/>
    </row>
    <row r="32" spans="1:221" x14ac:dyDescent="0.25">
      <c r="A32" s="404" t="s">
        <v>99</v>
      </c>
      <c r="B32" s="353"/>
      <c r="C32" s="353"/>
      <c r="D32" s="380">
        <f>IF($C$17=0,0,IF($C$17-15000&gt;=0,$C$17-15000,0))</f>
        <v>0</v>
      </c>
      <c r="E32" s="381" t="s">
        <v>41</v>
      </c>
      <c r="F32" s="382" t="s">
        <v>8</v>
      </c>
      <c r="G32" s="406"/>
      <c r="H32" s="406"/>
      <c r="I32" s="409">
        <f>'Rider Rates'!$B$10</f>
        <v>3.63E-3</v>
      </c>
      <c r="J32" s="409">
        <f t="shared" si="0"/>
        <v>3.63E-3</v>
      </c>
      <c r="K32" s="384" t="s">
        <v>42</v>
      </c>
      <c r="L32" s="250"/>
      <c r="M32" s="250"/>
      <c r="N32" s="250">
        <f t="shared" si="1"/>
        <v>0</v>
      </c>
      <c r="O32" s="250">
        <f t="shared" si="2"/>
        <v>0</v>
      </c>
      <c r="P32" s="378">
        <f>'Rider Rates'!$D$7</f>
        <v>44531</v>
      </c>
      <c r="R32" s="400"/>
      <c r="S32" s="394"/>
      <c r="T32" s="395"/>
      <c r="U32" s="353"/>
      <c r="V32" s="396"/>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c r="DY32" s="353"/>
      <c r="DZ32" s="353"/>
      <c r="EA32" s="353"/>
      <c r="EB32" s="353"/>
      <c r="EC32" s="353"/>
      <c r="ED32" s="353"/>
      <c r="EE32" s="353"/>
      <c r="EF32" s="353"/>
      <c r="EG32" s="353"/>
      <c r="EH32" s="353"/>
      <c r="EI32" s="353"/>
      <c r="EJ32" s="353"/>
      <c r="EK32" s="353"/>
      <c r="EL32" s="353"/>
      <c r="EM32" s="353"/>
      <c r="EN32" s="353"/>
      <c r="EO32" s="353"/>
      <c r="EP32" s="353"/>
      <c r="EQ32" s="353"/>
      <c r="ER32" s="353"/>
      <c r="ES32" s="353"/>
      <c r="ET32" s="353"/>
      <c r="EU32" s="353"/>
      <c r="EV32" s="353"/>
      <c r="EW32" s="353"/>
      <c r="EX32" s="353"/>
      <c r="EY32" s="353"/>
      <c r="EZ32" s="353"/>
      <c r="FA32" s="353"/>
      <c r="FB32" s="353"/>
      <c r="FC32" s="353"/>
      <c r="FD32" s="353"/>
      <c r="FE32" s="353"/>
      <c r="FF32" s="353"/>
      <c r="FG32" s="353"/>
      <c r="FH32" s="353"/>
      <c r="FI32" s="353"/>
      <c r="FJ32" s="353"/>
      <c r="FK32" s="353"/>
      <c r="FL32" s="353"/>
      <c r="FM32" s="353"/>
      <c r="FN32" s="353"/>
      <c r="FO32" s="353"/>
      <c r="FP32" s="353"/>
      <c r="FQ32" s="353"/>
      <c r="FR32" s="353"/>
      <c r="FS32" s="353"/>
      <c r="FT32" s="353"/>
      <c r="FU32" s="353"/>
      <c r="FV32" s="353"/>
      <c r="FW32" s="353"/>
      <c r="FX32" s="353"/>
      <c r="FY32" s="353"/>
      <c r="FZ32" s="353"/>
      <c r="GA32" s="353"/>
      <c r="GB32" s="353"/>
      <c r="GC32" s="353"/>
      <c r="GD32" s="353"/>
      <c r="GE32" s="353"/>
      <c r="GF32" s="353"/>
      <c r="GG32" s="353"/>
      <c r="GH32" s="353"/>
      <c r="GI32" s="353"/>
      <c r="GJ32" s="353"/>
      <c r="GK32" s="353"/>
      <c r="GL32" s="353"/>
      <c r="GM32" s="353"/>
      <c r="GN32" s="353"/>
      <c r="GO32" s="353"/>
      <c r="GP32" s="353"/>
      <c r="GQ32" s="353"/>
      <c r="GR32" s="353"/>
      <c r="GS32" s="353"/>
      <c r="GT32" s="353"/>
      <c r="GU32" s="353"/>
      <c r="GV32" s="353"/>
      <c r="GW32" s="353"/>
      <c r="GX32" s="353"/>
      <c r="GY32" s="353"/>
      <c r="GZ32" s="353"/>
      <c r="HA32" s="353"/>
      <c r="HB32" s="353"/>
      <c r="HC32" s="353"/>
      <c r="HD32" s="353"/>
      <c r="HE32" s="353"/>
      <c r="HF32" s="353"/>
      <c r="HG32" s="353"/>
      <c r="HH32" s="353"/>
      <c r="HI32" s="353"/>
      <c r="HJ32" s="353"/>
      <c r="HK32" s="353"/>
      <c r="HL32" s="353"/>
      <c r="HM32" s="353"/>
    </row>
    <row r="33" spans="1:221" ht="13" x14ac:dyDescent="0.3">
      <c r="A33" s="404" t="s">
        <v>114</v>
      </c>
      <c r="B33" s="353"/>
      <c r="C33" s="353"/>
      <c r="D33" s="410">
        <f>$N$24</f>
        <v>10</v>
      </c>
      <c r="E33" s="381" t="s">
        <v>122</v>
      </c>
      <c r="F33" s="382" t="s">
        <v>8</v>
      </c>
      <c r="G33" s="406"/>
      <c r="H33" s="406"/>
      <c r="I33" s="411">
        <f>'Rider Rates'!$B$12</f>
        <v>0</v>
      </c>
      <c r="J33" s="411">
        <f t="shared" si="0"/>
        <v>0</v>
      </c>
      <c r="K33" s="384"/>
      <c r="L33" s="250"/>
      <c r="M33" s="250"/>
      <c r="N33" s="250">
        <f t="shared" si="1"/>
        <v>0</v>
      </c>
      <c r="O33" s="250">
        <f t="shared" si="2"/>
        <v>0</v>
      </c>
      <c r="P33" s="378">
        <f>'Rider Rates'!$D$12</f>
        <v>44531</v>
      </c>
      <c r="R33" s="400"/>
      <c r="S33" s="394"/>
      <c r="T33" s="395"/>
      <c r="U33" s="353"/>
      <c r="V33" s="396"/>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c r="DY33" s="353"/>
      <c r="DZ33" s="353"/>
      <c r="EA33" s="353"/>
      <c r="EB33" s="353"/>
      <c r="EC33" s="353"/>
      <c r="ED33" s="353"/>
      <c r="EE33" s="353"/>
      <c r="EF33" s="353"/>
      <c r="EG33" s="353"/>
      <c r="EH33" s="353"/>
      <c r="EI33" s="353"/>
      <c r="EJ33" s="353"/>
      <c r="EK33" s="353"/>
      <c r="EL33" s="353"/>
      <c r="EM33" s="353"/>
      <c r="EN33" s="353"/>
      <c r="EO33" s="353"/>
      <c r="EP33" s="353"/>
      <c r="EQ33" s="353"/>
      <c r="ER33" s="353"/>
      <c r="ES33" s="353"/>
      <c r="ET33" s="353"/>
      <c r="EU33" s="353"/>
      <c r="EV33" s="353"/>
      <c r="EW33" s="353"/>
      <c r="EX33" s="353"/>
      <c r="EY33" s="353"/>
      <c r="EZ33" s="353"/>
      <c r="FA33" s="353"/>
      <c r="FB33" s="353"/>
      <c r="FC33" s="353"/>
      <c r="FD33" s="353"/>
      <c r="FE33" s="353"/>
      <c r="FF33" s="353"/>
      <c r="FG33" s="353"/>
      <c r="FH33" s="353"/>
      <c r="FI33" s="353"/>
      <c r="FJ33" s="353"/>
      <c r="FK33" s="353"/>
      <c r="FL33" s="353"/>
      <c r="FM33" s="353"/>
      <c r="FN33" s="353"/>
      <c r="FO33" s="353"/>
      <c r="FP33" s="353"/>
      <c r="FQ33" s="353"/>
      <c r="FR33" s="353"/>
      <c r="FS33" s="353"/>
      <c r="FT33" s="353"/>
      <c r="FU33" s="353"/>
      <c r="FV33" s="353"/>
      <c r="FW33" s="353"/>
      <c r="FX33" s="353"/>
      <c r="FY33" s="353"/>
      <c r="FZ33" s="353"/>
      <c r="GA33" s="353"/>
      <c r="GB33" s="353"/>
      <c r="GC33" s="353"/>
      <c r="GD33" s="353"/>
      <c r="GE33" s="353"/>
      <c r="GF33" s="353"/>
      <c r="GG33" s="353"/>
      <c r="GH33" s="353"/>
      <c r="GI33" s="353"/>
      <c r="GJ33" s="353"/>
      <c r="GK33" s="353"/>
      <c r="GL33" s="353"/>
      <c r="GM33" s="353"/>
      <c r="GN33" s="353"/>
      <c r="GO33" s="353"/>
      <c r="GP33" s="353"/>
      <c r="GQ33" s="353"/>
      <c r="GR33" s="353"/>
      <c r="GS33" s="353"/>
      <c r="GT33" s="353"/>
      <c r="GU33" s="353"/>
      <c r="GV33" s="353"/>
      <c r="GW33" s="353"/>
      <c r="GX33" s="353"/>
      <c r="GY33" s="353"/>
      <c r="GZ33" s="353"/>
      <c r="HA33" s="353"/>
      <c r="HB33" s="353"/>
      <c r="HC33" s="353"/>
      <c r="HD33" s="353"/>
      <c r="HE33" s="353"/>
      <c r="HF33" s="353"/>
      <c r="HG33" s="353"/>
      <c r="HH33" s="353"/>
      <c r="HI33" s="353"/>
      <c r="HJ33" s="353"/>
      <c r="HK33" s="353"/>
      <c r="HL33" s="353"/>
      <c r="HM33" s="353"/>
    </row>
    <row r="34" spans="1:221" x14ac:dyDescent="0.25">
      <c r="A34" s="412" t="s">
        <v>160</v>
      </c>
      <c r="B34" s="353"/>
      <c r="C34" s="353"/>
      <c r="D34" s="380">
        <f>IF($C$17&lt;0,0,$C$17)</f>
        <v>0</v>
      </c>
      <c r="E34" s="381" t="s">
        <v>41</v>
      </c>
      <c r="F34" s="382" t="s">
        <v>8</v>
      </c>
      <c r="G34" s="406"/>
      <c r="H34" s="406"/>
      <c r="I34" s="406">
        <f>'Rider Rates'!$B$15</f>
        <v>-9.7000000000000005E-4</v>
      </c>
      <c r="J34" s="406">
        <f>SUM(G34:I34)</f>
        <v>-9.7000000000000005E-4</v>
      </c>
      <c r="K34" s="384" t="s">
        <v>42</v>
      </c>
      <c r="L34" s="250"/>
      <c r="M34" s="250"/>
      <c r="N34" s="250">
        <f>ROUND(D34*I34,2)</f>
        <v>0</v>
      </c>
      <c r="O34" s="250">
        <f t="shared" si="2"/>
        <v>0</v>
      </c>
      <c r="P34" s="378">
        <f>'Rider Rates'!$D$15</f>
        <v>45474</v>
      </c>
      <c r="R34" s="400"/>
      <c r="S34" s="394"/>
      <c r="T34" s="395"/>
      <c r="U34" s="353"/>
      <c r="V34" s="396"/>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c r="BX34" s="353"/>
      <c r="BY34" s="353"/>
      <c r="BZ34" s="353"/>
      <c r="CA34" s="353"/>
      <c r="CB34" s="353"/>
      <c r="CC34" s="353"/>
      <c r="CD34" s="353"/>
      <c r="CE34" s="353"/>
      <c r="CF34" s="353"/>
      <c r="CG34" s="353"/>
      <c r="CH34" s="353"/>
      <c r="CI34" s="353"/>
      <c r="CJ34" s="353"/>
      <c r="CK34" s="353"/>
      <c r="CL34" s="353"/>
      <c r="CM34" s="353"/>
      <c r="CN34" s="353"/>
      <c r="CO34" s="353"/>
      <c r="CP34" s="353"/>
      <c r="CQ34" s="353"/>
      <c r="CR34" s="353"/>
      <c r="CS34" s="353"/>
      <c r="CT34" s="353"/>
      <c r="CU34" s="353"/>
      <c r="CV34" s="353"/>
      <c r="CW34" s="353"/>
      <c r="CX34" s="353"/>
      <c r="CY34" s="353"/>
      <c r="CZ34" s="353"/>
      <c r="DA34" s="353"/>
      <c r="DB34" s="353"/>
      <c r="DC34" s="353"/>
      <c r="DD34" s="353"/>
      <c r="DE34" s="353"/>
      <c r="DF34" s="353"/>
      <c r="DG34" s="353"/>
      <c r="DH34" s="353"/>
      <c r="DI34" s="353"/>
      <c r="DJ34" s="353"/>
      <c r="DK34" s="353"/>
      <c r="DL34" s="353"/>
      <c r="DM34" s="353"/>
      <c r="DN34" s="353"/>
      <c r="DO34" s="353"/>
      <c r="DP34" s="353"/>
      <c r="DQ34" s="353"/>
      <c r="DR34" s="353"/>
      <c r="DS34" s="353"/>
      <c r="DT34" s="353"/>
      <c r="DU34" s="353"/>
      <c r="DV34" s="353"/>
      <c r="DW34" s="353"/>
      <c r="DX34" s="353"/>
      <c r="DY34" s="353"/>
      <c r="DZ34" s="353"/>
      <c r="EA34" s="353"/>
      <c r="EB34" s="353"/>
      <c r="EC34" s="353"/>
      <c r="ED34" s="353"/>
      <c r="EE34" s="353"/>
      <c r="EF34" s="353"/>
      <c r="EG34" s="353"/>
      <c r="EH34" s="353"/>
      <c r="EI34" s="353"/>
      <c r="EJ34" s="353"/>
      <c r="EK34" s="353"/>
      <c r="EL34" s="353"/>
      <c r="EM34" s="353"/>
      <c r="EN34" s="353"/>
      <c r="EO34" s="353"/>
      <c r="EP34" s="353"/>
      <c r="EQ34" s="353"/>
      <c r="ER34" s="353"/>
      <c r="ES34" s="353"/>
      <c r="ET34" s="353"/>
      <c r="EU34" s="353"/>
      <c r="EV34" s="353"/>
      <c r="EW34" s="353"/>
      <c r="EX34" s="353"/>
      <c r="EY34" s="353"/>
      <c r="EZ34" s="353"/>
      <c r="FA34" s="353"/>
      <c r="FB34" s="353"/>
      <c r="FC34" s="353"/>
      <c r="FD34" s="353"/>
      <c r="FE34" s="353"/>
      <c r="FF34" s="353"/>
      <c r="FG34" s="353"/>
      <c r="FH34" s="353"/>
      <c r="FI34" s="353"/>
      <c r="FJ34" s="353"/>
      <c r="FK34" s="353"/>
      <c r="FL34" s="353"/>
      <c r="FM34" s="353"/>
      <c r="FN34" s="353"/>
      <c r="FO34" s="353"/>
      <c r="FP34" s="353"/>
      <c r="FQ34" s="353"/>
      <c r="FR34" s="353"/>
      <c r="FS34" s="353"/>
      <c r="FT34" s="353"/>
      <c r="FU34" s="353"/>
      <c r="FV34" s="353"/>
      <c r="FW34" s="353"/>
      <c r="FX34" s="353"/>
      <c r="FY34" s="353"/>
      <c r="FZ34" s="353"/>
      <c r="GA34" s="353"/>
      <c r="GB34" s="353"/>
      <c r="GC34" s="353"/>
      <c r="GD34" s="353"/>
      <c r="GE34" s="353"/>
      <c r="GF34" s="353"/>
      <c r="GG34" s="353"/>
      <c r="GH34" s="353"/>
      <c r="GI34" s="353"/>
      <c r="GJ34" s="353"/>
      <c r="GK34" s="353"/>
      <c r="GL34" s="353"/>
      <c r="GM34" s="353"/>
      <c r="GN34" s="353"/>
      <c r="GO34" s="353"/>
      <c r="GP34" s="353"/>
      <c r="GQ34" s="353"/>
      <c r="GR34" s="353"/>
      <c r="GS34" s="353"/>
      <c r="GT34" s="353"/>
      <c r="GU34" s="353"/>
      <c r="GV34" s="353"/>
      <c r="GW34" s="353"/>
      <c r="GX34" s="353"/>
      <c r="GY34" s="353"/>
      <c r="GZ34" s="353"/>
      <c r="HA34" s="353"/>
      <c r="HB34" s="353"/>
      <c r="HC34" s="353"/>
      <c r="HD34" s="353"/>
      <c r="HE34" s="353"/>
      <c r="HF34" s="353"/>
      <c r="HG34" s="353"/>
      <c r="HH34" s="353"/>
      <c r="HI34" s="353"/>
      <c r="HJ34" s="353"/>
      <c r="HK34" s="353"/>
      <c r="HL34" s="353"/>
      <c r="HM34" s="353"/>
    </row>
    <row r="35" spans="1:221" ht="13" x14ac:dyDescent="0.3">
      <c r="A35" s="412" t="s">
        <v>238</v>
      </c>
      <c r="B35" s="353"/>
      <c r="C35" s="353"/>
      <c r="D35" s="410">
        <f>$N$24</f>
        <v>10</v>
      </c>
      <c r="E35" s="381" t="s">
        <v>122</v>
      </c>
      <c r="F35" s="382" t="s">
        <v>8</v>
      </c>
      <c r="G35" s="406"/>
      <c r="H35" s="406"/>
      <c r="I35" s="411">
        <f>'Rider Rates'!$B$18+'Rider Rates'!$E$18</f>
        <v>0</v>
      </c>
      <c r="J35" s="411">
        <f>SUM(G35:I35)</f>
        <v>0</v>
      </c>
      <c r="K35" s="384"/>
      <c r="L35" s="250"/>
      <c r="M35" s="250"/>
      <c r="N35" s="250">
        <f>ROUND($D$35*'Rider Rates'!$B$18,2)+ROUND($D$35*'Rider Rates'!$E$18,2)</f>
        <v>0</v>
      </c>
      <c r="O35" s="250">
        <f t="shared" si="2"/>
        <v>0</v>
      </c>
      <c r="P35" s="378">
        <f>MAX('Rider Rates'!$D$18,'Rider Rates'!$F$18)</f>
        <v>44531</v>
      </c>
      <c r="R35" s="400"/>
      <c r="S35" s="394"/>
      <c r="T35" s="395"/>
      <c r="U35" s="353"/>
      <c r="V35" s="396"/>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row>
    <row r="36" spans="1:221" x14ac:dyDescent="0.25">
      <c r="A36" s="412" t="s">
        <v>187</v>
      </c>
      <c r="B36" s="353"/>
      <c r="C36" s="353"/>
      <c r="D36" s="380">
        <f>'Customer Info'!$B$21+'Customer Info'!$B$22</f>
        <v>0</v>
      </c>
      <c r="E36" s="381" t="s">
        <v>41</v>
      </c>
      <c r="F36" s="382" t="s">
        <v>8</v>
      </c>
      <c r="G36" s="406">
        <f>'Rider Rates'!B21</f>
        <v>7.0209999999999995E-2</v>
      </c>
      <c r="H36" s="406"/>
      <c r="I36" s="406"/>
      <c r="J36" s="413">
        <f>SUM(G36:H36)</f>
        <v>7.0209999999999995E-2</v>
      </c>
      <c r="K36" s="384" t="s">
        <v>42</v>
      </c>
      <c r="L36" s="250">
        <f>ROUND(D36*G36,2)</f>
        <v>0</v>
      </c>
      <c r="M36" s="250"/>
      <c r="N36" s="250"/>
      <c r="O36" s="250">
        <f t="shared" si="2"/>
        <v>0</v>
      </c>
      <c r="P36" s="378">
        <f>'Rider Rates'!$D$21</f>
        <v>45444</v>
      </c>
      <c r="R36" s="400"/>
      <c r="S36" s="394"/>
      <c r="T36" s="395"/>
      <c r="U36" s="353"/>
      <c r="V36" s="396"/>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row>
    <row r="37" spans="1:221" x14ac:dyDescent="0.25">
      <c r="A37" s="414" t="s">
        <v>173</v>
      </c>
      <c r="B37" s="353"/>
      <c r="C37" s="353"/>
      <c r="D37" s="380">
        <f>'Customer Info'!$B$21+'Customer Info'!$B$22</f>
        <v>0</v>
      </c>
      <c r="E37" s="381" t="s">
        <v>41</v>
      </c>
      <c r="F37" s="382" t="s">
        <v>8</v>
      </c>
      <c r="G37" s="406">
        <f>'Rider Rates'!$B$28</f>
        <v>3.2000000000000002E-3</v>
      </c>
      <c r="H37" s="406"/>
      <c r="I37" s="406"/>
      <c r="J37" s="413">
        <f>SUM(G37:H37)</f>
        <v>3.2000000000000002E-3</v>
      </c>
      <c r="K37" s="384" t="s">
        <v>42</v>
      </c>
      <c r="L37" s="250">
        <f>ROUND(D37*G37,2)</f>
        <v>0</v>
      </c>
      <c r="M37" s="250"/>
      <c r="N37" s="250"/>
      <c r="O37" s="250">
        <f t="shared" si="2"/>
        <v>0</v>
      </c>
      <c r="P37" s="378">
        <f>'Rider Rates'!$D$29</f>
        <v>45444</v>
      </c>
      <c r="R37" s="400"/>
      <c r="S37" s="394"/>
      <c r="T37" s="395"/>
      <c r="U37" s="353"/>
      <c r="V37" s="396"/>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c r="BX37" s="353"/>
      <c r="BY37" s="353"/>
      <c r="BZ37" s="353"/>
      <c r="CA37" s="353"/>
      <c r="CB37" s="353"/>
      <c r="CC37" s="353"/>
      <c r="CD37" s="353"/>
      <c r="CE37" s="353"/>
      <c r="CF37" s="353"/>
      <c r="CG37" s="353"/>
      <c r="CH37" s="353"/>
      <c r="CI37" s="353"/>
      <c r="CJ37" s="353"/>
      <c r="CK37" s="353"/>
      <c r="CL37" s="353"/>
      <c r="CM37" s="353"/>
      <c r="CN37" s="353"/>
      <c r="CO37" s="353"/>
      <c r="CP37" s="353"/>
      <c r="CQ37" s="353"/>
      <c r="CR37" s="353"/>
      <c r="CS37" s="353"/>
      <c r="CT37" s="353"/>
      <c r="CU37" s="353"/>
      <c r="CV37" s="353"/>
      <c r="CW37" s="353"/>
      <c r="CX37" s="353"/>
      <c r="CY37" s="353"/>
      <c r="CZ37" s="353"/>
      <c r="DA37" s="353"/>
      <c r="DB37" s="353"/>
      <c r="DC37" s="353"/>
      <c r="DD37" s="353"/>
      <c r="DE37" s="353"/>
      <c r="DF37" s="353"/>
      <c r="DG37" s="353"/>
      <c r="DH37" s="353"/>
      <c r="DI37" s="353"/>
      <c r="DJ37" s="353"/>
      <c r="DK37" s="353"/>
      <c r="DL37" s="353"/>
      <c r="DM37" s="353"/>
      <c r="DN37" s="353"/>
      <c r="DO37" s="353"/>
      <c r="DP37" s="353"/>
      <c r="DQ37" s="353"/>
      <c r="DR37" s="353"/>
      <c r="DS37" s="353"/>
      <c r="DT37" s="353"/>
      <c r="DU37" s="353"/>
      <c r="DV37" s="353"/>
      <c r="DW37" s="353"/>
      <c r="DX37" s="353"/>
      <c r="DY37" s="353"/>
      <c r="DZ37" s="353"/>
      <c r="EA37" s="353"/>
      <c r="EB37" s="353"/>
      <c r="EC37" s="353"/>
      <c r="ED37" s="353"/>
      <c r="EE37" s="353"/>
      <c r="EF37" s="353"/>
      <c r="EG37" s="353"/>
      <c r="EH37" s="353"/>
      <c r="EI37" s="353"/>
      <c r="EJ37" s="353"/>
      <c r="EK37" s="353"/>
      <c r="EL37" s="353"/>
      <c r="EM37" s="353"/>
      <c r="EN37" s="353"/>
      <c r="EO37" s="353"/>
      <c r="EP37" s="353"/>
      <c r="EQ37" s="353"/>
      <c r="ER37" s="353"/>
      <c r="ES37" s="353"/>
      <c r="ET37" s="353"/>
      <c r="EU37" s="353"/>
      <c r="EV37" s="353"/>
      <c r="EW37" s="353"/>
      <c r="EX37" s="353"/>
      <c r="EY37" s="353"/>
      <c r="EZ37" s="353"/>
      <c r="FA37" s="353"/>
      <c r="FB37" s="353"/>
      <c r="FC37" s="353"/>
      <c r="FD37" s="353"/>
      <c r="FE37" s="353"/>
      <c r="FF37" s="353"/>
      <c r="FG37" s="353"/>
      <c r="FH37" s="353"/>
      <c r="FI37" s="353"/>
      <c r="FJ37" s="353"/>
      <c r="FK37" s="353"/>
      <c r="FL37" s="353"/>
      <c r="FM37" s="353"/>
      <c r="FN37" s="353"/>
      <c r="FO37" s="353"/>
      <c r="FP37" s="353"/>
      <c r="FQ37" s="353"/>
      <c r="FR37" s="353"/>
      <c r="FS37" s="353"/>
      <c r="FT37" s="353"/>
      <c r="FU37" s="353"/>
      <c r="FV37" s="353"/>
      <c r="FW37" s="353"/>
      <c r="FX37" s="353"/>
      <c r="FY37" s="353"/>
      <c r="FZ37" s="353"/>
      <c r="GA37" s="353"/>
      <c r="GB37" s="353"/>
      <c r="GC37" s="353"/>
      <c r="GD37" s="353"/>
      <c r="GE37" s="353"/>
      <c r="GF37" s="353"/>
      <c r="GG37" s="353"/>
      <c r="GH37" s="353"/>
      <c r="GI37" s="353"/>
      <c r="GJ37" s="353"/>
      <c r="GK37" s="353"/>
      <c r="GL37" s="353"/>
      <c r="GM37" s="353"/>
      <c r="GN37" s="353"/>
      <c r="GO37" s="353"/>
      <c r="GP37" s="353"/>
      <c r="GQ37" s="353"/>
      <c r="GR37" s="353"/>
      <c r="GS37" s="353"/>
      <c r="GT37" s="353"/>
      <c r="GU37" s="353"/>
      <c r="GV37" s="353"/>
      <c r="GW37" s="353"/>
      <c r="GX37" s="353"/>
      <c r="GY37" s="353"/>
      <c r="GZ37" s="353"/>
      <c r="HA37" s="353"/>
      <c r="HB37" s="353"/>
      <c r="HC37" s="353"/>
      <c r="HD37" s="353"/>
      <c r="HE37" s="353"/>
      <c r="HF37" s="353"/>
      <c r="HG37" s="353"/>
      <c r="HH37" s="353"/>
      <c r="HI37" s="353"/>
      <c r="HJ37" s="353"/>
      <c r="HK37" s="353"/>
      <c r="HL37" s="353"/>
      <c r="HM37" s="353"/>
    </row>
    <row r="38" spans="1:221" x14ac:dyDescent="0.25">
      <c r="A38" s="412" t="s">
        <v>194</v>
      </c>
      <c r="B38" s="353"/>
      <c r="C38" s="353"/>
      <c r="D38" s="380">
        <f>'Customer Info'!$B$21+'Customer Info'!$B$22</f>
        <v>0</v>
      </c>
      <c r="E38" s="381" t="s">
        <v>41</v>
      </c>
      <c r="F38" s="382" t="s">
        <v>8</v>
      </c>
      <c r="G38" s="406">
        <f>'Rider Rates'!B45</f>
        <v>-3.1569999999999998E-4</v>
      </c>
      <c r="H38" s="406"/>
      <c r="I38" s="406"/>
      <c r="J38" s="413">
        <f>SUM(G38:H38)</f>
        <v>-3.1569999999999998E-4</v>
      </c>
      <c r="K38" s="384" t="s">
        <v>42</v>
      </c>
      <c r="L38" s="250">
        <f>ROUND(D38*G38,2)</f>
        <v>0</v>
      </c>
      <c r="M38" s="250"/>
      <c r="N38" s="250"/>
      <c r="O38" s="250">
        <f>SUM(L38:N38)</f>
        <v>0</v>
      </c>
      <c r="P38" s="378">
        <f>'Rider Rates'!$D$45</f>
        <v>45383</v>
      </c>
      <c r="R38" s="400"/>
      <c r="S38" s="394"/>
      <c r="T38" s="395"/>
      <c r="U38" s="353"/>
      <c r="V38" s="396"/>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c r="BX38" s="353"/>
      <c r="BY38" s="353"/>
      <c r="BZ38" s="353"/>
      <c r="CA38" s="353"/>
      <c r="CB38" s="353"/>
      <c r="CC38" s="353"/>
      <c r="CD38" s="353"/>
      <c r="CE38" s="353"/>
      <c r="CF38" s="353"/>
      <c r="CG38" s="353"/>
      <c r="CH38" s="353"/>
      <c r="CI38" s="353"/>
      <c r="CJ38" s="353"/>
      <c r="CK38" s="353"/>
      <c r="CL38" s="353"/>
      <c r="CM38" s="353"/>
      <c r="CN38" s="353"/>
      <c r="CO38" s="353"/>
      <c r="CP38" s="353"/>
      <c r="CQ38" s="353"/>
      <c r="CR38" s="353"/>
      <c r="CS38" s="353"/>
      <c r="CT38" s="353"/>
      <c r="CU38" s="353"/>
      <c r="CV38" s="353"/>
      <c r="CW38" s="353"/>
      <c r="CX38" s="353"/>
      <c r="CY38" s="353"/>
      <c r="CZ38" s="353"/>
      <c r="DA38" s="353"/>
      <c r="DB38" s="353"/>
      <c r="DC38" s="353"/>
      <c r="DD38" s="353"/>
      <c r="DE38" s="353"/>
      <c r="DF38" s="353"/>
      <c r="DG38" s="353"/>
      <c r="DH38" s="353"/>
      <c r="DI38" s="353"/>
      <c r="DJ38" s="353"/>
      <c r="DK38" s="353"/>
      <c r="DL38" s="353"/>
      <c r="DM38" s="353"/>
      <c r="DN38" s="353"/>
      <c r="DO38" s="353"/>
      <c r="DP38" s="353"/>
      <c r="DQ38" s="353"/>
      <c r="DR38" s="353"/>
      <c r="DS38" s="353"/>
      <c r="DT38" s="353"/>
      <c r="DU38" s="353"/>
      <c r="DV38" s="353"/>
      <c r="DW38" s="353"/>
      <c r="DX38" s="353"/>
      <c r="DY38" s="353"/>
      <c r="DZ38" s="353"/>
      <c r="EA38" s="353"/>
      <c r="EB38" s="353"/>
      <c r="EC38" s="353"/>
      <c r="ED38" s="353"/>
      <c r="EE38" s="353"/>
      <c r="EF38" s="353"/>
      <c r="EG38" s="353"/>
      <c r="EH38" s="353"/>
      <c r="EI38" s="353"/>
      <c r="EJ38" s="353"/>
      <c r="EK38" s="353"/>
      <c r="EL38" s="353"/>
      <c r="EM38" s="353"/>
      <c r="EN38" s="353"/>
      <c r="EO38" s="353"/>
      <c r="EP38" s="353"/>
      <c r="EQ38" s="353"/>
      <c r="ER38" s="353"/>
      <c r="ES38" s="353"/>
      <c r="ET38" s="353"/>
      <c r="EU38" s="353"/>
      <c r="EV38" s="353"/>
      <c r="EW38" s="353"/>
      <c r="EX38" s="353"/>
      <c r="EY38" s="353"/>
      <c r="EZ38" s="353"/>
      <c r="FA38" s="353"/>
      <c r="FB38" s="353"/>
      <c r="FC38" s="353"/>
      <c r="FD38" s="353"/>
      <c r="FE38" s="353"/>
      <c r="FF38" s="353"/>
      <c r="FG38" s="353"/>
      <c r="FH38" s="353"/>
      <c r="FI38" s="353"/>
      <c r="FJ38" s="353"/>
      <c r="FK38" s="353"/>
      <c r="FL38" s="353"/>
      <c r="FM38" s="353"/>
      <c r="FN38" s="353"/>
      <c r="FO38" s="353"/>
      <c r="FP38" s="353"/>
      <c r="FQ38" s="353"/>
      <c r="FR38" s="353"/>
      <c r="FS38" s="353"/>
      <c r="FT38" s="353"/>
      <c r="FU38" s="353"/>
      <c r="FV38" s="353"/>
      <c r="FW38" s="353"/>
      <c r="FX38" s="353"/>
      <c r="FY38" s="353"/>
      <c r="FZ38" s="353"/>
      <c r="GA38" s="353"/>
      <c r="GB38" s="353"/>
      <c r="GC38" s="353"/>
      <c r="GD38" s="353"/>
      <c r="GE38" s="353"/>
      <c r="GF38" s="353"/>
      <c r="GG38" s="353"/>
      <c r="GH38" s="353"/>
      <c r="GI38" s="353"/>
      <c r="GJ38" s="353"/>
      <c r="GK38" s="353"/>
      <c r="GL38" s="353"/>
      <c r="GM38" s="353"/>
      <c r="GN38" s="353"/>
      <c r="GO38" s="353"/>
      <c r="GP38" s="353"/>
      <c r="GQ38" s="353"/>
      <c r="GR38" s="353"/>
      <c r="GS38" s="353"/>
      <c r="GT38" s="353"/>
      <c r="GU38" s="353"/>
      <c r="GV38" s="353"/>
      <c r="GW38" s="353"/>
      <c r="GX38" s="353"/>
      <c r="GY38" s="353"/>
      <c r="GZ38" s="353"/>
      <c r="HA38" s="353"/>
      <c r="HB38" s="353"/>
      <c r="HC38" s="353"/>
      <c r="HD38" s="353"/>
      <c r="HE38" s="353"/>
      <c r="HF38" s="353"/>
      <c r="HG38" s="353"/>
      <c r="HH38" s="353"/>
      <c r="HI38" s="353"/>
      <c r="HJ38" s="353"/>
      <c r="HK38" s="353"/>
      <c r="HL38" s="353"/>
      <c r="HM38" s="353"/>
    </row>
    <row r="39" spans="1:221" x14ac:dyDescent="0.25">
      <c r="A39" s="414" t="s">
        <v>211</v>
      </c>
      <c r="B39" s="353"/>
      <c r="C39" s="353"/>
      <c r="D39" s="380"/>
      <c r="E39" s="381" t="s">
        <v>115</v>
      </c>
      <c r="F39" s="382" t="s">
        <v>15</v>
      </c>
      <c r="G39" s="406"/>
      <c r="H39" s="406"/>
      <c r="I39" s="406">
        <f>'Rider Rates'!D48</f>
        <v>1.39</v>
      </c>
      <c r="J39" s="406">
        <f>SUM(G39:I39)</f>
        <v>1.39</v>
      </c>
      <c r="K39" s="384" t="s">
        <v>42</v>
      </c>
      <c r="L39" s="250"/>
      <c r="M39" s="250"/>
      <c r="N39" s="250">
        <f>J39</f>
        <v>1.39</v>
      </c>
      <c r="O39" s="250">
        <f>SUM(L39:N39)</f>
        <v>1.39</v>
      </c>
      <c r="P39" s="378">
        <f>'Rider Rates'!E48</f>
        <v>45474</v>
      </c>
      <c r="R39" s="400"/>
      <c r="S39" s="394"/>
      <c r="T39" s="395"/>
      <c r="U39" s="353"/>
      <c r="V39" s="396"/>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c r="BX39" s="353"/>
      <c r="BY39" s="353"/>
      <c r="BZ39" s="353"/>
      <c r="CA39" s="353"/>
      <c r="CB39" s="353"/>
      <c r="CC39" s="353"/>
      <c r="CD39" s="353"/>
      <c r="CE39" s="353"/>
      <c r="CF39" s="353"/>
      <c r="CG39" s="353"/>
      <c r="CH39" s="353"/>
      <c r="CI39" s="353"/>
      <c r="CJ39" s="353"/>
      <c r="CK39" s="353"/>
      <c r="CL39" s="353"/>
      <c r="CM39" s="353"/>
      <c r="CN39" s="353"/>
      <c r="CO39" s="353"/>
      <c r="CP39" s="353"/>
      <c r="CQ39" s="353"/>
      <c r="CR39" s="353"/>
      <c r="CS39" s="353"/>
      <c r="CT39" s="353"/>
      <c r="CU39" s="353"/>
      <c r="CV39" s="353"/>
      <c r="CW39" s="353"/>
      <c r="CX39" s="353"/>
      <c r="CY39" s="353"/>
      <c r="CZ39" s="353"/>
      <c r="DA39" s="353"/>
      <c r="DB39" s="353"/>
      <c r="DC39" s="353"/>
      <c r="DD39" s="353"/>
      <c r="DE39" s="353"/>
      <c r="DF39" s="353"/>
      <c r="DG39" s="353"/>
      <c r="DH39" s="353"/>
      <c r="DI39" s="353"/>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3"/>
      <c r="EU39" s="353"/>
      <c r="EV39" s="353"/>
      <c r="EW39" s="353"/>
      <c r="EX39" s="353"/>
      <c r="EY39" s="353"/>
      <c r="EZ39" s="353"/>
      <c r="FA39" s="353"/>
      <c r="FB39" s="353"/>
      <c r="FC39" s="353"/>
      <c r="FD39" s="353"/>
      <c r="FE39" s="353"/>
      <c r="FF39" s="353"/>
      <c r="FG39" s="353"/>
      <c r="FH39" s="353"/>
      <c r="FI39" s="353"/>
      <c r="FJ39" s="353"/>
      <c r="FK39" s="353"/>
      <c r="FL39" s="353"/>
      <c r="FM39" s="353"/>
      <c r="FN39" s="353"/>
      <c r="FO39" s="353"/>
      <c r="FP39" s="353"/>
      <c r="FQ39" s="353"/>
      <c r="FR39" s="353"/>
      <c r="FS39" s="353"/>
      <c r="FT39" s="353"/>
      <c r="FU39" s="353"/>
      <c r="FV39" s="353"/>
      <c r="FW39" s="353"/>
      <c r="FX39" s="353"/>
      <c r="FY39" s="353"/>
      <c r="FZ39" s="353"/>
      <c r="GA39" s="353"/>
      <c r="GB39" s="353"/>
      <c r="GC39" s="353"/>
      <c r="GD39" s="353"/>
      <c r="GE39" s="353"/>
      <c r="GF39" s="353"/>
      <c r="GG39" s="353"/>
      <c r="GH39" s="353"/>
      <c r="GI39" s="353"/>
      <c r="GJ39" s="353"/>
      <c r="GK39" s="353"/>
      <c r="GL39" s="353"/>
      <c r="GM39" s="353"/>
      <c r="GN39" s="353"/>
      <c r="GO39" s="353"/>
      <c r="GP39" s="353"/>
      <c r="GQ39" s="353"/>
      <c r="GR39" s="353"/>
      <c r="GS39" s="353"/>
      <c r="GT39" s="353"/>
      <c r="GU39" s="353"/>
      <c r="GV39" s="353"/>
      <c r="GW39" s="353"/>
      <c r="GX39" s="353"/>
      <c r="GY39" s="353"/>
      <c r="GZ39" s="353"/>
      <c r="HA39" s="353"/>
      <c r="HB39" s="353"/>
      <c r="HC39" s="353"/>
      <c r="HD39" s="353"/>
      <c r="HE39" s="353"/>
      <c r="HF39" s="353"/>
      <c r="HG39" s="353"/>
      <c r="HH39" s="353"/>
      <c r="HI39" s="353"/>
      <c r="HJ39" s="353"/>
      <c r="HK39" s="353"/>
      <c r="HL39" s="353"/>
      <c r="HM39" s="353"/>
    </row>
    <row r="40" spans="1:221" x14ac:dyDescent="0.25">
      <c r="A40" s="412" t="s">
        <v>190</v>
      </c>
      <c r="B40" s="353"/>
      <c r="C40" s="353"/>
      <c r="D40" s="380">
        <f>IF($C$17&lt;0,0,$C$17)</f>
        <v>0</v>
      </c>
      <c r="E40" s="415" t="s">
        <v>41</v>
      </c>
      <c r="F40" s="382" t="s">
        <v>8</v>
      </c>
      <c r="G40" s="406"/>
      <c r="H40" s="406">
        <f>'Rider Rates'!$B$55</f>
        <v>4.3837099999999997E-2</v>
      </c>
      <c r="I40" s="406"/>
      <c r="J40" s="406">
        <f>SUM(G40:I40)</f>
        <v>4.3837099999999997E-2</v>
      </c>
      <c r="K40" s="384" t="s">
        <v>42</v>
      </c>
      <c r="L40" s="250"/>
      <c r="M40" s="250">
        <f>ROUND(D40*H40,2)</f>
        <v>0</v>
      </c>
      <c r="N40" s="416"/>
      <c r="O40" s="250">
        <f t="shared" si="2"/>
        <v>0</v>
      </c>
      <c r="P40" s="378">
        <f>'Rider Rates'!$D$55</f>
        <v>45383</v>
      </c>
      <c r="R40" s="400"/>
      <c r="S40" s="394"/>
      <c r="T40" s="395"/>
      <c r="U40" s="353"/>
      <c r="V40" s="396"/>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c r="BX40" s="353"/>
      <c r="BY40" s="353"/>
      <c r="BZ40" s="353"/>
      <c r="CA40" s="353"/>
      <c r="CB40" s="353"/>
      <c r="CC40" s="353"/>
      <c r="CD40" s="353"/>
      <c r="CE40" s="353"/>
      <c r="CF40" s="353"/>
      <c r="CG40" s="353"/>
      <c r="CH40" s="353"/>
      <c r="CI40" s="353"/>
      <c r="CJ40" s="353"/>
      <c r="CK40" s="353"/>
      <c r="CL40" s="353"/>
      <c r="CM40" s="353"/>
      <c r="CN40" s="353"/>
      <c r="CO40" s="353"/>
      <c r="CP40" s="353"/>
      <c r="CQ40" s="353"/>
      <c r="CR40" s="353"/>
      <c r="CS40" s="353"/>
      <c r="CT40" s="353"/>
      <c r="CU40" s="353"/>
      <c r="CV40" s="353"/>
      <c r="CW40" s="353"/>
      <c r="CX40" s="353"/>
      <c r="CY40" s="353"/>
      <c r="CZ40" s="353"/>
      <c r="DA40" s="353"/>
      <c r="DB40" s="353"/>
      <c r="DC40" s="353"/>
      <c r="DD40" s="353"/>
      <c r="DE40" s="353"/>
      <c r="DF40" s="353"/>
      <c r="DG40" s="353"/>
      <c r="DH40" s="353"/>
      <c r="DI40" s="353"/>
      <c r="DJ40" s="353"/>
      <c r="DK40" s="353"/>
      <c r="DL40" s="353"/>
      <c r="DM40" s="353"/>
      <c r="DN40" s="353"/>
      <c r="DO40" s="353"/>
      <c r="DP40" s="353"/>
      <c r="DQ40" s="353"/>
      <c r="DR40" s="353"/>
      <c r="DS40" s="353"/>
      <c r="DT40" s="353"/>
      <c r="DU40" s="353"/>
      <c r="DV40" s="353"/>
      <c r="DW40" s="353"/>
      <c r="DX40" s="353"/>
      <c r="DY40" s="353"/>
      <c r="DZ40" s="353"/>
      <c r="EA40" s="353"/>
      <c r="EB40" s="353"/>
      <c r="EC40" s="353"/>
      <c r="ED40" s="353"/>
      <c r="EE40" s="353"/>
      <c r="EF40" s="353"/>
      <c r="EG40" s="353"/>
      <c r="EH40" s="353"/>
      <c r="EI40" s="353"/>
      <c r="EJ40" s="353"/>
      <c r="EK40" s="353"/>
      <c r="EL40" s="353"/>
      <c r="EM40" s="353"/>
      <c r="EN40" s="353"/>
      <c r="EO40" s="353"/>
      <c r="EP40" s="353"/>
      <c r="EQ40" s="353"/>
      <c r="ER40" s="353"/>
      <c r="ES40" s="353"/>
      <c r="ET40" s="353"/>
      <c r="EU40" s="353"/>
      <c r="EV40" s="353"/>
      <c r="EW40" s="353"/>
      <c r="EX40" s="353"/>
      <c r="EY40" s="353"/>
      <c r="EZ40" s="353"/>
      <c r="FA40" s="353"/>
      <c r="FB40" s="353"/>
      <c r="FC40" s="353"/>
      <c r="FD40" s="353"/>
      <c r="FE40" s="353"/>
      <c r="FF40" s="353"/>
      <c r="FG40" s="353"/>
      <c r="FH40" s="353"/>
      <c r="FI40" s="353"/>
      <c r="FJ40" s="353"/>
      <c r="FK40" s="353"/>
      <c r="FL40" s="353"/>
      <c r="FM40" s="353"/>
      <c r="FN40" s="353"/>
      <c r="FO40" s="353"/>
      <c r="FP40" s="353"/>
      <c r="FQ40" s="353"/>
      <c r="FR40" s="353"/>
      <c r="FS40" s="353"/>
      <c r="FT40" s="353"/>
      <c r="FU40" s="353"/>
      <c r="FV40" s="353"/>
      <c r="FW40" s="353"/>
      <c r="FX40" s="353"/>
      <c r="FY40" s="353"/>
      <c r="FZ40" s="353"/>
      <c r="GA40" s="353"/>
      <c r="GB40" s="353"/>
      <c r="GC40" s="353"/>
      <c r="GD40" s="353"/>
      <c r="GE40" s="353"/>
      <c r="GF40" s="353"/>
      <c r="GG40" s="353"/>
      <c r="GH40" s="353"/>
      <c r="GI40" s="353"/>
      <c r="GJ40" s="353"/>
      <c r="GK40" s="353"/>
      <c r="GL40" s="353"/>
      <c r="GM40" s="353"/>
      <c r="GN40" s="353"/>
      <c r="GO40" s="353"/>
      <c r="GP40" s="353"/>
      <c r="GQ40" s="353"/>
      <c r="GR40" s="353"/>
      <c r="GS40" s="353"/>
      <c r="GT40" s="353"/>
      <c r="GU40" s="353"/>
      <c r="GV40" s="353"/>
      <c r="GW40" s="353"/>
      <c r="GX40" s="353"/>
      <c r="GY40" s="353"/>
      <c r="GZ40" s="353"/>
      <c r="HA40" s="353"/>
      <c r="HB40" s="353"/>
      <c r="HC40" s="353"/>
      <c r="HD40" s="353"/>
      <c r="HE40" s="353"/>
      <c r="HF40" s="353"/>
      <c r="HG40" s="353"/>
      <c r="HH40" s="353"/>
      <c r="HI40" s="353"/>
      <c r="HJ40" s="353"/>
      <c r="HK40" s="353"/>
      <c r="HL40" s="353"/>
      <c r="HM40" s="353"/>
    </row>
    <row r="41" spans="1:221" x14ac:dyDescent="0.25">
      <c r="A41" s="404" t="s">
        <v>96</v>
      </c>
      <c r="B41" s="353"/>
      <c r="C41" s="353"/>
      <c r="D41" s="380">
        <f>IF('Customer Info'!C34=TRUE,0,IF($C$17&lt;0,0,$C$17))</f>
        <v>0</v>
      </c>
      <c r="E41" s="381" t="s">
        <v>41</v>
      </c>
      <c r="F41" s="382" t="s">
        <v>8</v>
      </c>
      <c r="G41" s="406"/>
      <c r="H41" s="406"/>
      <c r="I41" s="406">
        <f>'Rider Rates'!$B$67+'Rider Rates'!$C$67</f>
        <v>0</v>
      </c>
      <c r="J41" s="406">
        <f t="shared" si="0"/>
        <v>0</v>
      </c>
      <c r="K41" s="384" t="s">
        <v>42</v>
      </c>
      <c r="L41" s="250"/>
      <c r="M41" s="250"/>
      <c r="N41" s="250">
        <f>ROUND($D$41*'Rider Rates'!$B$67,2)+ROUND($D$41*'Rider Rates'!$C$67,2)</f>
        <v>0</v>
      </c>
      <c r="O41" s="250">
        <f t="shared" si="2"/>
        <v>0</v>
      </c>
      <c r="P41" s="378">
        <f>'Rider Rates'!$D$67</f>
        <v>45444</v>
      </c>
      <c r="R41" s="400"/>
      <c r="S41" s="394"/>
      <c r="T41" s="395"/>
      <c r="U41" s="353"/>
      <c r="V41" s="396"/>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c r="BX41" s="353"/>
      <c r="BY41" s="353"/>
      <c r="BZ41" s="353"/>
      <c r="CA41" s="353"/>
      <c r="CB41" s="353"/>
      <c r="CC41" s="353"/>
      <c r="CD41" s="353"/>
      <c r="CE41" s="353"/>
      <c r="CF41" s="353"/>
      <c r="CG41" s="353"/>
      <c r="CH41" s="353"/>
      <c r="CI41" s="353"/>
      <c r="CJ41" s="353"/>
      <c r="CK41" s="353"/>
      <c r="CL41" s="353"/>
      <c r="CM41" s="353"/>
      <c r="CN41" s="353"/>
      <c r="CO41" s="353"/>
      <c r="CP41" s="353"/>
      <c r="CQ41" s="353"/>
      <c r="CR41" s="353"/>
      <c r="CS41" s="353"/>
      <c r="CT41" s="353"/>
      <c r="CU41" s="353"/>
      <c r="CV41" s="353"/>
      <c r="CW41" s="353"/>
      <c r="CX41" s="353"/>
      <c r="CY41" s="353"/>
      <c r="CZ41" s="353"/>
      <c r="DA41" s="353"/>
      <c r="DB41" s="353"/>
      <c r="DC41" s="353"/>
      <c r="DD41" s="353"/>
      <c r="DE41" s="353"/>
      <c r="DF41" s="353"/>
      <c r="DG41" s="353"/>
      <c r="DH41" s="353"/>
      <c r="DI41" s="353"/>
      <c r="DJ41" s="353"/>
      <c r="DK41" s="353"/>
      <c r="DL41" s="353"/>
      <c r="DM41" s="353"/>
      <c r="DN41" s="353"/>
      <c r="DO41" s="353"/>
      <c r="DP41" s="353"/>
      <c r="DQ41" s="353"/>
      <c r="DR41" s="353"/>
      <c r="DS41" s="353"/>
      <c r="DT41" s="353"/>
      <c r="DU41" s="353"/>
      <c r="DV41" s="353"/>
      <c r="DW41" s="353"/>
      <c r="DX41" s="353"/>
      <c r="DY41" s="353"/>
      <c r="DZ41" s="353"/>
      <c r="EA41" s="353"/>
      <c r="EB41" s="353"/>
      <c r="EC41" s="353"/>
      <c r="ED41" s="353"/>
      <c r="EE41" s="353"/>
      <c r="EF41" s="353"/>
      <c r="EG41" s="353"/>
      <c r="EH41" s="353"/>
      <c r="EI41" s="353"/>
      <c r="EJ41" s="353"/>
      <c r="EK41" s="353"/>
      <c r="EL41" s="353"/>
      <c r="EM41" s="353"/>
      <c r="EN41" s="353"/>
      <c r="EO41" s="353"/>
      <c r="EP41" s="353"/>
      <c r="EQ41" s="353"/>
      <c r="ER41" s="353"/>
      <c r="ES41" s="353"/>
      <c r="ET41" s="353"/>
      <c r="EU41" s="353"/>
      <c r="EV41" s="353"/>
      <c r="EW41" s="353"/>
      <c r="EX41" s="353"/>
      <c r="EY41" s="353"/>
      <c r="EZ41" s="353"/>
      <c r="FA41" s="353"/>
      <c r="FB41" s="353"/>
      <c r="FC41" s="353"/>
      <c r="FD41" s="353"/>
      <c r="FE41" s="353"/>
      <c r="FF41" s="353"/>
      <c r="FG41" s="353"/>
      <c r="FH41" s="353"/>
      <c r="FI41" s="353"/>
      <c r="FJ41" s="353"/>
      <c r="FK41" s="353"/>
      <c r="FL41" s="353"/>
      <c r="FM41" s="353"/>
      <c r="FN41" s="353"/>
      <c r="FO41" s="353"/>
      <c r="FP41" s="353"/>
      <c r="FQ41" s="353"/>
      <c r="FR41" s="353"/>
      <c r="FS41" s="353"/>
      <c r="FT41" s="353"/>
      <c r="FU41" s="353"/>
      <c r="FV41" s="353"/>
      <c r="FW41" s="353"/>
      <c r="FX41" s="353"/>
      <c r="FY41" s="353"/>
      <c r="FZ41" s="353"/>
      <c r="GA41" s="353"/>
      <c r="GB41" s="353"/>
      <c r="GC41" s="353"/>
      <c r="GD41" s="353"/>
      <c r="GE41" s="353"/>
      <c r="GF41" s="353"/>
      <c r="GG41" s="353"/>
      <c r="GH41" s="353"/>
      <c r="GI41" s="353"/>
      <c r="GJ41" s="353"/>
      <c r="GK41" s="353"/>
      <c r="GL41" s="353"/>
      <c r="GM41" s="353"/>
      <c r="GN41" s="353"/>
      <c r="GO41" s="353"/>
      <c r="GP41" s="353"/>
      <c r="GQ41" s="353"/>
      <c r="GR41" s="353"/>
      <c r="GS41" s="353"/>
      <c r="GT41" s="353"/>
      <c r="GU41" s="353"/>
      <c r="GV41" s="353"/>
      <c r="GW41" s="353"/>
      <c r="GX41" s="353"/>
      <c r="GY41" s="353"/>
      <c r="GZ41" s="353"/>
      <c r="HA41" s="353"/>
      <c r="HB41" s="353"/>
      <c r="HC41" s="353"/>
      <c r="HD41" s="353"/>
      <c r="HE41" s="353"/>
      <c r="HF41" s="353"/>
      <c r="HG41" s="353"/>
      <c r="HH41" s="353"/>
      <c r="HI41" s="353"/>
      <c r="HJ41" s="353"/>
      <c r="HK41" s="353"/>
      <c r="HL41" s="353"/>
      <c r="HM41" s="353"/>
    </row>
    <row r="42" spans="1:221" ht="13" x14ac:dyDescent="0.3">
      <c r="A42" s="404" t="s">
        <v>81</v>
      </c>
      <c r="B42" s="353"/>
      <c r="C42" s="353"/>
      <c r="D42" s="410">
        <f>$N$24</f>
        <v>10</v>
      </c>
      <c r="E42" s="381" t="s">
        <v>122</v>
      </c>
      <c r="F42" s="382" t="s">
        <v>8</v>
      </c>
      <c r="G42" s="417"/>
      <c r="H42" s="373"/>
      <c r="I42" s="418">
        <f>'Rider Rates'!$B$83</f>
        <v>2.9347000000000002E-2</v>
      </c>
      <c r="J42" s="418">
        <f t="shared" si="0"/>
        <v>2.9347000000000002E-2</v>
      </c>
      <c r="K42" s="384"/>
      <c r="L42" s="250"/>
      <c r="M42" s="250"/>
      <c r="N42" s="250">
        <f>ROUND(D42*I42,2)</f>
        <v>0.28999999999999998</v>
      </c>
      <c r="O42" s="250">
        <f t="shared" si="2"/>
        <v>0.28999999999999998</v>
      </c>
      <c r="P42" s="378">
        <f>'Rider Rates'!$D$83</f>
        <v>45383</v>
      </c>
      <c r="R42" s="400"/>
      <c r="S42" s="394"/>
      <c r="T42" s="395"/>
      <c r="U42" s="353"/>
      <c r="V42" s="396"/>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c r="DY42" s="353"/>
      <c r="DZ42" s="353"/>
      <c r="EA42" s="353"/>
      <c r="EB42" s="353"/>
      <c r="EC42" s="353"/>
      <c r="ED42" s="353"/>
      <c r="EE42" s="353"/>
      <c r="EF42" s="353"/>
      <c r="EG42" s="353"/>
      <c r="EH42" s="353"/>
      <c r="EI42" s="353"/>
      <c r="EJ42" s="353"/>
      <c r="EK42" s="353"/>
      <c r="EL42" s="353"/>
      <c r="EM42" s="353"/>
      <c r="EN42" s="353"/>
      <c r="EO42" s="353"/>
      <c r="EP42" s="353"/>
      <c r="EQ42" s="353"/>
      <c r="ER42" s="353"/>
      <c r="ES42" s="353"/>
      <c r="ET42" s="353"/>
      <c r="EU42" s="353"/>
      <c r="EV42" s="353"/>
      <c r="EW42" s="353"/>
      <c r="EX42" s="353"/>
      <c r="EY42" s="353"/>
      <c r="EZ42" s="353"/>
      <c r="FA42" s="353"/>
      <c r="FB42" s="353"/>
      <c r="FC42" s="353"/>
      <c r="FD42" s="353"/>
      <c r="FE42" s="353"/>
      <c r="FF42" s="353"/>
      <c r="FG42" s="353"/>
      <c r="FH42" s="353"/>
      <c r="FI42" s="353"/>
      <c r="FJ42" s="353"/>
      <c r="FK42" s="353"/>
      <c r="FL42" s="353"/>
      <c r="FM42" s="353"/>
      <c r="FN42" s="353"/>
      <c r="FO42" s="353"/>
      <c r="FP42" s="353"/>
      <c r="FQ42" s="353"/>
      <c r="FR42" s="353"/>
      <c r="FS42" s="353"/>
      <c r="FT42" s="353"/>
      <c r="FU42" s="353"/>
      <c r="FV42" s="353"/>
      <c r="FW42" s="353"/>
      <c r="FX42" s="353"/>
      <c r="FY42" s="353"/>
      <c r="FZ42" s="353"/>
      <c r="GA42" s="353"/>
      <c r="GB42" s="353"/>
      <c r="GC42" s="353"/>
      <c r="GD42" s="353"/>
      <c r="GE42" s="353"/>
      <c r="GF42" s="353"/>
      <c r="GG42" s="353"/>
      <c r="GH42" s="353"/>
      <c r="GI42" s="353"/>
      <c r="GJ42" s="353"/>
      <c r="GK42" s="353"/>
      <c r="GL42" s="353"/>
      <c r="GM42" s="353"/>
      <c r="GN42" s="353"/>
      <c r="GO42" s="353"/>
      <c r="GP42" s="353"/>
      <c r="GQ42" s="353"/>
      <c r="GR42" s="353"/>
      <c r="GS42" s="353"/>
      <c r="GT42" s="353"/>
      <c r="GU42" s="353"/>
      <c r="GV42" s="353"/>
      <c r="GW42" s="353"/>
      <c r="GX42" s="353"/>
      <c r="GY42" s="353"/>
      <c r="GZ42" s="353"/>
      <c r="HA42" s="353"/>
      <c r="HB42" s="353"/>
      <c r="HC42" s="353"/>
      <c r="HD42" s="353"/>
      <c r="HE42" s="353"/>
      <c r="HF42" s="353"/>
      <c r="HG42" s="353"/>
      <c r="HH42" s="353"/>
      <c r="HI42" s="353"/>
      <c r="HJ42" s="353"/>
      <c r="HK42" s="353"/>
      <c r="HL42" s="353"/>
      <c r="HM42" s="353"/>
    </row>
    <row r="43" spans="1:221" ht="13" x14ac:dyDescent="0.3">
      <c r="A43" s="404" t="s">
        <v>82</v>
      </c>
      <c r="B43" s="353"/>
      <c r="C43" s="353"/>
      <c r="D43" s="410">
        <f>$N$24</f>
        <v>10</v>
      </c>
      <c r="E43" s="381" t="s">
        <v>122</v>
      </c>
      <c r="F43" s="382" t="s">
        <v>8</v>
      </c>
      <c r="G43" s="419"/>
      <c r="H43" s="373"/>
      <c r="I43" s="418">
        <f>'Rider Rates'!$B$85</f>
        <v>6.6985699999999995E-2</v>
      </c>
      <c r="J43" s="418">
        <f t="shared" si="0"/>
        <v>6.6985699999999995E-2</v>
      </c>
      <c r="K43" s="384"/>
      <c r="L43" s="250"/>
      <c r="M43" s="250"/>
      <c r="N43" s="250">
        <f>ROUND(D43*I43,2)</f>
        <v>0.67</v>
      </c>
      <c r="O43" s="250">
        <f t="shared" si="2"/>
        <v>0.67</v>
      </c>
      <c r="P43" s="378">
        <f>'Rider Rates'!$D$85</f>
        <v>45167</v>
      </c>
      <c r="R43" s="400"/>
      <c r="S43" s="394"/>
      <c r="T43" s="395"/>
      <c r="U43" s="353"/>
      <c r="V43" s="396"/>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353"/>
      <c r="FB43" s="353"/>
      <c r="FC43" s="353"/>
      <c r="FD43" s="353"/>
      <c r="FE43" s="353"/>
      <c r="FF43" s="353"/>
      <c r="FG43" s="353"/>
      <c r="FH43" s="353"/>
      <c r="FI43" s="353"/>
      <c r="FJ43" s="353"/>
      <c r="FK43" s="353"/>
      <c r="FL43" s="353"/>
      <c r="FM43" s="353"/>
      <c r="FN43" s="353"/>
      <c r="FO43" s="353"/>
      <c r="FP43" s="353"/>
      <c r="FQ43" s="353"/>
      <c r="FR43" s="353"/>
      <c r="FS43" s="353"/>
      <c r="FT43" s="353"/>
      <c r="FU43" s="353"/>
      <c r="FV43" s="353"/>
      <c r="FW43" s="353"/>
      <c r="FX43" s="353"/>
      <c r="FY43" s="353"/>
      <c r="FZ43" s="353"/>
      <c r="GA43" s="353"/>
      <c r="GB43" s="353"/>
      <c r="GC43" s="353"/>
      <c r="GD43" s="353"/>
      <c r="GE43" s="353"/>
      <c r="GF43" s="353"/>
      <c r="GG43" s="353"/>
      <c r="GH43" s="353"/>
      <c r="GI43" s="353"/>
      <c r="GJ43" s="353"/>
      <c r="GK43" s="353"/>
      <c r="GL43" s="353"/>
      <c r="GM43" s="353"/>
      <c r="GN43" s="353"/>
      <c r="GO43" s="353"/>
      <c r="GP43" s="353"/>
      <c r="GQ43" s="353"/>
      <c r="GR43" s="353"/>
      <c r="GS43" s="353"/>
      <c r="GT43" s="353"/>
      <c r="GU43" s="353"/>
      <c r="GV43" s="353"/>
      <c r="GW43" s="353"/>
      <c r="GX43" s="353"/>
      <c r="GY43" s="353"/>
      <c r="GZ43" s="353"/>
      <c r="HA43" s="353"/>
      <c r="HB43" s="353"/>
      <c r="HC43" s="353"/>
      <c r="HD43" s="353"/>
      <c r="HE43" s="353"/>
      <c r="HF43" s="353"/>
      <c r="HG43" s="353"/>
      <c r="HH43" s="353"/>
      <c r="HI43" s="353"/>
      <c r="HJ43" s="353"/>
      <c r="HK43" s="353"/>
      <c r="HL43" s="353"/>
      <c r="HM43" s="353"/>
    </row>
    <row r="44" spans="1:221" ht="13" x14ac:dyDescent="0.3">
      <c r="A44" s="412" t="s">
        <v>207</v>
      </c>
      <c r="B44" s="353"/>
      <c r="C44" s="353"/>
      <c r="D44" s="410"/>
      <c r="E44" s="415" t="s">
        <v>115</v>
      </c>
      <c r="F44" s="403"/>
      <c r="G44" s="419"/>
      <c r="H44" s="373"/>
      <c r="I44" s="420">
        <f>'Rider Rates'!$B$88</f>
        <v>1.42</v>
      </c>
      <c r="J44" s="420">
        <f t="shared" si="0"/>
        <v>1.42</v>
      </c>
      <c r="K44" s="384"/>
      <c r="L44" s="250"/>
      <c r="M44" s="250"/>
      <c r="N44" s="250">
        <f>I44</f>
        <v>1.42</v>
      </c>
      <c r="O44" s="250">
        <f t="shared" si="2"/>
        <v>1.42</v>
      </c>
      <c r="P44" s="378">
        <f>'Rider Rates'!$D$88</f>
        <v>45442</v>
      </c>
      <c r="R44" s="400"/>
      <c r="S44" s="394"/>
      <c r="T44" s="395"/>
      <c r="U44" s="353"/>
      <c r="V44" s="396"/>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c r="BX44" s="353"/>
      <c r="BY44" s="353"/>
      <c r="BZ44" s="353"/>
      <c r="CA44" s="353"/>
      <c r="CB44" s="353"/>
      <c r="CC44" s="353"/>
      <c r="CD44" s="353"/>
      <c r="CE44" s="353"/>
      <c r="CF44" s="353"/>
      <c r="CG44" s="353"/>
      <c r="CH44" s="353"/>
      <c r="CI44" s="353"/>
      <c r="CJ44" s="353"/>
      <c r="CK44" s="353"/>
      <c r="CL44" s="353"/>
      <c r="CM44" s="353"/>
      <c r="CN44" s="353"/>
      <c r="CO44" s="353"/>
      <c r="CP44" s="353"/>
      <c r="CQ44" s="353"/>
      <c r="CR44" s="353"/>
      <c r="CS44" s="353"/>
      <c r="CT44" s="353"/>
      <c r="CU44" s="353"/>
      <c r="CV44" s="353"/>
      <c r="CW44" s="353"/>
      <c r="CX44" s="353"/>
      <c r="CY44" s="353"/>
      <c r="CZ44" s="353"/>
      <c r="DA44" s="353"/>
      <c r="DB44" s="353"/>
      <c r="DC44" s="353"/>
      <c r="DD44" s="353"/>
      <c r="DE44" s="353"/>
      <c r="DF44" s="353"/>
      <c r="DG44" s="353"/>
      <c r="DH44" s="353"/>
      <c r="DI44" s="353"/>
      <c r="DJ44" s="353"/>
      <c r="DK44" s="353"/>
      <c r="DL44" s="353"/>
      <c r="DM44" s="353"/>
      <c r="DN44" s="353"/>
      <c r="DO44" s="353"/>
      <c r="DP44" s="353"/>
      <c r="DQ44" s="353"/>
      <c r="DR44" s="353"/>
      <c r="DS44" s="353"/>
      <c r="DT44" s="353"/>
      <c r="DU44" s="353"/>
      <c r="DV44" s="353"/>
      <c r="DW44" s="353"/>
      <c r="DX44" s="353"/>
      <c r="DY44" s="353"/>
      <c r="DZ44" s="353"/>
      <c r="EA44" s="353"/>
      <c r="EB44" s="353"/>
      <c r="EC44" s="353"/>
      <c r="ED44" s="353"/>
      <c r="EE44" s="353"/>
      <c r="EF44" s="353"/>
      <c r="EG44" s="353"/>
      <c r="EH44" s="353"/>
      <c r="EI44" s="353"/>
      <c r="EJ44" s="353"/>
      <c r="EK44" s="353"/>
      <c r="EL44" s="353"/>
      <c r="EM44" s="353"/>
      <c r="EN44" s="353"/>
      <c r="EO44" s="353"/>
      <c r="EP44" s="353"/>
      <c r="EQ44" s="353"/>
      <c r="ER44" s="353"/>
      <c r="ES44" s="353"/>
      <c r="ET44" s="353"/>
      <c r="EU44" s="353"/>
      <c r="EV44" s="353"/>
      <c r="EW44" s="353"/>
      <c r="EX44" s="353"/>
      <c r="EY44" s="353"/>
      <c r="EZ44" s="353"/>
      <c r="FA44" s="353"/>
      <c r="FB44" s="353"/>
      <c r="FC44" s="353"/>
      <c r="FD44" s="353"/>
      <c r="FE44" s="353"/>
      <c r="FF44" s="353"/>
      <c r="FG44" s="353"/>
      <c r="FH44" s="353"/>
      <c r="FI44" s="353"/>
      <c r="FJ44" s="353"/>
      <c r="FK44" s="353"/>
      <c r="FL44" s="353"/>
      <c r="FM44" s="353"/>
      <c r="FN44" s="353"/>
      <c r="FO44" s="353"/>
      <c r="FP44" s="353"/>
      <c r="FQ44" s="353"/>
      <c r="FR44" s="353"/>
      <c r="FS44" s="353"/>
      <c r="FT44" s="353"/>
      <c r="FU44" s="353"/>
      <c r="FV44" s="353"/>
      <c r="FW44" s="353"/>
      <c r="FX44" s="353"/>
      <c r="FY44" s="353"/>
      <c r="FZ44" s="353"/>
      <c r="GA44" s="353"/>
      <c r="GB44" s="353"/>
      <c r="GC44" s="353"/>
      <c r="GD44" s="353"/>
      <c r="GE44" s="353"/>
      <c r="GF44" s="353"/>
      <c r="GG44" s="353"/>
      <c r="GH44" s="353"/>
      <c r="GI44" s="353"/>
      <c r="GJ44" s="353"/>
      <c r="GK44" s="353"/>
      <c r="GL44" s="353"/>
      <c r="GM44" s="353"/>
      <c r="GN44" s="353"/>
      <c r="GO44" s="353"/>
      <c r="GP44" s="353"/>
      <c r="GQ44" s="353"/>
      <c r="GR44" s="353"/>
      <c r="GS44" s="353"/>
      <c r="GT44" s="353"/>
      <c r="GU44" s="353"/>
      <c r="GV44" s="353"/>
      <c r="GW44" s="353"/>
      <c r="GX44" s="353"/>
      <c r="GY44" s="353"/>
      <c r="GZ44" s="353"/>
      <c r="HA44" s="353"/>
      <c r="HB44" s="353"/>
      <c r="HC44" s="353"/>
      <c r="HD44" s="353"/>
      <c r="HE44" s="353"/>
      <c r="HF44" s="353"/>
      <c r="HG44" s="353"/>
      <c r="HH44" s="353"/>
      <c r="HI44" s="353"/>
      <c r="HJ44" s="353"/>
      <c r="HK44" s="353"/>
      <c r="HL44" s="353"/>
      <c r="HM44" s="353"/>
    </row>
    <row r="45" spans="1:221" x14ac:dyDescent="0.25">
      <c r="A45" s="412" t="s">
        <v>240</v>
      </c>
      <c r="B45" s="353"/>
      <c r="C45" s="353"/>
      <c r="D45" s="380">
        <f>IF($C$17&lt;0,0,$C$17)</f>
        <v>0</v>
      </c>
      <c r="E45" s="381" t="s">
        <v>41</v>
      </c>
      <c r="F45" s="382" t="s">
        <v>8</v>
      </c>
      <c r="G45" s="406"/>
      <c r="H45" s="406"/>
      <c r="I45" s="406"/>
      <c r="J45" s="406">
        <f>'Rider Rates'!$B$92</f>
        <v>0</v>
      </c>
      <c r="K45" s="384" t="s">
        <v>42</v>
      </c>
      <c r="L45" s="250"/>
      <c r="M45" s="250"/>
      <c r="N45" s="250"/>
      <c r="O45" s="250">
        <f>ROUND($D45*('Rider Rates'!B$92),2)</f>
        <v>0</v>
      </c>
      <c r="P45" s="378">
        <f>'Rider Rates'!$D$92</f>
        <v>44531</v>
      </c>
      <c r="Q45" s="403"/>
      <c r="R45" s="400"/>
      <c r="S45" s="394"/>
      <c r="T45" s="395"/>
      <c r="U45" s="353"/>
      <c r="V45" s="396"/>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c r="BX45" s="353"/>
      <c r="BY45" s="353"/>
      <c r="BZ45" s="353"/>
      <c r="CA45" s="353"/>
      <c r="CB45" s="353"/>
      <c r="CC45" s="353"/>
      <c r="CD45" s="353"/>
      <c r="CE45" s="353"/>
      <c r="CF45" s="353"/>
      <c r="CG45" s="353"/>
      <c r="CH45" s="353"/>
      <c r="CI45" s="353"/>
      <c r="CJ45" s="353"/>
      <c r="CK45" s="353"/>
      <c r="CL45" s="353"/>
      <c r="CM45" s="353"/>
      <c r="CN45" s="353"/>
      <c r="CO45" s="353"/>
      <c r="CP45" s="353"/>
      <c r="CQ45" s="353"/>
      <c r="CR45" s="353"/>
      <c r="CS45" s="353"/>
      <c r="CT45" s="353"/>
      <c r="CU45" s="353"/>
      <c r="CV45" s="353"/>
      <c r="CW45" s="353"/>
      <c r="CX45" s="353"/>
      <c r="CY45" s="353"/>
      <c r="CZ45" s="353"/>
      <c r="DA45" s="353"/>
      <c r="DB45" s="353"/>
      <c r="DC45" s="353"/>
      <c r="DD45" s="353"/>
      <c r="DE45" s="353"/>
      <c r="DF45" s="353"/>
      <c r="DG45" s="353"/>
      <c r="DH45" s="353"/>
      <c r="DI45" s="353"/>
      <c r="DJ45" s="353"/>
      <c r="DK45" s="353"/>
      <c r="DL45" s="353"/>
      <c r="DM45" s="353"/>
      <c r="DN45" s="353"/>
      <c r="DO45" s="353"/>
      <c r="DP45" s="353"/>
      <c r="DQ45" s="353"/>
      <c r="DR45" s="353"/>
      <c r="DS45" s="353"/>
      <c r="DT45" s="353"/>
      <c r="DU45" s="353"/>
      <c r="DV45" s="353"/>
      <c r="DW45" s="353"/>
      <c r="DX45" s="353"/>
      <c r="DY45" s="353"/>
      <c r="DZ45" s="353"/>
      <c r="EA45" s="353"/>
      <c r="EB45" s="353"/>
      <c r="EC45" s="353"/>
      <c r="ED45" s="353"/>
      <c r="EE45" s="353"/>
      <c r="EF45" s="353"/>
      <c r="EG45" s="353"/>
      <c r="EH45" s="353"/>
      <c r="EI45" s="353"/>
      <c r="EJ45" s="353"/>
      <c r="EK45" s="353"/>
      <c r="EL45" s="353"/>
      <c r="EM45" s="353"/>
      <c r="EN45" s="353"/>
      <c r="EO45" s="353"/>
      <c r="EP45" s="353"/>
      <c r="EQ45" s="353"/>
      <c r="ER45" s="353"/>
      <c r="ES45" s="353"/>
      <c r="ET45" s="353"/>
      <c r="EU45" s="353"/>
      <c r="EV45" s="353"/>
      <c r="EW45" s="353"/>
      <c r="EX45" s="353"/>
      <c r="EY45" s="353"/>
      <c r="EZ45" s="353"/>
      <c r="FA45" s="353"/>
      <c r="FB45" s="353"/>
      <c r="FC45" s="353"/>
      <c r="FD45" s="353"/>
      <c r="FE45" s="353"/>
      <c r="FF45" s="353"/>
      <c r="FG45" s="353"/>
      <c r="FH45" s="353"/>
      <c r="FI45" s="353"/>
      <c r="FJ45" s="353"/>
      <c r="FK45" s="353"/>
      <c r="FL45" s="353"/>
      <c r="FM45" s="353"/>
      <c r="FN45" s="353"/>
      <c r="FO45" s="353"/>
      <c r="FP45" s="353"/>
      <c r="FQ45" s="353"/>
      <c r="FR45" s="353"/>
      <c r="FS45" s="353"/>
      <c r="FT45" s="353"/>
      <c r="FU45" s="353"/>
      <c r="FV45" s="353"/>
      <c r="FW45" s="353"/>
      <c r="FX45" s="353"/>
      <c r="FY45" s="353"/>
      <c r="FZ45" s="353"/>
      <c r="GA45" s="353"/>
      <c r="GB45" s="353"/>
      <c r="GC45" s="353"/>
      <c r="GD45" s="353"/>
      <c r="GE45" s="353"/>
      <c r="GF45" s="353"/>
      <c r="GG45" s="353"/>
      <c r="GH45" s="353"/>
      <c r="GI45" s="353"/>
      <c r="GJ45" s="353"/>
      <c r="GK45" s="353"/>
      <c r="GL45" s="353"/>
      <c r="GM45" s="353"/>
      <c r="GN45" s="353"/>
      <c r="GO45" s="353"/>
      <c r="GP45" s="353"/>
      <c r="GQ45" s="353"/>
      <c r="GR45" s="353"/>
      <c r="GS45" s="353"/>
      <c r="GT45" s="353"/>
      <c r="GU45" s="353"/>
      <c r="GV45" s="353"/>
      <c r="GW45" s="353"/>
      <c r="GX45" s="353"/>
      <c r="GY45" s="353"/>
      <c r="GZ45" s="353"/>
      <c r="HA45" s="353"/>
      <c r="HB45" s="353"/>
      <c r="HC45" s="353"/>
      <c r="HD45" s="353"/>
      <c r="HE45" s="353"/>
      <c r="HF45" s="353"/>
      <c r="HG45" s="353"/>
      <c r="HH45" s="353"/>
      <c r="HI45" s="353"/>
      <c r="HJ45" s="353"/>
      <c r="HK45" s="353"/>
      <c r="HL45" s="353"/>
      <c r="HM45" s="353"/>
    </row>
    <row r="46" spans="1:221" ht="13" x14ac:dyDescent="0.3">
      <c r="A46" s="404" t="s">
        <v>157</v>
      </c>
      <c r="B46" s="353"/>
      <c r="C46" s="353"/>
      <c r="D46" s="410">
        <f>$N$24</f>
        <v>10</v>
      </c>
      <c r="E46" s="381" t="s">
        <v>122</v>
      </c>
      <c r="F46" s="382" t="s">
        <v>8</v>
      </c>
      <c r="G46" s="419"/>
      <c r="H46" s="373"/>
      <c r="I46" s="418">
        <f>'Rider Rates'!$B$103</f>
        <v>0.21398439999999999</v>
      </c>
      <c r="J46" s="418">
        <f t="shared" si="0"/>
        <v>0.21398439999999999</v>
      </c>
      <c r="K46" s="384"/>
      <c r="L46" s="250"/>
      <c r="M46" s="250"/>
      <c r="N46" s="250">
        <f>ROUND(D46*I46,2)</f>
        <v>2.14</v>
      </c>
      <c r="O46" s="250">
        <f t="shared" si="2"/>
        <v>2.14</v>
      </c>
      <c r="P46" s="378">
        <f>'Rider Rates'!$D$103</f>
        <v>45351</v>
      </c>
      <c r="Q46" s="403"/>
      <c r="R46" s="400"/>
      <c r="S46" s="394"/>
      <c r="T46" s="395"/>
      <c r="U46" s="353"/>
      <c r="V46" s="396"/>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c r="BX46" s="353"/>
      <c r="BY46" s="353"/>
      <c r="BZ46" s="353"/>
      <c r="CA46" s="353"/>
      <c r="CB46" s="353"/>
      <c r="CC46" s="353"/>
      <c r="CD46" s="353"/>
      <c r="CE46" s="353"/>
      <c r="CF46" s="353"/>
      <c r="CG46" s="353"/>
      <c r="CH46" s="353"/>
      <c r="CI46" s="353"/>
      <c r="CJ46" s="353"/>
      <c r="CK46" s="353"/>
      <c r="CL46" s="353"/>
      <c r="CM46" s="353"/>
      <c r="CN46" s="353"/>
      <c r="CO46" s="353"/>
      <c r="CP46" s="353"/>
      <c r="CQ46" s="353"/>
      <c r="CR46" s="353"/>
      <c r="CS46" s="353"/>
      <c r="CT46" s="353"/>
      <c r="CU46" s="353"/>
      <c r="CV46" s="353"/>
      <c r="CW46" s="353"/>
      <c r="CX46" s="353"/>
      <c r="CY46" s="353"/>
      <c r="CZ46" s="353"/>
      <c r="DA46" s="353"/>
      <c r="DB46" s="353"/>
      <c r="DC46" s="353"/>
      <c r="DD46" s="353"/>
      <c r="DE46" s="353"/>
      <c r="DF46" s="353"/>
      <c r="DG46" s="353"/>
      <c r="DH46" s="353"/>
      <c r="DI46" s="353"/>
      <c r="DJ46" s="353"/>
      <c r="DK46" s="353"/>
      <c r="DL46" s="353"/>
      <c r="DM46" s="353"/>
      <c r="DN46" s="353"/>
      <c r="DO46" s="353"/>
      <c r="DP46" s="353"/>
      <c r="DQ46" s="353"/>
      <c r="DR46" s="353"/>
      <c r="DS46" s="353"/>
      <c r="DT46" s="353"/>
      <c r="DU46" s="353"/>
      <c r="DV46" s="353"/>
      <c r="DW46" s="353"/>
      <c r="DX46" s="353"/>
      <c r="DY46" s="353"/>
      <c r="DZ46" s="353"/>
      <c r="EA46" s="353"/>
      <c r="EB46" s="353"/>
      <c r="EC46" s="353"/>
      <c r="ED46" s="353"/>
      <c r="EE46" s="353"/>
      <c r="EF46" s="353"/>
      <c r="EG46" s="353"/>
      <c r="EH46" s="353"/>
      <c r="EI46" s="353"/>
      <c r="EJ46" s="353"/>
      <c r="EK46" s="353"/>
      <c r="EL46" s="353"/>
      <c r="EM46" s="353"/>
      <c r="EN46" s="353"/>
      <c r="EO46" s="353"/>
      <c r="EP46" s="353"/>
      <c r="EQ46" s="353"/>
      <c r="ER46" s="353"/>
      <c r="ES46" s="353"/>
      <c r="ET46" s="353"/>
      <c r="EU46" s="353"/>
      <c r="EV46" s="353"/>
      <c r="EW46" s="353"/>
      <c r="EX46" s="353"/>
      <c r="EY46" s="353"/>
      <c r="EZ46" s="353"/>
      <c r="FA46" s="353"/>
      <c r="FB46" s="353"/>
      <c r="FC46" s="353"/>
      <c r="FD46" s="353"/>
      <c r="FE46" s="353"/>
      <c r="FF46" s="353"/>
      <c r="FG46" s="353"/>
      <c r="FH46" s="353"/>
      <c r="FI46" s="353"/>
      <c r="FJ46" s="353"/>
      <c r="FK46" s="353"/>
      <c r="FL46" s="353"/>
      <c r="FM46" s="353"/>
      <c r="FN46" s="353"/>
      <c r="FO46" s="353"/>
      <c r="FP46" s="353"/>
      <c r="FQ46" s="353"/>
      <c r="FR46" s="353"/>
      <c r="FS46" s="353"/>
      <c r="FT46" s="353"/>
      <c r="FU46" s="353"/>
      <c r="FV46" s="353"/>
      <c r="FW46" s="353"/>
      <c r="FX46" s="353"/>
      <c r="FY46" s="353"/>
      <c r="FZ46" s="353"/>
      <c r="GA46" s="353"/>
      <c r="GB46" s="353"/>
      <c r="GC46" s="353"/>
      <c r="GD46" s="353"/>
      <c r="GE46" s="353"/>
      <c r="GF46" s="353"/>
      <c r="GG46" s="353"/>
      <c r="GH46" s="353"/>
      <c r="GI46" s="353"/>
      <c r="GJ46" s="353"/>
      <c r="GK46" s="353"/>
      <c r="GL46" s="353"/>
      <c r="GM46" s="353"/>
      <c r="GN46" s="353"/>
      <c r="GO46" s="353"/>
      <c r="GP46" s="353"/>
      <c r="GQ46" s="353"/>
      <c r="GR46" s="353"/>
      <c r="GS46" s="353"/>
      <c r="GT46" s="353"/>
      <c r="GU46" s="353"/>
      <c r="GV46" s="353"/>
      <c r="GW46" s="353"/>
      <c r="GX46" s="353"/>
      <c r="GY46" s="353"/>
      <c r="GZ46" s="353"/>
      <c r="HA46" s="353"/>
      <c r="HB46" s="353"/>
      <c r="HC46" s="353"/>
      <c r="HD46" s="353"/>
      <c r="HE46" s="353"/>
      <c r="HF46" s="353"/>
      <c r="HG46" s="353"/>
      <c r="HH46" s="353"/>
      <c r="HI46" s="353"/>
      <c r="HJ46" s="353"/>
      <c r="HK46" s="353"/>
      <c r="HL46" s="353"/>
      <c r="HM46" s="353"/>
    </row>
    <row r="47" spans="1:221" ht="13" x14ac:dyDescent="0.3">
      <c r="A47" s="412" t="s">
        <v>210</v>
      </c>
      <c r="B47" s="353"/>
      <c r="C47" s="353"/>
      <c r="D47" s="410"/>
      <c r="E47" s="415" t="s">
        <v>115</v>
      </c>
      <c r="F47" s="403"/>
      <c r="G47" s="419"/>
      <c r="H47" s="373"/>
      <c r="I47" s="420">
        <f>'Rider Rates'!$B$106</f>
        <v>0</v>
      </c>
      <c r="J47" s="420">
        <f t="shared" si="0"/>
        <v>0</v>
      </c>
      <c r="K47" s="384"/>
      <c r="L47" s="250"/>
      <c r="M47" s="250"/>
      <c r="N47" s="250">
        <f>I47</f>
        <v>0</v>
      </c>
      <c r="O47" s="250">
        <f t="shared" si="2"/>
        <v>0</v>
      </c>
      <c r="P47" s="378">
        <f>'Rider Rates'!$D$106</f>
        <v>44894</v>
      </c>
      <c r="Q47" s="403"/>
      <c r="R47" s="400"/>
      <c r="S47" s="394"/>
      <c r="T47" s="395"/>
      <c r="U47" s="353"/>
      <c r="V47" s="396"/>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c r="BX47" s="353"/>
      <c r="BY47" s="353"/>
      <c r="BZ47" s="353"/>
      <c r="CA47" s="353"/>
      <c r="CB47" s="353"/>
      <c r="CC47" s="353"/>
      <c r="CD47" s="353"/>
      <c r="CE47" s="353"/>
      <c r="CF47" s="353"/>
      <c r="CG47" s="353"/>
      <c r="CH47" s="353"/>
      <c r="CI47" s="353"/>
      <c r="CJ47" s="353"/>
      <c r="CK47" s="353"/>
      <c r="CL47" s="353"/>
      <c r="CM47" s="353"/>
      <c r="CN47" s="353"/>
      <c r="CO47" s="353"/>
      <c r="CP47" s="353"/>
      <c r="CQ47" s="353"/>
      <c r="CR47" s="353"/>
      <c r="CS47" s="353"/>
      <c r="CT47" s="353"/>
      <c r="CU47" s="353"/>
      <c r="CV47" s="353"/>
      <c r="CW47" s="353"/>
      <c r="CX47" s="353"/>
      <c r="CY47" s="353"/>
      <c r="CZ47" s="353"/>
      <c r="DA47" s="353"/>
      <c r="DB47" s="353"/>
      <c r="DC47" s="353"/>
      <c r="DD47" s="353"/>
      <c r="DE47" s="353"/>
      <c r="DF47" s="353"/>
      <c r="DG47" s="353"/>
      <c r="DH47" s="353"/>
      <c r="DI47" s="353"/>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3"/>
      <c r="EU47" s="353"/>
      <c r="EV47" s="353"/>
      <c r="EW47" s="353"/>
      <c r="EX47" s="353"/>
      <c r="EY47" s="353"/>
      <c r="EZ47" s="353"/>
      <c r="FA47" s="353"/>
      <c r="FB47" s="353"/>
      <c r="FC47" s="353"/>
      <c r="FD47" s="353"/>
      <c r="FE47" s="353"/>
      <c r="FF47" s="353"/>
      <c r="FG47" s="353"/>
      <c r="FH47" s="353"/>
      <c r="FI47" s="353"/>
      <c r="FJ47" s="353"/>
      <c r="FK47" s="353"/>
      <c r="FL47" s="353"/>
      <c r="FM47" s="353"/>
      <c r="FN47" s="353"/>
      <c r="FO47" s="353"/>
      <c r="FP47" s="353"/>
      <c r="FQ47" s="353"/>
      <c r="FR47" s="353"/>
      <c r="FS47" s="353"/>
      <c r="FT47" s="353"/>
      <c r="FU47" s="353"/>
      <c r="FV47" s="353"/>
      <c r="FW47" s="353"/>
      <c r="FX47" s="353"/>
      <c r="FY47" s="353"/>
      <c r="FZ47" s="353"/>
      <c r="GA47" s="353"/>
      <c r="GB47" s="353"/>
      <c r="GC47" s="353"/>
      <c r="GD47" s="353"/>
      <c r="GE47" s="353"/>
      <c r="GF47" s="353"/>
      <c r="GG47" s="353"/>
      <c r="GH47" s="353"/>
      <c r="GI47" s="353"/>
      <c r="GJ47" s="353"/>
      <c r="GK47" s="353"/>
      <c r="GL47" s="353"/>
      <c r="GM47" s="353"/>
      <c r="GN47" s="353"/>
      <c r="GO47" s="353"/>
      <c r="GP47" s="353"/>
      <c r="GQ47" s="353"/>
      <c r="GR47" s="353"/>
      <c r="GS47" s="353"/>
      <c r="GT47" s="353"/>
      <c r="GU47" s="353"/>
      <c r="GV47" s="353"/>
      <c r="GW47" s="353"/>
      <c r="GX47" s="353"/>
      <c r="GY47" s="353"/>
      <c r="GZ47" s="353"/>
      <c r="HA47" s="353"/>
      <c r="HB47" s="353"/>
      <c r="HC47" s="353"/>
      <c r="HD47" s="353"/>
      <c r="HE47" s="353"/>
      <c r="HF47" s="353"/>
      <c r="HG47" s="353"/>
      <c r="HH47" s="353"/>
      <c r="HI47" s="353"/>
      <c r="HJ47" s="353"/>
      <c r="HK47" s="353"/>
      <c r="HL47" s="353"/>
      <c r="HM47" s="353"/>
    </row>
    <row r="48" spans="1:221" ht="13" x14ac:dyDescent="0.3">
      <c r="A48" s="412" t="s">
        <v>218</v>
      </c>
      <c r="B48" s="353"/>
      <c r="C48" s="353"/>
      <c r="D48" s="410"/>
      <c r="E48" s="415" t="s">
        <v>115</v>
      </c>
      <c r="F48" s="403"/>
      <c r="G48" s="419"/>
      <c r="H48" s="373"/>
      <c r="I48" s="421">
        <f>'Rider Rates'!B119</f>
        <v>1.26</v>
      </c>
      <c r="J48" s="420">
        <f t="shared" si="0"/>
        <v>1.26</v>
      </c>
      <c r="K48" s="384"/>
      <c r="L48" s="250"/>
      <c r="M48" s="250"/>
      <c r="N48" s="422">
        <f>I48</f>
        <v>1.26</v>
      </c>
      <c r="O48" s="250">
        <f t="shared" si="2"/>
        <v>1.26</v>
      </c>
      <c r="P48" s="378">
        <f>'Rider Rates'!D119</f>
        <v>45226</v>
      </c>
      <c r="Q48" s="403"/>
      <c r="R48" s="400"/>
      <c r="S48" s="394"/>
      <c r="T48" s="395"/>
      <c r="U48" s="353"/>
      <c r="V48" s="396"/>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c r="BX48" s="353"/>
      <c r="BY48" s="353"/>
      <c r="BZ48" s="353"/>
      <c r="CA48" s="353"/>
      <c r="CB48" s="353"/>
      <c r="CC48" s="353"/>
      <c r="CD48" s="353"/>
      <c r="CE48" s="353"/>
      <c r="CF48" s="353"/>
      <c r="CG48" s="353"/>
      <c r="CH48" s="353"/>
      <c r="CI48" s="353"/>
      <c r="CJ48" s="353"/>
      <c r="CK48" s="353"/>
      <c r="CL48" s="353"/>
      <c r="CM48" s="353"/>
      <c r="CN48" s="353"/>
      <c r="CO48" s="353"/>
      <c r="CP48" s="353"/>
      <c r="CQ48" s="353"/>
      <c r="CR48" s="353"/>
      <c r="CS48" s="353"/>
      <c r="CT48" s="353"/>
      <c r="CU48" s="353"/>
      <c r="CV48" s="353"/>
      <c r="CW48" s="353"/>
      <c r="CX48" s="353"/>
      <c r="CY48" s="353"/>
      <c r="CZ48" s="353"/>
      <c r="DA48" s="353"/>
      <c r="DB48" s="353"/>
      <c r="DC48" s="353"/>
      <c r="DD48" s="353"/>
      <c r="DE48" s="353"/>
      <c r="DF48" s="353"/>
      <c r="DG48" s="353"/>
      <c r="DH48" s="353"/>
      <c r="DI48" s="353"/>
      <c r="DJ48" s="353"/>
      <c r="DK48" s="353"/>
      <c r="DL48" s="353"/>
      <c r="DM48" s="353"/>
      <c r="DN48" s="353"/>
      <c r="DO48" s="353"/>
      <c r="DP48" s="353"/>
      <c r="DQ48" s="353"/>
      <c r="DR48" s="353"/>
      <c r="DS48" s="353"/>
      <c r="DT48" s="353"/>
      <c r="DU48" s="353"/>
      <c r="DV48" s="353"/>
      <c r="DW48" s="353"/>
      <c r="DX48" s="353"/>
      <c r="DY48" s="353"/>
      <c r="DZ48" s="353"/>
      <c r="EA48" s="353"/>
      <c r="EB48" s="353"/>
      <c r="EC48" s="353"/>
      <c r="ED48" s="353"/>
      <c r="EE48" s="353"/>
      <c r="EF48" s="353"/>
      <c r="EG48" s="353"/>
      <c r="EH48" s="353"/>
      <c r="EI48" s="353"/>
      <c r="EJ48" s="353"/>
      <c r="EK48" s="353"/>
      <c r="EL48" s="353"/>
      <c r="EM48" s="353"/>
      <c r="EN48" s="353"/>
      <c r="EO48" s="353"/>
      <c r="EP48" s="353"/>
      <c r="EQ48" s="353"/>
      <c r="ER48" s="353"/>
      <c r="ES48" s="353"/>
      <c r="ET48" s="353"/>
      <c r="EU48" s="353"/>
      <c r="EV48" s="353"/>
      <c r="EW48" s="353"/>
      <c r="EX48" s="353"/>
      <c r="EY48" s="353"/>
      <c r="EZ48" s="353"/>
      <c r="FA48" s="353"/>
      <c r="FB48" s="353"/>
      <c r="FC48" s="353"/>
      <c r="FD48" s="353"/>
      <c r="FE48" s="353"/>
      <c r="FF48" s="353"/>
      <c r="FG48" s="353"/>
      <c r="FH48" s="353"/>
      <c r="FI48" s="353"/>
      <c r="FJ48" s="353"/>
      <c r="FK48" s="353"/>
      <c r="FL48" s="353"/>
      <c r="FM48" s="353"/>
      <c r="FN48" s="353"/>
      <c r="FO48" s="353"/>
      <c r="FP48" s="353"/>
      <c r="FQ48" s="353"/>
      <c r="FR48" s="353"/>
      <c r="FS48" s="353"/>
      <c r="FT48" s="353"/>
      <c r="FU48" s="353"/>
      <c r="FV48" s="353"/>
      <c r="FW48" s="353"/>
      <c r="FX48" s="353"/>
      <c r="FY48" s="353"/>
      <c r="FZ48" s="353"/>
      <c r="GA48" s="353"/>
      <c r="GB48" s="353"/>
      <c r="GC48" s="353"/>
      <c r="GD48" s="353"/>
      <c r="GE48" s="353"/>
      <c r="GF48" s="353"/>
      <c r="GG48" s="353"/>
      <c r="GH48" s="353"/>
      <c r="GI48" s="353"/>
      <c r="GJ48" s="353"/>
      <c r="GK48" s="353"/>
      <c r="GL48" s="353"/>
      <c r="GM48" s="353"/>
      <c r="GN48" s="353"/>
      <c r="GO48" s="353"/>
      <c r="GP48" s="353"/>
      <c r="GQ48" s="353"/>
      <c r="GR48" s="353"/>
      <c r="GS48" s="353"/>
      <c r="GT48" s="353"/>
      <c r="GU48" s="353"/>
      <c r="GV48" s="353"/>
      <c r="GW48" s="353"/>
      <c r="GX48" s="353"/>
      <c r="GY48" s="353"/>
      <c r="GZ48" s="353"/>
      <c r="HA48" s="353"/>
      <c r="HB48" s="353"/>
      <c r="HC48" s="353"/>
      <c r="HD48" s="353"/>
      <c r="HE48" s="353"/>
      <c r="HF48" s="353"/>
      <c r="HG48" s="353"/>
      <c r="HH48" s="353"/>
      <c r="HI48" s="353"/>
      <c r="HJ48" s="353"/>
      <c r="HK48" s="353"/>
      <c r="HL48" s="353"/>
      <c r="HM48" s="353"/>
    </row>
    <row r="49" spans="1:221" x14ac:dyDescent="0.25">
      <c r="A49" s="404" t="s">
        <v>158</v>
      </c>
      <c r="B49" s="353"/>
      <c r="C49" s="353"/>
      <c r="D49" s="380">
        <f>'Customer Info'!$B$21+'Customer Info'!$B$22</f>
        <v>0</v>
      </c>
      <c r="E49" s="381" t="s">
        <v>41</v>
      </c>
      <c r="F49" s="382" t="s">
        <v>8</v>
      </c>
      <c r="G49" s="406">
        <f>'Rider Rates'!$B$110</f>
        <v>3.8972999999999998E-3</v>
      </c>
      <c r="H49" s="406"/>
      <c r="I49" s="418"/>
      <c r="J49" s="413">
        <f>SUM(G49:H49)</f>
        <v>3.8972999999999998E-3</v>
      </c>
      <c r="K49" s="384" t="s">
        <v>42</v>
      </c>
      <c r="L49" s="250">
        <f>ROUND(D49*G49,2)</f>
        <v>0</v>
      </c>
      <c r="M49" s="250"/>
      <c r="N49" s="250"/>
      <c r="O49" s="250">
        <f t="shared" si="2"/>
        <v>0</v>
      </c>
      <c r="P49" s="378">
        <f>'Rider Rates'!$D$110</f>
        <v>44531</v>
      </c>
      <c r="Q49" s="403"/>
      <c r="R49" s="400"/>
      <c r="S49" s="394"/>
      <c r="T49" s="395"/>
      <c r="U49" s="353"/>
      <c r="V49" s="396"/>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c r="BX49" s="353"/>
      <c r="BY49" s="353"/>
      <c r="BZ49" s="353"/>
      <c r="CA49" s="353"/>
      <c r="CB49" s="353"/>
      <c r="CC49" s="353"/>
      <c r="CD49" s="353"/>
      <c r="CE49" s="353"/>
      <c r="CF49" s="353"/>
      <c r="CG49" s="353"/>
      <c r="CH49" s="353"/>
      <c r="CI49" s="353"/>
      <c r="CJ49" s="353"/>
      <c r="CK49" s="353"/>
      <c r="CL49" s="353"/>
      <c r="CM49" s="353"/>
      <c r="CN49" s="353"/>
      <c r="CO49" s="353"/>
      <c r="CP49" s="353"/>
      <c r="CQ49" s="353"/>
      <c r="CR49" s="353"/>
      <c r="CS49" s="353"/>
      <c r="CT49" s="353"/>
      <c r="CU49" s="353"/>
      <c r="CV49" s="353"/>
      <c r="CW49" s="353"/>
      <c r="CX49" s="353"/>
      <c r="CY49" s="353"/>
      <c r="CZ49" s="353"/>
      <c r="DA49" s="353"/>
      <c r="DB49" s="353"/>
      <c r="DC49" s="353"/>
      <c r="DD49" s="353"/>
      <c r="DE49" s="353"/>
      <c r="DF49" s="353"/>
      <c r="DG49" s="353"/>
      <c r="DH49" s="353"/>
      <c r="DI49" s="353"/>
      <c r="DJ49" s="353"/>
      <c r="DK49" s="353"/>
      <c r="DL49" s="353"/>
      <c r="DM49" s="353"/>
      <c r="DN49" s="353"/>
      <c r="DO49" s="353"/>
      <c r="DP49" s="353"/>
      <c r="DQ49" s="353"/>
      <c r="DR49" s="353"/>
      <c r="DS49" s="353"/>
      <c r="DT49" s="353"/>
      <c r="DU49" s="353"/>
      <c r="DV49" s="353"/>
      <c r="DW49" s="353"/>
      <c r="DX49" s="353"/>
      <c r="DY49" s="353"/>
      <c r="DZ49" s="353"/>
      <c r="EA49" s="353"/>
      <c r="EB49" s="353"/>
      <c r="EC49" s="353"/>
      <c r="ED49" s="353"/>
      <c r="EE49" s="353"/>
      <c r="EF49" s="353"/>
      <c r="EG49" s="353"/>
      <c r="EH49" s="353"/>
      <c r="EI49" s="353"/>
      <c r="EJ49" s="353"/>
      <c r="EK49" s="353"/>
      <c r="EL49" s="353"/>
      <c r="EM49" s="353"/>
      <c r="EN49" s="353"/>
      <c r="EO49" s="353"/>
      <c r="EP49" s="353"/>
      <c r="EQ49" s="353"/>
      <c r="ER49" s="353"/>
      <c r="ES49" s="353"/>
      <c r="ET49" s="353"/>
      <c r="EU49" s="353"/>
      <c r="EV49" s="353"/>
      <c r="EW49" s="353"/>
      <c r="EX49" s="353"/>
      <c r="EY49" s="353"/>
      <c r="EZ49" s="353"/>
      <c r="FA49" s="353"/>
      <c r="FB49" s="353"/>
      <c r="FC49" s="353"/>
      <c r="FD49" s="353"/>
      <c r="FE49" s="353"/>
      <c r="FF49" s="353"/>
      <c r="FG49" s="353"/>
      <c r="FH49" s="353"/>
      <c r="FI49" s="353"/>
      <c r="FJ49" s="353"/>
      <c r="FK49" s="353"/>
      <c r="FL49" s="353"/>
      <c r="FM49" s="353"/>
      <c r="FN49" s="353"/>
      <c r="FO49" s="353"/>
      <c r="FP49" s="353"/>
      <c r="FQ49" s="353"/>
      <c r="FR49" s="353"/>
      <c r="FS49" s="353"/>
      <c r="FT49" s="353"/>
      <c r="FU49" s="353"/>
      <c r="FV49" s="353"/>
      <c r="FW49" s="353"/>
      <c r="FX49" s="353"/>
      <c r="FY49" s="353"/>
      <c r="FZ49" s="353"/>
      <c r="GA49" s="353"/>
      <c r="GB49" s="353"/>
      <c r="GC49" s="353"/>
      <c r="GD49" s="353"/>
      <c r="GE49" s="353"/>
      <c r="GF49" s="353"/>
      <c r="GG49" s="353"/>
      <c r="GH49" s="353"/>
      <c r="GI49" s="353"/>
      <c r="GJ49" s="353"/>
      <c r="GK49" s="353"/>
      <c r="GL49" s="353"/>
      <c r="GM49" s="353"/>
      <c r="GN49" s="353"/>
      <c r="GO49" s="353"/>
      <c r="GP49" s="353"/>
      <c r="GQ49" s="353"/>
      <c r="GR49" s="353"/>
      <c r="GS49" s="353"/>
      <c r="GT49" s="353"/>
      <c r="GU49" s="353"/>
      <c r="GV49" s="353"/>
      <c r="GW49" s="353"/>
      <c r="GX49" s="353"/>
      <c r="GY49" s="353"/>
      <c r="GZ49" s="353"/>
      <c r="HA49" s="353"/>
      <c r="HB49" s="353"/>
      <c r="HC49" s="353"/>
      <c r="HD49" s="353"/>
      <c r="HE49" s="353"/>
      <c r="HF49" s="353"/>
      <c r="HG49" s="353"/>
      <c r="HH49" s="353"/>
      <c r="HI49" s="353"/>
      <c r="HJ49" s="353"/>
      <c r="HK49" s="353"/>
      <c r="HL49" s="353"/>
      <c r="HM49" s="353"/>
    </row>
    <row r="50" spans="1:221" x14ac:dyDescent="0.25">
      <c r="A50" s="412" t="s">
        <v>209</v>
      </c>
      <c r="B50" s="353"/>
      <c r="C50" s="353"/>
      <c r="D50" s="380">
        <f>IF($C$17&lt;1,0,$C$17)</f>
        <v>0</v>
      </c>
      <c r="E50" s="381" t="s">
        <v>41</v>
      </c>
      <c r="F50" s="375" t="s">
        <v>8</v>
      </c>
      <c r="G50" s="383"/>
      <c r="H50" s="383"/>
      <c r="I50" s="423">
        <f>'Rider Rates'!B115</f>
        <v>-2.3000000000000001E-4</v>
      </c>
      <c r="J50" s="423">
        <f>SUM(G50:I50)</f>
        <v>-2.3000000000000001E-4</v>
      </c>
      <c r="K50" s="384" t="s">
        <v>42</v>
      </c>
      <c r="L50" s="250"/>
      <c r="M50" s="250"/>
      <c r="N50" s="250">
        <f>D50*J50</f>
        <v>0</v>
      </c>
      <c r="O50" s="250">
        <f>SUM(L50:N50)</f>
        <v>0</v>
      </c>
      <c r="P50" s="378">
        <f>'Rider Rates'!D115</f>
        <v>44531</v>
      </c>
      <c r="Q50" s="403"/>
      <c r="R50" s="400"/>
      <c r="S50" s="394"/>
      <c r="T50" s="395"/>
      <c r="U50" s="353"/>
      <c r="V50" s="396"/>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c r="BX50" s="353"/>
      <c r="BY50" s="353"/>
      <c r="BZ50" s="353"/>
      <c r="CA50" s="353"/>
      <c r="CB50" s="353"/>
      <c r="CC50" s="353"/>
      <c r="CD50" s="353"/>
      <c r="CE50" s="353"/>
      <c r="CF50" s="353"/>
      <c r="CG50" s="353"/>
      <c r="CH50" s="353"/>
      <c r="CI50" s="353"/>
      <c r="CJ50" s="353"/>
      <c r="CK50" s="353"/>
      <c r="CL50" s="353"/>
      <c r="CM50" s="353"/>
      <c r="CN50" s="353"/>
      <c r="CO50" s="353"/>
      <c r="CP50" s="353"/>
      <c r="CQ50" s="353"/>
      <c r="CR50" s="353"/>
      <c r="CS50" s="353"/>
      <c r="CT50" s="353"/>
      <c r="CU50" s="353"/>
      <c r="CV50" s="353"/>
      <c r="CW50" s="353"/>
      <c r="CX50" s="353"/>
      <c r="CY50" s="353"/>
      <c r="CZ50" s="353"/>
      <c r="DA50" s="353"/>
      <c r="DB50" s="353"/>
      <c r="DC50" s="353"/>
      <c r="DD50" s="353"/>
      <c r="DE50" s="353"/>
      <c r="DF50" s="353"/>
      <c r="DG50" s="353"/>
      <c r="DH50" s="353"/>
      <c r="DI50" s="353"/>
      <c r="DJ50" s="353"/>
      <c r="DK50" s="353"/>
      <c r="DL50" s="353"/>
      <c r="DM50" s="353"/>
      <c r="DN50" s="353"/>
      <c r="DO50" s="353"/>
      <c r="DP50" s="353"/>
      <c r="DQ50" s="353"/>
      <c r="DR50" s="353"/>
      <c r="DS50" s="353"/>
      <c r="DT50" s="353"/>
      <c r="DU50" s="353"/>
      <c r="DV50" s="353"/>
      <c r="DW50" s="353"/>
      <c r="DX50" s="353"/>
      <c r="DY50" s="353"/>
      <c r="DZ50" s="353"/>
      <c r="EA50" s="353"/>
      <c r="EB50" s="353"/>
      <c r="EC50" s="353"/>
      <c r="ED50" s="353"/>
      <c r="EE50" s="353"/>
      <c r="EF50" s="353"/>
      <c r="EG50" s="353"/>
      <c r="EH50" s="353"/>
      <c r="EI50" s="353"/>
      <c r="EJ50" s="353"/>
      <c r="EK50" s="353"/>
      <c r="EL50" s="353"/>
      <c r="EM50" s="353"/>
      <c r="EN50" s="353"/>
      <c r="EO50" s="353"/>
      <c r="EP50" s="353"/>
      <c r="EQ50" s="353"/>
      <c r="ER50" s="353"/>
      <c r="ES50" s="353"/>
      <c r="ET50" s="353"/>
      <c r="EU50" s="353"/>
      <c r="EV50" s="353"/>
      <c r="EW50" s="353"/>
      <c r="EX50" s="353"/>
      <c r="EY50" s="353"/>
      <c r="EZ50" s="353"/>
      <c r="FA50" s="353"/>
      <c r="FB50" s="353"/>
      <c r="FC50" s="353"/>
      <c r="FD50" s="353"/>
      <c r="FE50" s="353"/>
      <c r="FF50" s="353"/>
      <c r="FG50" s="353"/>
      <c r="FH50" s="353"/>
      <c r="FI50" s="353"/>
      <c r="FJ50" s="353"/>
      <c r="FK50" s="353"/>
      <c r="FL50" s="353"/>
      <c r="FM50" s="353"/>
      <c r="FN50" s="353"/>
      <c r="FO50" s="353"/>
      <c r="FP50" s="353"/>
      <c r="FQ50" s="353"/>
      <c r="FR50" s="353"/>
      <c r="FS50" s="353"/>
      <c r="FT50" s="353"/>
      <c r="FU50" s="353"/>
      <c r="FV50" s="353"/>
      <c r="FW50" s="353"/>
      <c r="FX50" s="353"/>
      <c r="FY50" s="353"/>
      <c r="FZ50" s="353"/>
      <c r="GA50" s="353"/>
      <c r="GB50" s="353"/>
      <c r="GC50" s="353"/>
      <c r="GD50" s="353"/>
      <c r="GE50" s="353"/>
      <c r="GF50" s="353"/>
      <c r="GG50" s="353"/>
      <c r="GH50" s="353"/>
      <c r="GI50" s="353"/>
      <c r="GJ50" s="353"/>
      <c r="GK50" s="353"/>
      <c r="GL50" s="353"/>
      <c r="GM50" s="353"/>
      <c r="GN50" s="353"/>
      <c r="GO50" s="353"/>
      <c r="GP50" s="353"/>
      <c r="GQ50" s="353"/>
      <c r="GR50" s="353"/>
      <c r="GS50" s="353"/>
      <c r="GT50" s="353"/>
      <c r="GU50" s="353"/>
      <c r="GV50" s="353"/>
      <c r="GW50" s="353"/>
      <c r="GX50" s="353"/>
      <c r="GY50" s="353"/>
      <c r="GZ50" s="353"/>
      <c r="HA50" s="353"/>
      <c r="HB50" s="353"/>
      <c r="HC50" s="353"/>
      <c r="HD50" s="353"/>
      <c r="HE50" s="353"/>
      <c r="HF50" s="353"/>
      <c r="HG50" s="353"/>
      <c r="HH50" s="353"/>
      <c r="HI50" s="353"/>
      <c r="HJ50" s="353"/>
      <c r="HK50" s="353"/>
      <c r="HL50" s="353"/>
      <c r="HM50" s="353"/>
    </row>
    <row r="51" spans="1:221" x14ac:dyDescent="0.25">
      <c r="A51" s="414" t="s">
        <v>231</v>
      </c>
      <c r="B51" s="353"/>
      <c r="C51" s="353"/>
      <c r="D51" s="380"/>
      <c r="E51" s="381" t="s">
        <v>115</v>
      </c>
      <c r="F51" s="382" t="s">
        <v>8</v>
      </c>
      <c r="G51" s="424"/>
      <c r="H51" s="424"/>
      <c r="I51" s="424">
        <f>'Rider Rates'!$B$123</f>
        <v>0.1</v>
      </c>
      <c r="J51" s="424">
        <f>SUM(G51:I51)</f>
        <v>0.1</v>
      </c>
      <c r="K51" s="384"/>
      <c r="L51" s="425"/>
      <c r="M51" s="425"/>
      <c r="N51" s="425">
        <f>J51</f>
        <v>0.1</v>
      </c>
      <c r="O51" s="425">
        <f>SUM(L51:N51)</f>
        <v>0.1</v>
      </c>
      <c r="P51" s="426">
        <f>'Rider Rates'!$E$123</f>
        <v>44927</v>
      </c>
      <c r="Q51" s="403"/>
      <c r="R51" s="400"/>
      <c r="S51" s="394"/>
      <c r="T51" s="395"/>
      <c r="U51" s="353"/>
      <c r="V51" s="396"/>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c r="BX51" s="353"/>
      <c r="BY51" s="353"/>
      <c r="BZ51" s="353"/>
      <c r="CA51" s="353"/>
      <c r="CB51" s="353"/>
      <c r="CC51" s="353"/>
      <c r="CD51" s="353"/>
      <c r="CE51" s="353"/>
      <c r="CF51" s="353"/>
      <c r="CG51" s="353"/>
      <c r="CH51" s="353"/>
      <c r="CI51" s="353"/>
      <c r="CJ51" s="353"/>
      <c r="CK51" s="353"/>
      <c r="CL51" s="353"/>
      <c r="CM51" s="353"/>
      <c r="CN51" s="353"/>
      <c r="CO51" s="353"/>
      <c r="CP51" s="353"/>
      <c r="CQ51" s="353"/>
      <c r="CR51" s="353"/>
      <c r="CS51" s="353"/>
      <c r="CT51" s="353"/>
      <c r="CU51" s="353"/>
      <c r="CV51" s="353"/>
      <c r="CW51" s="353"/>
      <c r="CX51" s="353"/>
      <c r="CY51" s="353"/>
      <c r="CZ51" s="353"/>
      <c r="DA51" s="353"/>
      <c r="DB51" s="353"/>
      <c r="DC51" s="353"/>
      <c r="DD51" s="353"/>
      <c r="DE51" s="353"/>
      <c r="DF51" s="353"/>
      <c r="DG51" s="353"/>
      <c r="DH51" s="353"/>
      <c r="DI51" s="353"/>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3"/>
      <c r="EU51" s="353"/>
      <c r="EV51" s="353"/>
      <c r="EW51" s="353"/>
      <c r="EX51" s="353"/>
      <c r="EY51" s="353"/>
      <c r="EZ51" s="353"/>
      <c r="FA51" s="353"/>
      <c r="FB51" s="353"/>
      <c r="FC51" s="353"/>
      <c r="FD51" s="353"/>
      <c r="FE51" s="353"/>
      <c r="FF51" s="353"/>
      <c r="FG51" s="353"/>
      <c r="FH51" s="353"/>
      <c r="FI51" s="353"/>
      <c r="FJ51" s="353"/>
      <c r="FK51" s="353"/>
      <c r="FL51" s="353"/>
      <c r="FM51" s="353"/>
      <c r="FN51" s="353"/>
      <c r="FO51" s="353"/>
      <c r="FP51" s="353"/>
      <c r="FQ51" s="353"/>
      <c r="FR51" s="353"/>
      <c r="FS51" s="353"/>
      <c r="FT51" s="353"/>
      <c r="FU51" s="353"/>
      <c r="FV51" s="353"/>
      <c r="FW51" s="353"/>
      <c r="FX51" s="353"/>
      <c r="FY51" s="353"/>
      <c r="FZ51" s="353"/>
      <c r="GA51" s="353"/>
      <c r="GB51" s="353"/>
      <c r="GC51" s="353"/>
      <c r="GD51" s="353"/>
      <c r="GE51" s="353"/>
      <c r="GF51" s="353"/>
      <c r="GG51" s="353"/>
      <c r="GH51" s="353"/>
      <c r="GI51" s="353"/>
      <c r="GJ51" s="353"/>
      <c r="GK51" s="353"/>
      <c r="GL51" s="353"/>
      <c r="GM51" s="353"/>
      <c r="GN51" s="353"/>
      <c r="GO51" s="353"/>
      <c r="GP51" s="353"/>
      <c r="GQ51" s="353"/>
      <c r="GR51" s="353"/>
      <c r="GS51" s="353"/>
      <c r="GT51" s="353"/>
      <c r="GU51" s="353"/>
      <c r="GV51" s="353"/>
      <c r="GW51" s="353"/>
      <c r="GX51" s="353"/>
      <c r="GY51" s="353"/>
      <c r="GZ51" s="353"/>
      <c r="HA51" s="353"/>
      <c r="HB51" s="353"/>
      <c r="HC51" s="353"/>
      <c r="HD51" s="353"/>
      <c r="HE51" s="353"/>
      <c r="HF51" s="353"/>
      <c r="HG51" s="353"/>
      <c r="HH51" s="353"/>
      <c r="HI51" s="353"/>
      <c r="HJ51" s="353"/>
      <c r="HK51" s="353"/>
      <c r="HL51" s="353"/>
      <c r="HM51" s="353"/>
    </row>
    <row r="52" spans="1:221" x14ac:dyDescent="0.25">
      <c r="A52" s="414" t="s">
        <v>243</v>
      </c>
      <c r="B52" s="353"/>
      <c r="C52" s="353"/>
      <c r="D52" s="380">
        <f>C17</f>
        <v>0</v>
      </c>
      <c r="E52" s="381" t="s">
        <v>41</v>
      </c>
      <c r="F52" s="375" t="s">
        <v>8</v>
      </c>
      <c r="G52" s="406"/>
      <c r="H52" s="406"/>
      <c r="I52" s="406">
        <f>'Rider Rates'!$B$128</f>
        <v>0</v>
      </c>
      <c r="J52" s="413">
        <f>SUM(G52:I52)</f>
        <v>0</v>
      </c>
      <c r="K52" s="384" t="s">
        <v>42</v>
      </c>
      <c r="L52" s="250"/>
      <c r="M52" s="250"/>
      <c r="N52" s="250">
        <f>D52*J52</f>
        <v>0</v>
      </c>
      <c r="O52" s="250">
        <f>SUM(L52:N52)</f>
        <v>0</v>
      </c>
      <c r="P52" s="378">
        <f>'Rider Rates'!D128</f>
        <v>44531</v>
      </c>
      <c r="Q52" s="403"/>
      <c r="R52" s="400"/>
      <c r="S52" s="394"/>
      <c r="T52" s="395"/>
      <c r="U52" s="353"/>
      <c r="V52" s="396"/>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c r="DY52" s="353"/>
      <c r="DZ52" s="353"/>
      <c r="EA52" s="353"/>
      <c r="EB52" s="353"/>
      <c r="EC52" s="353"/>
      <c r="ED52" s="353"/>
      <c r="EE52" s="353"/>
      <c r="EF52" s="353"/>
      <c r="EG52" s="353"/>
      <c r="EH52" s="353"/>
      <c r="EI52" s="353"/>
      <c r="EJ52" s="353"/>
      <c r="EK52" s="353"/>
      <c r="EL52" s="353"/>
      <c r="EM52" s="353"/>
      <c r="EN52" s="353"/>
      <c r="EO52" s="353"/>
      <c r="EP52" s="353"/>
      <c r="EQ52" s="353"/>
      <c r="ER52" s="353"/>
      <c r="ES52" s="353"/>
      <c r="ET52" s="353"/>
      <c r="EU52" s="353"/>
      <c r="EV52" s="353"/>
      <c r="EW52" s="353"/>
      <c r="EX52" s="353"/>
      <c r="EY52" s="353"/>
      <c r="EZ52" s="353"/>
      <c r="FA52" s="353"/>
      <c r="FB52" s="353"/>
      <c r="FC52" s="353"/>
      <c r="FD52" s="353"/>
      <c r="FE52" s="353"/>
      <c r="FF52" s="353"/>
      <c r="FG52" s="353"/>
      <c r="FH52" s="353"/>
      <c r="FI52" s="353"/>
      <c r="FJ52" s="353"/>
      <c r="FK52" s="353"/>
      <c r="FL52" s="353"/>
      <c r="FM52" s="353"/>
      <c r="FN52" s="353"/>
      <c r="FO52" s="353"/>
      <c r="FP52" s="353"/>
      <c r="FQ52" s="353"/>
      <c r="FR52" s="353"/>
      <c r="FS52" s="353"/>
      <c r="FT52" s="353"/>
      <c r="FU52" s="353"/>
      <c r="FV52" s="353"/>
      <c r="FW52" s="353"/>
      <c r="FX52" s="353"/>
      <c r="FY52" s="353"/>
      <c r="FZ52" s="353"/>
      <c r="GA52" s="353"/>
      <c r="GB52" s="353"/>
      <c r="GC52" s="353"/>
      <c r="GD52" s="353"/>
      <c r="GE52" s="353"/>
      <c r="GF52" s="353"/>
      <c r="GG52" s="353"/>
      <c r="GH52" s="353"/>
      <c r="GI52" s="353"/>
      <c r="GJ52" s="353"/>
      <c r="GK52" s="353"/>
      <c r="GL52" s="353"/>
      <c r="GM52" s="353"/>
      <c r="GN52" s="353"/>
      <c r="GO52" s="353"/>
      <c r="GP52" s="353"/>
      <c r="GQ52" s="353"/>
      <c r="GR52" s="353"/>
      <c r="GS52" s="353"/>
      <c r="GT52" s="353"/>
      <c r="GU52" s="353"/>
      <c r="GV52" s="353"/>
      <c r="GW52" s="353"/>
      <c r="GX52" s="353"/>
      <c r="GY52" s="353"/>
      <c r="GZ52" s="353"/>
      <c r="HA52" s="353"/>
      <c r="HB52" s="353"/>
      <c r="HC52" s="353"/>
      <c r="HD52" s="353"/>
      <c r="HE52" s="353"/>
      <c r="HF52" s="353"/>
      <c r="HG52" s="353"/>
      <c r="HH52" s="353"/>
      <c r="HI52" s="353"/>
      <c r="HJ52" s="353"/>
      <c r="HK52" s="353"/>
      <c r="HL52" s="353"/>
      <c r="HM52" s="353"/>
    </row>
    <row r="53" spans="1:221" x14ac:dyDescent="0.25">
      <c r="A53" s="414" t="s">
        <v>242</v>
      </c>
      <c r="B53" s="353"/>
      <c r="C53" s="353"/>
      <c r="D53" s="380"/>
      <c r="E53" s="381" t="s">
        <v>115</v>
      </c>
      <c r="F53" s="382" t="s">
        <v>8</v>
      </c>
      <c r="G53" s="424"/>
      <c r="H53" s="424"/>
      <c r="I53" s="424">
        <f>'Rider Rates'!$B$135</f>
        <v>0</v>
      </c>
      <c r="J53" s="424">
        <f>SUM(G53:I53)</f>
        <v>0</v>
      </c>
      <c r="K53" s="384"/>
      <c r="L53" s="425"/>
      <c r="M53" s="425"/>
      <c r="N53" s="425">
        <f>J53</f>
        <v>0</v>
      </c>
      <c r="O53" s="425">
        <f>SUM(L53:N53)</f>
        <v>0</v>
      </c>
      <c r="P53" s="426">
        <f>'Rider Rates'!$D$131</f>
        <v>44531</v>
      </c>
      <c r="Q53" s="403"/>
      <c r="R53" s="400"/>
      <c r="S53" s="394"/>
      <c r="T53" s="395"/>
      <c r="U53" s="353"/>
      <c r="V53" s="396"/>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c r="DY53" s="353"/>
      <c r="DZ53" s="353"/>
      <c r="EA53" s="353"/>
      <c r="EB53" s="353"/>
      <c r="EC53" s="353"/>
      <c r="ED53" s="353"/>
      <c r="EE53" s="353"/>
      <c r="EF53" s="353"/>
      <c r="EG53" s="353"/>
      <c r="EH53" s="353"/>
      <c r="EI53" s="353"/>
      <c r="EJ53" s="353"/>
      <c r="EK53" s="353"/>
      <c r="EL53" s="353"/>
      <c r="EM53" s="353"/>
      <c r="EN53" s="353"/>
      <c r="EO53" s="353"/>
      <c r="EP53" s="353"/>
      <c r="EQ53" s="353"/>
      <c r="ER53" s="353"/>
      <c r="ES53" s="353"/>
      <c r="ET53" s="353"/>
      <c r="EU53" s="353"/>
      <c r="EV53" s="353"/>
      <c r="EW53" s="353"/>
      <c r="EX53" s="353"/>
      <c r="EY53" s="353"/>
      <c r="EZ53" s="353"/>
      <c r="FA53" s="353"/>
      <c r="FB53" s="353"/>
      <c r="FC53" s="353"/>
      <c r="FD53" s="353"/>
      <c r="FE53" s="353"/>
      <c r="FF53" s="353"/>
      <c r="FG53" s="353"/>
      <c r="FH53" s="353"/>
      <c r="FI53" s="353"/>
      <c r="FJ53" s="353"/>
      <c r="FK53" s="353"/>
      <c r="FL53" s="353"/>
      <c r="FM53" s="353"/>
      <c r="FN53" s="353"/>
      <c r="FO53" s="353"/>
      <c r="FP53" s="353"/>
      <c r="FQ53" s="353"/>
      <c r="FR53" s="353"/>
      <c r="FS53" s="353"/>
      <c r="FT53" s="353"/>
      <c r="FU53" s="353"/>
      <c r="FV53" s="353"/>
      <c r="FW53" s="353"/>
      <c r="FX53" s="353"/>
      <c r="FY53" s="353"/>
      <c r="FZ53" s="353"/>
      <c r="GA53" s="353"/>
      <c r="GB53" s="353"/>
      <c r="GC53" s="353"/>
      <c r="GD53" s="353"/>
      <c r="GE53" s="353"/>
      <c r="GF53" s="353"/>
      <c r="GG53" s="353"/>
      <c r="GH53" s="353"/>
      <c r="GI53" s="353"/>
      <c r="GJ53" s="353"/>
      <c r="GK53" s="353"/>
      <c r="GL53" s="353"/>
      <c r="GM53" s="353"/>
      <c r="GN53" s="353"/>
      <c r="GO53" s="353"/>
      <c r="GP53" s="353"/>
      <c r="GQ53" s="353"/>
      <c r="GR53" s="353"/>
      <c r="GS53" s="353"/>
      <c r="GT53" s="353"/>
      <c r="GU53" s="353"/>
      <c r="GV53" s="353"/>
      <c r="GW53" s="353"/>
      <c r="GX53" s="353"/>
      <c r="GY53" s="353"/>
      <c r="GZ53" s="353"/>
      <c r="HA53" s="353"/>
      <c r="HB53" s="353"/>
      <c r="HC53" s="353"/>
      <c r="HD53" s="353"/>
      <c r="HE53" s="353"/>
      <c r="HF53" s="353"/>
      <c r="HG53" s="353"/>
      <c r="HH53" s="353"/>
      <c r="HI53" s="353"/>
      <c r="HJ53" s="353"/>
      <c r="HK53" s="353"/>
      <c r="HL53" s="353"/>
      <c r="HM53" s="353"/>
    </row>
    <row r="54" spans="1:221" x14ac:dyDescent="0.25">
      <c r="A54" s="414" t="s">
        <v>244</v>
      </c>
      <c r="B54" s="353"/>
      <c r="C54" s="353"/>
      <c r="D54" s="380"/>
      <c r="E54" s="381"/>
      <c r="F54" s="382"/>
      <c r="G54" s="424"/>
      <c r="H54" s="424"/>
      <c r="I54" s="424"/>
      <c r="J54" s="424"/>
      <c r="K54" s="384"/>
      <c r="L54" s="425"/>
      <c r="M54" s="425"/>
      <c r="N54" s="425"/>
      <c r="O54" s="425"/>
      <c r="P54" s="426"/>
      <c r="Q54" s="403"/>
      <c r="R54" s="400"/>
      <c r="S54" s="394"/>
      <c r="T54" s="395"/>
      <c r="U54" s="353"/>
      <c r="V54" s="396"/>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c r="BX54" s="353"/>
      <c r="BY54" s="353"/>
      <c r="BZ54" s="353"/>
      <c r="CA54" s="353"/>
      <c r="CB54" s="353"/>
      <c r="CC54" s="353"/>
      <c r="CD54" s="353"/>
      <c r="CE54" s="353"/>
      <c r="CF54" s="353"/>
      <c r="CG54" s="353"/>
      <c r="CH54" s="353"/>
      <c r="CI54" s="353"/>
      <c r="CJ54" s="353"/>
      <c r="CK54" s="353"/>
      <c r="CL54" s="353"/>
      <c r="CM54" s="353"/>
      <c r="CN54" s="353"/>
      <c r="CO54" s="353"/>
      <c r="CP54" s="353"/>
      <c r="CQ54" s="353"/>
      <c r="CR54" s="353"/>
      <c r="CS54" s="353"/>
      <c r="CT54" s="353"/>
      <c r="CU54" s="353"/>
      <c r="CV54" s="353"/>
      <c r="CW54" s="353"/>
      <c r="CX54" s="353"/>
      <c r="CY54" s="353"/>
      <c r="CZ54" s="353"/>
      <c r="DA54" s="353"/>
      <c r="DB54" s="353"/>
      <c r="DC54" s="353"/>
      <c r="DD54" s="353"/>
      <c r="DE54" s="353"/>
      <c r="DF54" s="353"/>
      <c r="DG54" s="353"/>
      <c r="DH54" s="353"/>
      <c r="DI54" s="353"/>
      <c r="DJ54" s="353"/>
      <c r="DK54" s="353"/>
      <c r="DL54" s="353"/>
      <c r="DM54" s="353"/>
      <c r="DN54" s="353"/>
      <c r="DO54" s="353"/>
      <c r="DP54" s="353"/>
      <c r="DQ54" s="353"/>
      <c r="DR54" s="353"/>
      <c r="DS54" s="353"/>
      <c r="DT54" s="353"/>
      <c r="DU54" s="353"/>
      <c r="DV54" s="353"/>
      <c r="DW54" s="353"/>
      <c r="DX54" s="353"/>
      <c r="DY54" s="353"/>
      <c r="DZ54" s="353"/>
      <c r="EA54" s="353"/>
      <c r="EB54" s="353"/>
      <c r="EC54" s="353"/>
      <c r="ED54" s="353"/>
      <c r="EE54" s="353"/>
      <c r="EF54" s="353"/>
      <c r="EG54" s="353"/>
      <c r="EH54" s="353"/>
      <c r="EI54" s="353"/>
      <c r="EJ54" s="353"/>
      <c r="EK54" s="353"/>
      <c r="EL54" s="353"/>
      <c r="EM54" s="353"/>
      <c r="EN54" s="353"/>
      <c r="EO54" s="353"/>
      <c r="EP54" s="353"/>
      <c r="EQ54" s="353"/>
      <c r="ER54" s="353"/>
      <c r="ES54" s="353"/>
      <c r="ET54" s="353"/>
      <c r="EU54" s="353"/>
      <c r="EV54" s="353"/>
      <c r="EW54" s="353"/>
      <c r="EX54" s="353"/>
      <c r="EY54" s="353"/>
      <c r="EZ54" s="353"/>
      <c r="FA54" s="353"/>
      <c r="FB54" s="353"/>
      <c r="FC54" s="353"/>
      <c r="FD54" s="353"/>
      <c r="FE54" s="353"/>
      <c r="FF54" s="353"/>
      <c r="FG54" s="353"/>
      <c r="FH54" s="353"/>
      <c r="FI54" s="353"/>
      <c r="FJ54" s="353"/>
      <c r="FK54" s="353"/>
      <c r="FL54" s="353"/>
      <c r="FM54" s="353"/>
      <c r="FN54" s="353"/>
      <c r="FO54" s="353"/>
      <c r="FP54" s="353"/>
      <c r="FQ54" s="353"/>
      <c r="FR54" s="353"/>
      <c r="FS54" s="353"/>
      <c r="FT54" s="353"/>
      <c r="FU54" s="353"/>
      <c r="FV54" s="353"/>
      <c r="FW54" s="353"/>
      <c r="FX54" s="353"/>
      <c r="FY54" s="353"/>
      <c r="FZ54" s="353"/>
      <c r="GA54" s="353"/>
      <c r="GB54" s="353"/>
      <c r="GC54" s="353"/>
      <c r="GD54" s="353"/>
      <c r="GE54" s="353"/>
      <c r="GF54" s="353"/>
      <c r="GG54" s="353"/>
      <c r="GH54" s="353"/>
      <c r="GI54" s="353"/>
      <c r="GJ54" s="353"/>
      <c r="GK54" s="353"/>
      <c r="GL54" s="353"/>
      <c r="GM54" s="353"/>
      <c r="GN54" s="353"/>
      <c r="GO54" s="353"/>
      <c r="GP54" s="353"/>
      <c r="GQ54" s="353"/>
      <c r="GR54" s="353"/>
      <c r="GS54" s="353"/>
      <c r="GT54" s="353"/>
      <c r="GU54" s="353"/>
      <c r="GV54" s="353"/>
      <c r="GW54" s="353"/>
      <c r="GX54" s="353"/>
      <c r="GY54" s="353"/>
      <c r="GZ54" s="353"/>
      <c r="HA54" s="353"/>
      <c r="HB54" s="353"/>
      <c r="HC54" s="353"/>
      <c r="HD54" s="353"/>
      <c r="HE54" s="353"/>
      <c r="HF54" s="353"/>
      <c r="HG54" s="353"/>
      <c r="HH54" s="353"/>
      <c r="HI54" s="353"/>
      <c r="HJ54" s="353"/>
      <c r="HK54" s="353"/>
      <c r="HL54" s="353"/>
      <c r="HM54" s="353"/>
    </row>
    <row r="55" spans="1:221" ht="13" x14ac:dyDescent="0.3">
      <c r="A55" s="427" t="s">
        <v>71</v>
      </c>
      <c r="B55" s="364"/>
      <c r="C55" s="364"/>
      <c r="D55" s="428"/>
      <c r="E55" s="429"/>
      <c r="F55" s="430"/>
      <c r="G55" s="430"/>
      <c r="H55" s="430"/>
      <c r="I55" s="430"/>
      <c r="J55" s="430"/>
      <c r="K55" s="431"/>
      <c r="L55" s="432">
        <f>SUM(L28:L54)</f>
        <v>0</v>
      </c>
      <c r="M55" s="432">
        <f t="shared" ref="M55:O55" si="3">SUM(M28:M54)</f>
        <v>0</v>
      </c>
      <c r="N55" s="432">
        <f t="shared" si="3"/>
        <v>7.27</v>
      </c>
      <c r="O55" s="432">
        <f t="shared" si="3"/>
        <v>7.27</v>
      </c>
      <c r="P55" s="433"/>
      <c r="Q55" s="403"/>
      <c r="R55" s="401"/>
      <c r="S55" s="401"/>
      <c r="T55" s="434"/>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row>
    <row r="56" spans="1:221" ht="13" x14ac:dyDescent="0.3">
      <c r="A56" s="353"/>
      <c r="B56" s="353"/>
      <c r="C56" s="353"/>
      <c r="D56" s="380"/>
      <c r="E56" s="415"/>
      <c r="F56" s="403"/>
      <c r="G56" s="403"/>
      <c r="H56" s="403"/>
      <c r="I56" s="403"/>
      <c r="J56" s="400"/>
      <c r="K56" s="384"/>
      <c r="L56" s="403"/>
      <c r="M56" s="403"/>
      <c r="N56" s="403"/>
      <c r="O56" s="403"/>
      <c r="P56" s="435"/>
      <c r="Q56" s="403"/>
      <c r="R56" s="401"/>
      <c r="S56" s="401"/>
      <c r="T56" s="434"/>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row>
    <row r="57" spans="1:221" ht="13" x14ac:dyDescent="0.3">
      <c r="A57" s="397"/>
      <c r="B57" s="397"/>
      <c r="C57" s="397"/>
      <c r="D57" s="397"/>
      <c r="E57" s="397"/>
      <c r="F57" s="397"/>
      <c r="G57" s="397"/>
      <c r="H57" s="397"/>
      <c r="I57" s="397"/>
      <c r="J57" s="397"/>
      <c r="K57" s="397"/>
      <c r="L57" s="436">
        <f>L24+L55</f>
        <v>0</v>
      </c>
      <c r="M57" s="436">
        <f>M24+M55</f>
        <v>0</v>
      </c>
      <c r="N57" s="436">
        <f>N24+N55</f>
        <v>17.27</v>
      </c>
      <c r="O57" s="437">
        <f>O24+O55</f>
        <v>17.27</v>
      </c>
      <c r="P57" s="437"/>
      <c r="Q57" s="403"/>
      <c r="R57" s="401"/>
      <c r="S57" s="401"/>
      <c r="T57" s="434"/>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row>
    <row r="58" spans="1:221" ht="13" x14ac:dyDescent="0.3">
      <c r="A58" s="438"/>
      <c r="B58" s="353"/>
      <c r="C58" s="353"/>
      <c r="D58" s="353"/>
      <c r="E58" s="353"/>
      <c r="F58" s="353"/>
      <c r="G58" s="353"/>
      <c r="H58" s="353"/>
      <c r="I58" s="353"/>
      <c r="J58" s="353"/>
      <c r="K58" s="353"/>
      <c r="L58" s="353"/>
      <c r="M58" s="353"/>
      <c r="Q58" s="401"/>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row>
    <row r="59" spans="1:221" ht="13" x14ac:dyDescent="0.3">
      <c r="A59" s="439"/>
      <c r="B59" s="353"/>
      <c r="C59" s="353"/>
      <c r="D59" s="353"/>
      <c r="E59" s="353"/>
      <c r="F59" s="353"/>
      <c r="G59" s="353"/>
      <c r="H59" s="353"/>
      <c r="I59" s="353"/>
      <c r="J59" s="353"/>
      <c r="K59" s="353"/>
      <c r="L59" s="353"/>
      <c r="M59" s="353"/>
      <c r="Q59" s="401"/>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c r="BX59" s="353"/>
      <c r="BY59" s="353"/>
      <c r="BZ59" s="353"/>
      <c r="CA59" s="353"/>
      <c r="CB59" s="353"/>
      <c r="CC59" s="353"/>
      <c r="CD59" s="353"/>
      <c r="CE59" s="353"/>
      <c r="CF59" s="353"/>
      <c r="CG59" s="353"/>
      <c r="CH59" s="353"/>
      <c r="CI59" s="353"/>
      <c r="CJ59" s="353"/>
      <c r="CK59" s="353"/>
      <c r="CL59" s="353"/>
      <c r="CM59" s="353"/>
      <c r="CN59" s="353"/>
      <c r="CO59" s="353"/>
      <c r="CP59" s="353"/>
      <c r="CQ59" s="353"/>
      <c r="CR59" s="353"/>
      <c r="CS59" s="353"/>
      <c r="CT59" s="353"/>
      <c r="CU59" s="353"/>
      <c r="CV59" s="353"/>
      <c r="CW59" s="353"/>
      <c r="CX59" s="353"/>
      <c r="CY59" s="353"/>
      <c r="CZ59" s="353"/>
      <c r="DA59" s="353"/>
      <c r="DB59" s="353"/>
      <c r="DC59" s="353"/>
      <c r="DD59" s="353"/>
      <c r="DE59" s="353"/>
      <c r="DF59" s="353"/>
      <c r="DG59" s="353"/>
      <c r="DH59" s="353"/>
      <c r="DI59" s="353"/>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3"/>
      <c r="EU59" s="353"/>
      <c r="EV59" s="353"/>
      <c r="EW59" s="353"/>
      <c r="EX59" s="353"/>
      <c r="EY59" s="353"/>
      <c r="EZ59" s="353"/>
      <c r="FA59" s="353"/>
      <c r="FB59" s="353"/>
      <c r="FC59" s="353"/>
      <c r="FD59" s="353"/>
      <c r="FE59" s="353"/>
      <c r="FF59" s="353"/>
      <c r="FG59" s="353"/>
      <c r="FH59" s="353"/>
      <c r="FI59" s="353"/>
      <c r="FJ59" s="353"/>
      <c r="FK59" s="353"/>
      <c r="FL59" s="353"/>
      <c r="FM59" s="353"/>
      <c r="FN59" s="353"/>
      <c r="FO59" s="353"/>
      <c r="FP59" s="353"/>
      <c r="FQ59" s="353"/>
      <c r="FR59" s="353"/>
      <c r="FS59" s="353"/>
      <c r="FT59" s="353"/>
      <c r="FU59" s="353"/>
      <c r="FV59" s="353"/>
      <c r="FW59" s="353"/>
      <c r="FX59" s="353"/>
      <c r="FY59" s="353"/>
      <c r="FZ59" s="353"/>
      <c r="GA59" s="353"/>
      <c r="GB59" s="353"/>
      <c r="GC59" s="353"/>
      <c r="GD59" s="353"/>
      <c r="GE59" s="353"/>
      <c r="GF59" s="353"/>
      <c r="GG59" s="353"/>
      <c r="GH59" s="353"/>
      <c r="GI59" s="353"/>
      <c r="GJ59" s="353"/>
      <c r="GK59" s="353"/>
      <c r="GL59" s="353"/>
      <c r="GM59" s="353"/>
      <c r="GN59" s="353"/>
      <c r="GO59" s="353"/>
      <c r="GP59" s="353"/>
      <c r="GQ59" s="353"/>
      <c r="GR59" s="353"/>
      <c r="GS59" s="353"/>
      <c r="GT59" s="353"/>
      <c r="GU59" s="353"/>
      <c r="GV59" s="353"/>
      <c r="GW59" s="353"/>
      <c r="GX59" s="353"/>
      <c r="GY59" s="353"/>
      <c r="GZ59" s="353"/>
      <c r="HA59" s="353"/>
      <c r="HB59" s="353"/>
      <c r="HC59" s="353"/>
      <c r="HD59" s="353"/>
      <c r="HE59" s="353"/>
      <c r="HF59" s="353"/>
      <c r="HG59" s="353"/>
      <c r="HH59" s="353"/>
      <c r="HI59" s="353"/>
      <c r="HJ59" s="353"/>
      <c r="HK59" s="353"/>
      <c r="HL59" s="353"/>
      <c r="HM59" s="353"/>
    </row>
    <row r="60" spans="1:221" ht="13" x14ac:dyDescent="0.3">
      <c r="A60" s="401" t="s">
        <v>93</v>
      </c>
      <c r="B60" s="353"/>
      <c r="C60" s="353"/>
      <c r="D60" s="401"/>
      <c r="E60" s="353"/>
      <c r="F60" s="353"/>
      <c r="G60" s="353"/>
      <c r="H60" s="353"/>
      <c r="I60" s="353"/>
      <c r="J60" s="353"/>
      <c r="K60" s="353"/>
      <c r="L60" s="353"/>
      <c r="M60" s="353"/>
      <c r="N60" s="353"/>
      <c r="O60" s="395">
        <f>IF($C$17&lt;=0,MIN(O21,O57), O21)</f>
        <v>10</v>
      </c>
      <c r="Q60" s="401"/>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c r="BX60" s="353"/>
      <c r="BY60" s="353"/>
      <c r="BZ60" s="353"/>
      <c r="CA60" s="353"/>
      <c r="CB60" s="353"/>
      <c r="CC60" s="353"/>
      <c r="CD60" s="353"/>
      <c r="CE60" s="353"/>
      <c r="CF60" s="353"/>
      <c r="CG60" s="353"/>
      <c r="CH60" s="353"/>
      <c r="CI60" s="353"/>
      <c r="CJ60" s="353"/>
      <c r="CK60" s="353"/>
      <c r="CL60" s="353"/>
      <c r="CM60" s="353"/>
      <c r="CN60" s="353"/>
      <c r="CO60" s="353"/>
      <c r="CP60" s="353"/>
      <c r="CQ60" s="353"/>
      <c r="CR60" s="353"/>
      <c r="CS60" s="353"/>
      <c r="CT60" s="353"/>
      <c r="CU60" s="353"/>
      <c r="CV60" s="353"/>
      <c r="CW60" s="353"/>
      <c r="CX60" s="353"/>
      <c r="CY60" s="353"/>
      <c r="CZ60" s="353"/>
      <c r="DA60" s="353"/>
      <c r="DB60" s="353"/>
      <c r="DC60" s="353"/>
      <c r="DD60" s="353"/>
      <c r="DE60" s="353"/>
      <c r="DF60" s="353"/>
      <c r="DG60" s="353"/>
      <c r="DH60" s="353"/>
      <c r="DI60" s="353"/>
      <c r="DJ60" s="353"/>
      <c r="DK60" s="353"/>
      <c r="DL60" s="353"/>
      <c r="DM60" s="353"/>
      <c r="DN60" s="353"/>
      <c r="DO60" s="353"/>
      <c r="DP60" s="353"/>
      <c r="DQ60" s="353"/>
      <c r="DR60" s="353"/>
      <c r="DS60" s="353"/>
      <c r="DT60" s="353"/>
      <c r="DU60" s="353"/>
      <c r="DV60" s="353"/>
      <c r="DW60" s="353"/>
      <c r="DX60" s="353"/>
      <c r="DY60" s="353"/>
      <c r="DZ60" s="353"/>
      <c r="EA60" s="353"/>
      <c r="EB60" s="353"/>
      <c r="EC60" s="353"/>
      <c r="ED60" s="353"/>
      <c r="EE60" s="353"/>
      <c r="EF60" s="353"/>
      <c r="EG60" s="353"/>
      <c r="EH60" s="353"/>
      <c r="EI60" s="353"/>
      <c r="EJ60" s="353"/>
      <c r="EK60" s="353"/>
      <c r="EL60" s="353"/>
      <c r="EM60" s="353"/>
      <c r="EN60" s="353"/>
      <c r="EO60" s="353"/>
      <c r="EP60" s="353"/>
      <c r="EQ60" s="353"/>
      <c r="ER60" s="353"/>
      <c r="ES60" s="353"/>
      <c r="ET60" s="353"/>
      <c r="EU60" s="353"/>
      <c r="EV60" s="353"/>
      <c r="EW60" s="353"/>
      <c r="EX60" s="353"/>
      <c r="EY60" s="353"/>
      <c r="EZ60" s="353"/>
      <c r="FA60" s="353"/>
      <c r="FB60" s="353"/>
      <c r="FC60" s="353"/>
      <c r="FD60" s="353"/>
      <c r="FE60" s="353"/>
      <c r="FF60" s="353"/>
      <c r="FG60" s="353"/>
      <c r="FH60" s="353"/>
      <c r="FI60" s="353"/>
      <c r="FJ60" s="353"/>
      <c r="FK60" s="353"/>
      <c r="FL60" s="353"/>
      <c r="FM60" s="353"/>
      <c r="FN60" s="353"/>
      <c r="FO60" s="353"/>
      <c r="FP60" s="353"/>
      <c r="FQ60" s="353"/>
      <c r="FR60" s="353"/>
      <c r="FS60" s="353"/>
      <c r="FT60" s="353"/>
      <c r="FU60" s="353"/>
      <c r="FV60" s="353"/>
      <c r="FW60" s="353"/>
      <c r="FX60" s="353"/>
      <c r="FY60" s="353"/>
      <c r="FZ60" s="353"/>
      <c r="GA60" s="353"/>
      <c r="GB60" s="353"/>
      <c r="GC60" s="353"/>
      <c r="GD60" s="353"/>
      <c r="GE60" s="353"/>
      <c r="GF60" s="353"/>
      <c r="GG60" s="353"/>
      <c r="GH60" s="353"/>
      <c r="GI60" s="353"/>
      <c r="GJ60" s="353"/>
      <c r="GK60" s="353"/>
      <c r="GL60" s="353"/>
      <c r="GM60" s="353"/>
      <c r="GN60" s="353"/>
      <c r="GO60" s="353"/>
      <c r="GP60" s="353"/>
      <c r="GQ60" s="353"/>
      <c r="GR60" s="353"/>
      <c r="GS60" s="353"/>
      <c r="GT60" s="353"/>
      <c r="GU60" s="353"/>
      <c r="GV60" s="353"/>
      <c r="GW60" s="353"/>
      <c r="GX60" s="353"/>
      <c r="GY60" s="353"/>
      <c r="GZ60" s="353"/>
      <c r="HA60" s="353"/>
      <c r="HB60" s="353"/>
      <c r="HC60" s="353"/>
      <c r="HD60" s="353"/>
      <c r="HE60" s="353"/>
      <c r="HF60" s="353"/>
      <c r="HG60" s="353"/>
      <c r="HH60" s="353"/>
      <c r="HI60" s="353"/>
      <c r="HJ60" s="353"/>
      <c r="HK60" s="353"/>
      <c r="HL60" s="353"/>
      <c r="HM60" s="353"/>
    </row>
    <row r="61" spans="1:221" ht="13" x14ac:dyDescent="0.3">
      <c r="A61" s="439"/>
      <c r="B61" s="401"/>
      <c r="C61" s="401"/>
      <c r="D61" s="401"/>
      <c r="E61" s="401"/>
      <c r="F61" s="401"/>
      <c r="G61" s="401"/>
      <c r="H61" s="401"/>
      <c r="I61" s="353"/>
      <c r="J61" s="353"/>
      <c r="K61" s="353"/>
      <c r="L61" s="353"/>
      <c r="M61" s="353"/>
      <c r="Q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c r="BX61" s="353"/>
      <c r="BY61" s="353"/>
      <c r="BZ61" s="353"/>
      <c r="CA61" s="353"/>
      <c r="CB61" s="353"/>
      <c r="CC61" s="353"/>
      <c r="CD61" s="353"/>
      <c r="CE61" s="353"/>
      <c r="CF61" s="353"/>
      <c r="CG61" s="353"/>
      <c r="CH61" s="353"/>
      <c r="CI61" s="353"/>
      <c r="CJ61" s="353"/>
      <c r="CK61" s="353"/>
      <c r="CL61" s="353"/>
      <c r="CM61" s="353"/>
      <c r="CN61" s="353"/>
      <c r="CO61" s="353"/>
      <c r="CP61" s="353"/>
      <c r="CQ61" s="353"/>
      <c r="CR61" s="353"/>
      <c r="CS61" s="353"/>
      <c r="CT61" s="353"/>
      <c r="CU61" s="353"/>
      <c r="CV61" s="353"/>
      <c r="CW61" s="353"/>
      <c r="CX61" s="353"/>
      <c r="CY61" s="353"/>
      <c r="CZ61" s="353"/>
      <c r="DA61" s="353"/>
      <c r="DB61" s="353"/>
      <c r="DC61" s="353"/>
      <c r="DD61" s="353"/>
      <c r="DE61" s="353"/>
      <c r="DF61" s="353"/>
      <c r="DG61" s="353"/>
      <c r="DH61" s="353"/>
      <c r="DI61" s="353"/>
      <c r="DJ61" s="353"/>
      <c r="DK61" s="353"/>
      <c r="DL61" s="353"/>
      <c r="DM61" s="353"/>
      <c r="DN61" s="353"/>
      <c r="DO61" s="353"/>
      <c r="DP61" s="353"/>
      <c r="DQ61" s="353"/>
      <c r="DR61" s="353"/>
      <c r="DS61" s="353"/>
      <c r="DT61" s="353"/>
      <c r="DU61" s="353"/>
      <c r="DV61" s="353"/>
      <c r="DW61" s="353"/>
      <c r="DX61" s="353"/>
      <c r="DY61" s="353"/>
      <c r="DZ61" s="353"/>
      <c r="EA61" s="353"/>
      <c r="EB61" s="353"/>
      <c r="EC61" s="353"/>
      <c r="ED61" s="353"/>
      <c r="EE61" s="353"/>
      <c r="EF61" s="353"/>
      <c r="EG61" s="353"/>
      <c r="EH61" s="353"/>
      <c r="EI61" s="353"/>
      <c r="EJ61" s="353"/>
      <c r="EK61" s="353"/>
      <c r="EL61" s="353"/>
      <c r="EM61" s="353"/>
      <c r="EN61" s="353"/>
      <c r="EO61" s="353"/>
      <c r="EP61" s="353"/>
      <c r="EQ61" s="353"/>
      <c r="ER61" s="353"/>
      <c r="ES61" s="353"/>
      <c r="ET61" s="353"/>
      <c r="EU61" s="353"/>
      <c r="EV61" s="353"/>
      <c r="EW61" s="353"/>
      <c r="EX61" s="353"/>
      <c r="EY61" s="353"/>
      <c r="EZ61" s="353"/>
      <c r="FA61" s="353"/>
      <c r="FB61" s="353"/>
      <c r="FC61" s="353"/>
      <c r="FD61" s="353"/>
      <c r="FE61" s="353"/>
      <c r="FF61" s="353"/>
      <c r="FG61" s="353"/>
      <c r="FH61" s="353"/>
      <c r="FI61" s="353"/>
      <c r="FJ61" s="353"/>
      <c r="FK61" s="353"/>
      <c r="FL61" s="353"/>
      <c r="FM61" s="353"/>
      <c r="FN61" s="353"/>
      <c r="FO61" s="353"/>
      <c r="FP61" s="353"/>
      <c r="FQ61" s="353"/>
      <c r="FR61" s="353"/>
      <c r="FS61" s="353"/>
      <c r="FT61" s="353"/>
      <c r="FU61" s="353"/>
      <c r="FV61" s="353"/>
      <c r="FW61" s="353"/>
      <c r="FX61" s="353"/>
      <c r="FY61" s="353"/>
      <c r="FZ61" s="353"/>
      <c r="GA61" s="353"/>
      <c r="GB61" s="353"/>
      <c r="GC61" s="353"/>
      <c r="GD61" s="353"/>
      <c r="GE61" s="353"/>
      <c r="GF61" s="353"/>
      <c r="GG61" s="353"/>
      <c r="GH61" s="353"/>
      <c r="GI61" s="353"/>
      <c r="GJ61" s="353"/>
      <c r="GK61" s="353"/>
      <c r="GL61" s="353"/>
      <c r="GM61" s="353"/>
      <c r="GN61" s="353"/>
      <c r="GO61" s="353"/>
      <c r="GP61" s="353"/>
      <c r="GQ61" s="353"/>
      <c r="GR61" s="353"/>
      <c r="GS61" s="353"/>
      <c r="GT61" s="353"/>
      <c r="GU61" s="353"/>
      <c r="GV61" s="353"/>
      <c r="GW61" s="353"/>
      <c r="GX61" s="353"/>
      <c r="GY61" s="353"/>
      <c r="GZ61" s="353"/>
      <c r="HA61" s="353"/>
      <c r="HB61" s="353"/>
      <c r="HC61" s="353"/>
      <c r="HD61" s="353"/>
      <c r="HE61" s="353"/>
      <c r="HF61" s="353"/>
      <c r="HG61" s="353"/>
      <c r="HH61" s="353"/>
      <c r="HI61" s="353"/>
      <c r="HJ61" s="353"/>
      <c r="HK61" s="353"/>
      <c r="HL61" s="353"/>
      <c r="HM61" s="353"/>
    </row>
    <row r="62" spans="1:221" ht="13" x14ac:dyDescent="0.3">
      <c r="A62" s="364" t="s">
        <v>117</v>
      </c>
      <c r="O62" s="440">
        <f>IF($C$17&lt;0,O57,IF(O57&gt;O60,O57,O60))</f>
        <v>17.27</v>
      </c>
      <c r="P62" s="441"/>
      <c r="Q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c r="DY62" s="353"/>
      <c r="DZ62" s="353"/>
      <c r="EA62" s="353"/>
      <c r="EB62" s="353"/>
      <c r="EC62" s="353"/>
      <c r="ED62" s="353"/>
      <c r="EE62" s="353"/>
      <c r="EF62" s="353"/>
      <c r="EG62" s="353"/>
      <c r="EH62" s="353"/>
      <c r="EI62" s="353"/>
      <c r="EJ62" s="353"/>
      <c r="EK62" s="353"/>
      <c r="EL62" s="353"/>
      <c r="EM62" s="353"/>
      <c r="EN62" s="353"/>
      <c r="EO62" s="353"/>
      <c r="EP62" s="353"/>
      <c r="EQ62" s="353"/>
      <c r="ER62" s="353"/>
      <c r="ES62" s="353"/>
      <c r="ET62" s="353"/>
      <c r="EU62" s="353"/>
      <c r="EV62" s="353"/>
      <c r="EW62" s="353"/>
      <c r="EX62" s="353"/>
      <c r="EY62" s="353"/>
      <c r="EZ62" s="353"/>
      <c r="FA62" s="353"/>
      <c r="FB62" s="353"/>
      <c r="FC62" s="353"/>
      <c r="FD62" s="353"/>
      <c r="FE62" s="353"/>
      <c r="FF62" s="353"/>
      <c r="FG62" s="353"/>
      <c r="FH62" s="353"/>
      <c r="FI62" s="353"/>
      <c r="FJ62" s="353"/>
      <c r="FK62" s="353"/>
      <c r="FL62" s="353"/>
      <c r="FM62" s="353"/>
      <c r="FN62" s="353"/>
      <c r="FO62" s="353"/>
      <c r="FP62" s="353"/>
      <c r="FQ62" s="353"/>
      <c r="FR62" s="353"/>
      <c r="FS62" s="353"/>
      <c r="FT62" s="353"/>
      <c r="FU62" s="353"/>
      <c r="FV62" s="353"/>
      <c r="FW62" s="353"/>
      <c r="FX62" s="353"/>
      <c r="FY62" s="353"/>
      <c r="FZ62" s="353"/>
      <c r="GA62" s="353"/>
      <c r="GB62" s="353"/>
      <c r="GC62" s="353"/>
      <c r="GD62" s="353"/>
      <c r="GE62" s="353"/>
      <c r="GF62" s="353"/>
      <c r="GG62" s="353"/>
      <c r="GH62" s="353"/>
      <c r="GI62" s="353"/>
      <c r="GJ62" s="353"/>
      <c r="GK62" s="353"/>
      <c r="GL62" s="353"/>
      <c r="GM62" s="353"/>
      <c r="GN62" s="353"/>
      <c r="GO62" s="353"/>
      <c r="GP62" s="353"/>
      <c r="GQ62" s="353"/>
      <c r="GR62" s="353"/>
      <c r="GS62" s="353"/>
      <c r="GT62" s="353"/>
      <c r="GU62" s="353"/>
      <c r="GV62" s="353"/>
      <c r="GW62" s="353"/>
      <c r="GX62" s="353"/>
      <c r="GY62" s="353"/>
      <c r="GZ62" s="353"/>
      <c r="HA62" s="353"/>
      <c r="HB62" s="353"/>
      <c r="HC62" s="353"/>
      <c r="HD62" s="353"/>
      <c r="HE62" s="353"/>
      <c r="HF62" s="353"/>
      <c r="HG62" s="353"/>
      <c r="HH62" s="353"/>
      <c r="HI62" s="353"/>
      <c r="HJ62" s="353"/>
      <c r="HK62" s="353"/>
      <c r="HL62" s="353"/>
      <c r="HM62" s="353"/>
    </row>
    <row r="63" spans="1:221" x14ac:dyDescent="0.25">
      <c r="A63" s="439"/>
    </row>
    <row r="64" spans="1:221" ht="13" x14ac:dyDescent="0.3">
      <c r="A64" s="439"/>
      <c r="I64" s="401" t="s">
        <v>121</v>
      </c>
      <c r="J64" s="401"/>
      <c r="K64" s="401"/>
      <c r="L64" s="442"/>
      <c r="M64" s="442"/>
      <c r="N64" s="442"/>
      <c r="O64" s="442">
        <f>ROUND(IF($C$17&lt;1,0,O57/($C$17*100)*10000),2)</f>
        <v>0</v>
      </c>
      <c r="P64" s="387" t="s">
        <v>87</v>
      </c>
    </row>
    <row r="65" spans="1:16" ht="13" x14ac:dyDescent="0.3">
      <c r="A65" s="439"/>
      <c r="I65" s="443" t="s">
        <v>191</v>
      </c>
      <c r="J65" s="353"/>
      <c r="K65" s="353"/>
      <c r="L65" s="353"/>
      <c r="M65" s="353"/>
      <c r="N65" s="353"/>
      <c r="O65" s="444">
        <f>ROUND(IF($C$17&lt;1,0,(L57)/($C$17*100)*10000),2)</f>
        <v>0</v>
      </c>
      <c r="P65" s="356" t="s">
        <v>87</v>
      </c>
    </row>
    <row r="66" spans="1:16" x14ac:dyDescent="0.25">
      <c r="A66" s="439"/>
    </row>
    <row r="67" spans="1:16" x14ac:dyDescent="0.25">
      <c r="A67" s="439"/>
    </row>
    <row r="68" spans="1:16" x14ac:dyDescent="0.25">
      <c r="A68" s="439"/>
    </row>
    <row r="69" spans="1:16" x14ac:dyDescent="0.25">
      <c r="A69" s="439"/>
    </row>
    <row r="70" spans="1:16" x14ac:dyDescent="0.25">
      <c r="A70" s="439"/>
    </row>
    <row r="71" spans="1:16" x14ac:dyDescent="0.25">
      <c r="A71" s="439"/>
    </row>
    <row r="72" spans="1:16" x14ac:dyDescent="0.25">
      <c r="A72" s="439"/>
    </row>
  </sheetData>
  <sheetProtection algorithmName="SHA-512" hashValue="/8BBkJNvi9e0Lrn4KFG+MGKM5Tvqn3NXGEiglf8Ccmqlm75FF6jKJA/t9lzZBXD+678vrnoict4YEMW9GFa3Ew==" saltValue="JMQQdIXpfEfYcyiYhrImoA=="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69850</xdr:colOff>
                    <xdr:row>0</xdr:row>
                    <xdr:rowOff>76200</xdr:rowOff>
                  </from>
                  <to>
                    <xdr:col>0</xdr:col>
                    <xdr:colOff>584200</xdr:colOff>
                    <xdr:row>2</xdr:row>
                    <xdr:rowOff>12700</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603250</xdr:colOff>
                    <xdr:row>80</xdr:row>
                    <xdr:rowOff>38100</xdr:rowOff>
                  </from>
                  <to>
                    <xdr:col>14</xdr:col>
                    <xdr:colOff>1123950</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5"/>
  <sheetViews>
    <sheetView showGridLines="0" topLeftCell="A12" zoomScale="80" zoomScaleNormal="80" workbookViewId="0">
      <selection activeCell="P23" sqref="P23"/>
    </sheetView>
  </sheetViews>
  <sheetFormatPr defaultRowHeight="12.5" x14ac:dyDescent="0.25"/>
  <cols>
    <col min="1" max="1" width="31" customWidth="1"/>
    <col min="2" max="2" width="2.1796875" customWidth="1"/>
    <col min="3" max="3" width="21.1796875" customWidth="1"/>
    <col min="4" max="4" width="15.26953125" customWidth="1"/>
    <col min="5" max="5" width="10.1796875" customWidth="1"/>
    <col min="6" max="6" width="5.54296875" customWidth="1"/>
    <col min="7" max="8" width="13.26953125" customWidth="1"/>
    <col min="9" max="9" width="14.54296875" customWidth="1"/>
    <col min="10" max="10" width="13.26953125" customWidth="1"/>
    <col min="11" max="11" width="7" customWidth="1"/>
    <col min="12" max="12" width="15.1796875" customWidth="1"/>
    <col min="13" max="13" width="17.26953125" bestFit="1" customWidth="1"/>
    <col min="14" max="14" width="16.7265625" customWidth="1"/>
    <col min="15" max="15" width="19.1796875" bestFit="1" customWidth="1"/>
    <col min="16" max="16" width="12.81640625" bestFit="1" customWidth="1"/>
    <col min="18" max="18" width="9.1796875" hidden="1" customWidth="1"/>
    <col min="19" max="26" width="10.26953125" hidden="1" customWidth="1"/>
    <col min="27" max="27" width="10.54296875" hidden="1" customWidth="1"/>
    <col min="28" max="30" width="10.26953125" hidden="1" customWidth="1"/>
  </cols>
  <sheetData>
    <row r="1" spans="1:30" ht="20" x14ac:dyDescent="0.4">
      <c r="A1" s="495" t="s">
        <v>120</v>
      </c>
      <c r="B1" s="495"/>
      <c r="C1" s="495"/>
      <c r="D1" s="495"/>
      <c r="E1" s="495"/>
      <c r="F1" s="495"/>
      <c r="G1" s="495"/>
      <c r="H1" s="495"/>
      <c r="I1" s="495"/>
      <c r="J1" s="495"/>
      <c r="K1" s="495"/>
      <c r="L1" s="495"/>
      <c r="M1" s="495"/>
      <c r="N1" s="495"/>
      <c r="O1" s="495"/>
      <c r="P1" s="495"/>
    </row>
    <row r="2" spans="1:30" ht="20" x14ac:dyDescent="0.4">
      <c r="A2" s="480" t="s">
        <v>279</v>
      </c>
      <c r="B2" s="480"/>
      <c r="C2" s="480"/>
      <c r="D2" s="480"/>
      <c r="E2" s="480"/>
      <c r="F2" s="480"/>
      <c r="G2" s="480"/>
      <c r="H2" s="480"/>
      <c r="I2" s="480"/>
      <c r="J2" s="480"/>
      <c r="K2" s="480"/>
      <c r="L2" s="480"/>
      <c r="M2" s="480"/>
      <c r="N2" s="480"/>
      <c r="O2" s="480"/>
      <c r="P2" s="480"/>
    </row>
    <row r="3" spans="1:30" ht="18" x14ac:dyDescent="0.4">
      <c r="A3" s="496" t="s">
        <v>84</v>
      </c>
      <c r="B3" s="496"/>
      <c r="C3" s="496"/>
      <c r="D3" s="496"/>
      <c r="E3" s="496"/>
      <c r="F3" s="496"/>
      <c r="G3" s="496"/>
      <c r="H3" s="496"/>
      <c r="I3" s="496"/>
      <c r="J3" s="496"/>
      <c r="K3" s="496"/>
      <c r="L3" s="496"/>
      <c r="M3" s="496"/>
      <c r="N3" s="496"/>
      <c r="O3" s="496"/>
      <c r="P3" s="496"/>
    </row>
    <row r="4" spans="1:30" ht="15.5" x14ac:dyDescent="0.35">
      <c r="A4" s="481" t="str">
        <f>'Customer Info'!B11</f>
        <v>Breakdown of Charges Based on Entered Information</v>
      </c>
      <c r="B4" s="481"/>
      <c r="C4" s="481"/>
      <c r="D4" s="481"/>
      <c r="E4" s="481"/>
      <c r="F4" s="481"/>
      <c r="G4" s="481"/>
      <c r="H4" s="481"/>
      <c r="I4" s="481"/>
      <c r="J4" s="481"/>
      <c r="K4" s="481"/>
      <c r="L4" s="481"/>
      <c r="M4" s="481"/>
      <c r="N4" s="481"/>
      <c r="O4" s="481"/>
      <c r="P4" s="481"/>
    </row>
    <row r="5" spans="1:30" ht="15.5" x14ac:dyDescent="0.35">
      <c r="A5" s="75"/>
      <c r="B5" s="75"/>
      <c r="C5" s="75"/>
      <c r="D5" s="75"/>
      <c r="E5" s="75"/>
      <c r="F5" s="75"/>
      <c r="G5" s="75"/>
      <c r="H5" s="75"/>
      <c r="I5" s="75"/>
      <c r="J5" s="75"/>
      <c r="K5" s="75"/>
    </row>
    <row r="6" spans="1:30" x14ac:dyDescent="0.25">
      <c r="A6" s="76">
        <f ca="1">TODAY()</f>
        <v>45476</v>
      </c>
      <c r="B6" s="210" t="s">
        <v>250</v>
      </c>
      <c r="C6" s="76"/>
      <c r="D6" s="76"/>
      <c r="E6" s="76"/>
      <c r="F6" s="76"/>
      <c r="G6" s="76"/>
      <c r="H6" s="76"/>
      <c r="I6" s="76"/>
    </row>
    <row r="7" spans="1:30" ht="25" x14ac:dyDescent="0.5">
      <c r="A7" s="506"/>
      <c r="B7" s="506"/>
      <c r="C7" s="506"/>
      <c r="D7" s="506"/>
      <c r="E7" s="506"/>
      <c r="F7" s="506"/>
      <c r="G7" s="506"/>
      <c r="H7" s="506"/>
      <c r="I7" s="506"/>
      <c r="J7" s="506"/>
      <c r="K7" s="506"/>
      <c r="L7" s="506"/>
      <c r="M7" s="506"/>
      <c r="N7" s="506"/>
      <c r="O7" s="506"/>
      <c r="P7" s="506"/>
    </row>
    <row r="8" spans="1:30" x14ac:dyDescent="0.25">
      <c r="C8" s="18"/>
      <c r="D8" s="18"/>
      <c r="E8" s="18"/>
      <c r="F8" s="18"/>
      <c r="G8" s="18"/>
      <c r="H8" s="18"/>
      <c r="I8" s="18"/>
      <c r="J8" s="18"/>
      <c r="K8" s="18"/>
    </row>
    <row r="9" spans="1:30" ht="15.5" x14ac:dyDescent="0.35">
      <c r="A9" s="23" t="s">
        <v>2</v>
      </c>
      <c r="B9" s="24"/>
      <c r="C9" s="25">
        <f>'Customer Info'!B7</f>
        <v>0</v>
      </c>
      <c r="I9" s="26"/>
    </row>
    <row r="10" spans="1:30" ht="15.5" x14ac:dyDescent="0.35">
      <c r="A10" s="27" t="s">
        <v>26</v>
      </c>
      <c r="B10" s="24"/>
      <c r="C10" s="25">
        <f>'Customer Info'!B8</f>
        <v>0</v>
      </c>
    </row>
    <row r="11" spans="1:30" ht="13" x14ac:dyDescent="0.3">
      <c r="A11" s="23" t="s">
        <v>3</v>
      </c>
      <c r="B11" s="200">
        <f>'Customer Info'!B9</f>
        <v>7</v>
      </c>
      <c r="C11" s="194" t="str">
        <f>LOOKUP(B11,R11:AD11,R12:AD12)</f>
        <v>July</v>
      </c>
      <c r="D11" s="133">
        <f>'Customer Info'!C9</f>
        <v>2024</v>
      </c>
      <c r="S11">
        <v>1</v>
      </c>
      <c r="T11">
        <v>2</v>
      </c>
      <c r="U11">
        <v>3</v>
      </c>
      <c r="V11">
        <v>4</v>
      </c>
      <c r="W11">
        <v>5</v>
      </c>
      <c r="X11">
        <v>6</v>
      </c>
      <c r="Y11">
        <v>7</v>
      </c>
      <c r="Z11">
        <v>8</v>
      </c>
      <c r="AA11">
        <v>9</v>
      </c>
      <c r="AB11">
        <v>10</v>
      </c>
      <c r="AC11">
        <v>11</v>
      </c>
      <c r="AD11">
        <v>12</v>
      </c>
    </row>
    <row r="12" spans="1:30" ht="13" x14ac:dyDescent="0.3">
      <c r="A12" s="494"/>
      <c r="B12" s="494"/>
      <c r="C12" s="494"/>
      <c r="D12" s="494"/>
      <c r="E12" s="494"/>
      <c r="F12" s="494"/>
      <c r="G12" s="494"/>
      <c r="H12" s="494"/>
      <c r="I12" s="494"/>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ht="13" x14ac:dyDescent="0.3">
      <c r="A13" s="28" t="s">
        <v>27</v>
      </c>
      <c r="B13" s="22"/>
      <c r="C13" s="22"/>
      <c r="D13" s="22"/>
      <c r="E13" s="22"/>
      <c r="F13" s="22"/>
      <c r="G13" s="22"/>
      <c r="H13" s="22"/>
      <c r="I13" s="22"/>
      <c r="R13" s="3" t="s">
        <v>188</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ht="13" x14ac:dyDescent="0.3">
      <c r="A16" s="31"/>
      <c r="B16" s="31"/>
      <c r="C16" s="32"/>
      <c r="D16" s="31"/>
      <c r="E16" s="31"/>
      <c r="F16" s="33"/>
      <c r="G16" s="23" t="s">
        <v>15</v>
      </c>
      <c r="H16" s="31"/>
    </row>
    <row r="17" spans="1:221" ht="13" x14ac:dyDescent="0.3">
      <c r="A17" s="31"/>
      <c r="B17" s="31"/>
      <c r="C17" s="33"/>
      <c r="D17" s="33"/>
      <c r="E17" s="33"/>
      <c r="F17" s="33"/>
      <c r="G17" s="23" t="s">
        <v>15</v>
      </c>
      <c r="H17" s="31"/>
      <c r="I17" s="52" t="s">
        <v>15</v>
      </c>
    </row>
    <row r="19" spans="1:221" ht="13" x14ac:dyDescent="0.3">
      <c r="A19" s="28" t="s">
        <v>31</v>
      </c>
      <c r="B19" s="22"/>
      <c r="C19" s="22"/>
      <c r="D19" s="22"/>
      <c r="E19" s="22"/>
      <c r="F19" s="22"/>
      <c r="G19" s="490" t="s">
        <v>68</v>
      </c>
      <c r="H19" s="491"/>
      <c r="I19" s="491"/>
      <c r="J19" s="492"/>
      <c r="K19" s="22"/>
      <c r="L19" s="493" t="s">
        <v>69</v>
      </c>
      <c r="M19" s="493"/>
      <c r="N19" s="493"/>
      <c r="O19" s="493"/>
    </row>
    <row r="20" spans="1:221" ht="13" x14ac:dyDescent="0.3">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5">
      <c r="A21" t="s">
        <v>32</v>
      </c>
      <c r="G21" s="86"/>
      <c r="H21" s="86"/>
      <c r="I21" s="86">
        <v>9.4</v>
      </c>
      <c r="J21" s="86">
        <f>SUM(G21:I21)</f>
        <v>9.4</v>
      </c>
      <c r="L21" s="88"/>
      <c r="M21" s="88"/>
      <c r="N21" s="88">
        <f>I21</f>
        <v>9.4</v>
      </c>
      <c r="O21" s="209">
        <f>SUM(L21:N21)</f>
        <v>9.4</v>
      </c>
      <c r="P21" s="245">
        <v>44531</v>
      </c>
    </row>
    <row r="22" spans="1:221" x14ac:dyDescent="0.25">
      <c r="A22" s="287" t="s">
        <v>132</v>
      </c>
      <c r="D22" s="1">
        <f>C15</f>
        <v>0</v>
      </c>
      <c r="E22" s="35" t="s">
        <v>41</v>
      </c>
      <c r="F22" s="4" t="s">
        <v>8</v>
      </c>
      <c r="G22" s="84"/>
      <c r="H22" s="84"/>
      <c r="I22" s="84">
        <v>1.8332399999999999E-2</v>
      </c>
      <c r="J22" s="84">
        <f>SUM(G22:I22)</f>
        <v>1.8332399999999999E-2</v>
      </c>
      <c r="K22" s="36" t="s">
        <v>42</v>
      </c>
      <c r="L22" s="87"/>
      <c r="M22" s="87"/>
      <c r="N22" s="87">
        <f>IF(C15&lt;0,0,ROUND($D22*I22,2))</f>
        <v>0</v>
      </c>
      <c r="O22" s="209">
        <f>SUM(L22:N22)</f>
        <v>0</v>
      </c>
      <c r="P22" s="245">
        <v>45261</v>
      </c>
    </row>
    <row r="23" spans="1:221" ht="13" x14ac:dyDescent="0.3">
      <c r="A23" s="37" t="s">
        <v>50</v>
      </c>
      <c r="B23" s="37"/>
      <c r="C23" s="37"/>
      <c r="D23" s="38"/>
      <c r="E23" s="38"/>
      <c r="F23" s="37"/>
      <c r="G23" s="37"/>
      <c r="H23" s="37"/>
      <c r="I23" s="37"/>
      <c r="J23" s="37"/>
      <c r="K23" s="39"/>
      <c r="L23" s="40"/>
      <c r="M23" s="40"/>
      <c r="N23" s="40">
        <f>SUM(N21:N22)</f>
        <v>9.4</v>
      </c>
      <c r="O23" s="40">
        <f>SUM(O21:O22)</f>
        <v>9.4</v>
      </c>
    </row>
    <row r="24" spans="1:221" ht="13" x14ac:dyDescent="0.3">
      <c r="A24" s="89"/>
      <c r="B24" s="89"/>
      <c r="C24" s="90"/>
      <c r="D24" s="90"/>
      <c r="E24" s="90"/>
      <c r="F24" s="90"/>
      <c r="G24" s="91"/>
      <c r="H24" s="91"/>
      <c r="I24" s="91"/>
      <c r="J24" s="91"/>
      <c r="K24" s="89"/>
      <c r="L24" s="89"/>
      <c r="M24" s="89"/>
      <c r="N24" s="89"/>
      <c r="O24" s="89"/>
      <c r="P24" s="89"/>
    </row>
    <row r="25" spans="1:221" ht="13" x14ac:dyDescent="0.3">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79</v>
      </c>
      <c r="B27" s="176"/>
      <c r="C27" s="176"/>
      <c r="D27" s="100">
        <f>IF($C$15&lt;0,0,IF($C$15&gt;833000,833000,$C$15))</f>
        <v>0</v>
      </c>
      <c r="E27" s="101" t="s">
        <v>41</v>
      </c>
      <c r="F27" s="102" t="s">
        <v>8</v>
      </c>
      <c r="G27" s="103"/>
      <c r="H27" s="103"/>
      <c r="I27" s="103">
        <f>'Rider Rates'!$B$4</f>
        <v>5.9216E-3</v>
      </c>
      <c r="J27" s="103">
        <f t="shared" ref="J27:J47" si="0">SUM(G27:I27)</f>
        <v>5.9216E-3</v>
      </c>
      <c r="K27" s="104" t="s">
        <v>42</v>
      </c>
      <c r="L27" s="105"/>
      <c r="M27" s="105"/>
      <c r="N27" s="105">
        <f t="shared" ref="N27:N32" si="1">ROUND(D27*I27,2)</f>
        <v>0</v>
      </c>
      <c r="O27" s="105">
        <f t="shared" ref="O27:O48"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160</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ht="13" x14ac:dyDescent="0.3">
      <c r="A33" s="210" t="s">
        <v>238</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187</v>
      </c>
      <c r="B34" s="78"/>
      <c r="C34" s="78"/>
      <c r="D34" s="100">
        <f>'Customer Info'!$B$21+'Customer Info'!$B$22-'Customer Info'!$B$23</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162</v>
      </c>
      <c r="B35" s="78"/>
      <c r="C35" s="78"/>
      <c r="D35" s="100">
        <f>'Customer Info'!$B$21+'Customer Info'!$B$22-'Customer Info'!$B$23</f>
        <v>0</v>
      </c>
      <c r="E35" s="101" t="s">
        <v>41</v>
      </c>
      <c r="F35" s="102" t="s">
        <v>8</v>
      </c>
      <c r="G35" s="103">
        <f>'Rider Rates'!$B$33</f>
        <v>2.7299999999999998E-3</v>
      </c>
      <c r="H35" s="103"/>
      <c r="I35" s="103"/>
      <c r="J35" s="237">
        <f>SUM(G35:H35)</f>
        <v>2.7299999999999998E-3</v>
      </c>
      <c r="K35" s="104" t="s">
        <v>42</v>
      </c>
      <c r="L35" s="105">
        <f>ROUND(D35*G35,2)</f>
        <v>0</v>
      </c>
      <c r="M35" s="105"/>
      <c r="N35" s="105"/>
      <c r="O35" s="105">
        <f t="shared" si="3"/>
        <v>0</v>
      </c>
      <c r="P35" s="245">
        <f>'Rider Rates'!$D$33</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194</v>
      </c>
      <c r="B36" s="78"/>
      <c r="C36" s="78"/>
      <c r="D36" s="100">
        <f>'Customer Info'!$B$21+'Customer Info'!$B$22-'Customer Info'!$B$23</f>
        <v>0</v>
      </c>
      <c r="E36" s="101" t="s">
        <v>41</v>
      </c>
      <c r="F36" s="102" t="s">
        <v>8</v>
      </c>
      <c r="G36" s="103">
        <f>'Rider Rates'!$B$45</f>
        <v>-3.1569999999999998E-4</v>
      </c>
      <c r="H36" s="103"/>
      <c r="I36" s="103"/>
      <c r="J36" s="237">
        <f>SUM(G36:H36)</f>
        <v>-3.1569999999999998E-4</v>
      </c>
      <c r="K36" s="104" t="s">
        <v>42</v>
      </c>
      <c r="L36" s="105">
        <f>ROUND(D36*G36,2)</f>
        <v>0</v>
      </c>
      <c r="M36" s="105"/>
      <c r="N36" s="105"/>
      <c r="O36" s="105">
        <f t="shared" si="3"/>
        <v>0</v>
      </c>
      <c r="P36" s="245">
        <f>'Rider Rates'!$D$45</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211</v>
      </c>
      <c r="B37" s="78"/>
      <c r="C37" s="78"/>
      <c r="D37" s="100">
        <f>IF($C$15&lt;0,0,IF($C$15&gt;833000,833000,$C$15))</f>
        <v>0</v>
      </c>
      <c r="E37" s="101" t="s">
        <v>41</v>
      </c>
      <c r="F37" s="102" t="s">
        <v>8</v>
      </c>
      <c r="G37" s="103"/>
      <c r="H37" s="103"/>
      <c r="I37" s="103">
        <f>'Rider Rates'!D49</f>
        <v>1.8006999999999999E-3</v>
      </c>
      <c r="J37" s="103">
        <f>SUM(G37:I37)</f>
        <v>1.8006999999999999E-3</v>
      </c>
      <c r="K37" s="104" t="s">
        <v>42</v>
      </c>
      <c r="L37" s="105"/>
      <c r="M37" s="105"/>
      <c r="N37" s="105">
        <f>D37*J37</f>
        <v>0</v>
      </c>
      <c r="O37" s="105">
        <f t="shared" si="3"/>
        <v>0</v>
      </c>
      <c r="P37" s="245">
        <f>'Rider Rates'!E49</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190</v>
      </c>
      <c r="B38" s="78"/>
      <c r="C38" s="78"/>
      <c r="D38" s="100">
        <f>IF($C$15&lt;0,0,$C$15)</f>
        <v>0</v>
      </c>
      <c r="E38" s="113" t="s">
        <v>41</v>
      </c>
      <c r="F38" s="102" t="s">
        <v>8</v>
      </c>
      <c r="G38" s="103"/>
      <c r="H38" s="103">
        <f>'Rider Rates'!$B$56</f>
        <v>2.3467399999999999E-2</v>
      </c>
      <c r="I38" s="103"/>
      <c r="J38" s="103">
        <f>SUM(G38:I38)</f>
        <v>2.3467399999999999E-2</v>
      </c>
      <c r="K38" s="104" t="s">
        <v>42</v>
      </c>
      <c r="L38" s="105"/>
      <c r="M38" s="105">
        <f>ROUND(D38*H38,2)</f>
        <v>0</v>
      </c>
      <c r="N38" s="205"/>
      <c r="O38" s="105">
        <f t="shared" si="3"/>
        <v>0</v>
      </c>
      <c r="P38" s="245">
        <f>'Rider Rates'!$D$56</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96</v>
      </c>
      <c r="B39" s="78"/>
      <c r="C39" s="78"/>
      <c r="D39" s="100">
        <f>IF('Customer Info'!C34=TRUE,0,IF($C$15&lt;0,0,$C$15))</f>
        <v>0</v>
      </c>
      <c r="E39" s="101" t="s">
        <v>41</v>
      </c>
      <c r="F39" s="102" t="s">
        <v>8</v>
      </c>
      <c r="G39" s="103"/>
      <c r="H39" s="103"/>
      <c r="I39" s="103">
        <f>'Rider Rates'!$B$68+'Rider Rates'!$C$68</f>
        <v>0</v>
      </c>
      <c r="J39" s="103">
        <f t="shared" si="0"/>
        <v>0</v>
      </c>
      <c r="K39" s="104" t="s">
        <v>42</v>
      </c>
      <c r="L39" s="105"/>
      <c r="M39" s="105"/>
      <c r="N39" s="105">
        <f>ROUND($D$39*'Rider Rates'!$B$68,2)+ROUND($D$39*'Rider Rates'!$C$68,2)</f>
        <v>0</v>
      </c>
      <c r="O39" s="105">
        <f t="shared" si="2"/>
        <v>0</v>
      </c>
      <c r="P39" s="245">
        <f>'Rider Rates'!$D$68</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96</v>
      </c>
      <c r="B40" s="78"/>
      <c r="C40" s="78"/>
      <c r="D40" s="100"/>
      <c r="E40" s="101" t="s">
        <v>115</v>
      </c>
      <c r="F40" s="102"/>
      <c r="G40" s="103"/>
      <c r="H40" s="103"/>
      <c r="I40" s="196">
        <f>'Rider Rates'!$B$75</f>
        <v>0</v>
      </c>
      <c r="J40" s="196">
        <f>IF('Customer Info'!C34=TRUE,0,SUM(G40:I40))</f>
        <v>0</v>
      </c>
      <c r="K40" s="104"/>
      <c r="L40" s="105"/>
      <c r="M40" s="105"/>
      <c r="N40" s="105">
        <f>J40</f>
        <v>0</v>
      </c>
      <c r="O40" s="105">
        <f>SUM(L40:N40)</f>
        <v>0</v>
      </c>
      <c r="P40" s="245">
        <f>'Rider Rates'!$D$75</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ht="13" x14ac:dyDescent="0.3">
      <c r="A41" s="99" t="s">
        <v>81</v>
      </c>
      <c r="B41" s="78"/>
      <c r="C41" s="78"/>
      <c r="D41" s="195">
        <f>$N$23</f>
        <v>9.4</v>
      </c>
      <c r="E41" s="101" t="s">
        <v>122</v>
      </c>
      <c r="F41" s="102" t="s">
        <v>8</v>
      </c>
      <c r="G41" s="111"/>
      <c r="H41" s="112"/>
      <c r="I41" s="120">
        <f>'Rider Rates'!$B$83</f>
        <v>2.9347000000000002E-2</v>
      </c>
      <c r="J41" s="120">
        <f t="shared" si="0"/>
        <v>2.9347000000000002E-2</v>
      </c>
      <c r="K41" s="104"/>
      <c r="L41" s="105"/>
      <c r="M41" s="105"/>
      <c r="N41" s="105">
        <f>ROUND(D41*I41,2)</f>
        <v>0.28000000000000003</v>
      </c>
      <c r="O41" s="105">
        <f t="shared" si="2"/>
        <v>0.28000000000000003</v>
      </c>
      <c r="P41" s="245">
        <f>'Rider Rates'!$D$83</f>
        <v>45383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ht="13" x14ac:dyDescent="0.3">
      <c r="A42" s="99" t="s">
        <v>82</v>
      </c>
      <c r="B42" s="78"/>
      <c r="C42" s="78"/>
      <c r="D42" s="195">
        <f>$N$23</f>
        <v>9.4</v>
      </c>
      <c r="E42" s="101" t="s">
        <v>122</v>
      </c>
      <c r="F42" s="102" t="s">
        <v>8</v>
      </c>
      <c r="G42" s="114"/>
      <c r="H42" s="115"/>
      <c r="I42" s="120">
        <f>'Rider Rates'!$B$85</f>
        <v>6.6985699999999995E-2</v>
      </c>
      <c r="J42" s="120">
        <f t="shared" si="0"/>
        <v>6.6985699999999995E-2</v>
      </c>
      <c r="K42" s="104"/>
      <c r="L42" s="105"/>
      <c r="M42" s="105"/>
      <c r="N42" s="105">
        <f>ROUND(D42*I42,2)</f>
        <v>0.63</v>
      </c>
      <c r="O42" s="105">
        <f t="shared" si="2"/>
        <v>0.63</v>
      </c>
      <c r="P42" s="245">
        <f>'Rider Rates'!$D$85</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ht="13" x14ac:dyDescent="0.3">
      <c r="A43" s="210" t="s">
        <v>207</v>
      </c>
      <c r="B43" s="78"/>
      <c r="C43" s="78"/>
      <c r="D43" s="195"/>
      <c r="E43" s="113" t="s">
        <v>115</v>
      </c>
      <c r="F43" s="106"/>
      <c r="G43" s="114"/>
      <c r="H43" s="115"/>
      <c r="I43" s="196">
        <f>'Rider Rates'!$B$89</f>
        <v>11.97</v>
      </c>
      <c r="J43" s="196">
        <f t="shared" si="0"/>
        <v>11.97</v>
      </c>
      <c r="K43" s="104"/>
      <c r="L43" s="105"/>
      <c r="M43" s="105"/>
      <c r="N43" s="105">
        <f>I43</f>
        <v>11.97</v>
      </c>
      <c r="O43" s="105">
        <f t="shared" si="2"/>
        <v>11.97</v>
      </c>
      <c r="P43" s="245">
        <f>'Rider Rates'!$D$89</f>
        <v>45442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240</v>
      </c>
      <c r="B44" s="78"/>
      <c r="C44" s="78"/>
      <c r="D44" s="100">
        <f>IF($C$15&lt;0,0,$C$15)</f>
        <v>0</v>
      </c>
      <c r="E44" s="101" t="s">
        <v>41</v>
      </c>
      <c r="F44" s="102" t="s">
        <v>8</v>
      </c>
      <c r="G44" s="103"/>
      <c r="H44" s="103"/>
      <c r="I44" s="103"/>
      <c r="J44" s="103">
        <f>'Rider Rates'!$B$93</f>
        <v>0</v>
      </c>
      <c r="K44" s="104" t="s">
        <v>42</v>
      </c>
      <c r="L44" s="105"/>
      <c r="M44" s="105"/>
      <c r="N44" s="105"/>
      <c r="O44" s="105">
        <f>ROUND($D44*('Rider Rates'!B$93),2)</f>
        <v>0</v>
      </c>
      <c r="P44" s="245">
        <f>'Rider Rates'!$D$93</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ht="13" x14ac:dyDescent="0.3">
      <c r="A45" s="99" t="s">
        <v>157</v>
      </c>
      <c r="B45" s="78"/>
      <c r="C45" s="78"/>
      <c r="D45" s="195">
        <f>$N$23</f>
        <v>9.4</v>
      </c>
      <c r="E45" s="101" t="s">
        <v>122</v>
      </c>
      <c r="F45" s="102" t="s">
        <v>8</v>
      </c>
      <c r="G45" s="114"/>
      <c r="H45" s="115"/>
      <c r="I45" s="120">
        <f>'Rider Rates'!$B$103</f>
        <v>0.21398439999999999</v>
      </c>
      <c r="J45" s="120">
        <f t="shared" si="0"/>
        <v>0.21398439999999999</v>
      </c>
      <c r="K45" s="104"/>
      <c r="L45" s="105"/>
      <c r="M45" s="105"/>
      <c r="N45" s="105">
        <f>ROUND(D45*I45,2)</f>
        <v>2.0099999999999998</v>
      </c>
      <c r="O45" s="105">
        <f t="shared" si="2"/>
        <v>2.0099999999999998</v>
      </c>
      <c r="P45" s="245">
        <f>'Rider Rates'!$D$103</f>
        <v>45351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ht="13" x14ac:dyDescent="0.3">
      <c r="A46" s="210" t="s">
        <v>210</v>
      </c>
      <c r="B46" s="78"/>
      <c r="C46" s="78"/>
      <c r="D46" s="195"/>
      <c r="E46" s="113" t="s">
        <v>115</v>
      </c>
      <c r="F46" s="106"/>
      <c r="G46" s="114"/>
      <c r="H46" s="115"/>
      <c r="I46" s="196">
        <f>'Rider Rates'!$B$107</f>
        <v>0</v>
      </c>
      <c r="J46" s="196">
        <f t="shared" si="0"/>
        <v>0</v>
      </c>
      <c r="K46" s="104"/>
      <c r="L46" s="105"/>
      <c r="M46" s="105"/>
      <c r="N46" s="105">
        <f>I46</f>
        <v>0</v>
      </c>
      <c r="O46" s="105">
        <f t="shared" si="2"/>
        <v>0</v>
      </c>
      <c r="P46" s="245">
        <f>'Rider Rates'!$D$107</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ht="13" x14ac:dyDescent="0.3">
      <c r="A47" s="210" t="s">
        <v>218</v>
      </c>
      <c r="B47" s="78"/>
      <c r="C47" s="78"/>
      <c r="D47" s="195"/>
      <c r="E47" s="113" t="s">
        <v>115</v>
      </c>
      <c r="F47" s="106"/>
      <c r="G47" s="114"/>
      <c r="H47" s="115"/>
      <c r="I47" s="258">
        <f>'Rider Rates'!B120</f>
        <v>5.83</v>
      </c>
      <c r="J47" s="196">
        <f t="shared" si="0"/>
        <v>5.83</v>
      </c>
      <c r="K47" s="104"/>
      <c r="L47" s="105"/>
      <c r="M47" s="105"/>
      <c r="N47" s="260">
        <f>I47</f>
        <v>5.83</v>
      </c>
      <c r="O47" s="105">
        <f t="shared" si="2"/>
        <v>5.83</v>
      </c>
      <c r="P47" s="245">
        <f>'Rider Rates'!D120</f>
        <v>45226</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158</v>
      </c>
      <c r="B48" s="78"/>
      <c r="C48" s="78"/>
      <c r="D48" s="100">
        <f>'Customer Info'!$B$21+'Customer Info'!$B$22-'Customer Info'!$B$23</f>
        <v>0</v>
      </c>
      <c r="E48" s="101" t="s">
        <v>41</v>
      </c>
      <c r="F48" s="102" t="s">
        <v>8</v>
      </c>
      <c r="G48" s="103">
        <f>'Rider Rates'!$B$110</f>
        <v>3.8972999999999998E-3</v>
      </c>
      <c r="H48" s="103"/>
      <c r="I48" s="120"/>
      <c r="J48" s="237">
        <f>SUM(G48:H48)</f>
        <v>3.8972999999999998E-3</v>
      </c>
      <c r="K48" s="104" t="s">
        <v>42</v>
      </c>
      <c r="L48" s="105">
        <f>ROUND(D48*G48,2)</f>
        <v>0</v>
      </c>
      <c r="M48" s="105"/>
      <c r="N48" s="105"/>
      <c r="O48" s="105">
        <f t="shared" si="2"/>
        <v>0</v>
      </c>
      <c r="P48" s="245">
        <f>'Rider Rates'!$D$110</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209</v>
      </c>
      <c r="B49" s="78"/>
      <c r="C49" s="78"/>
      <c r="D49" s="100">
        <f>IF($C$15&lt;1,0,$C$15)</f>
        <v>0</v>
      </c>
      <c r="E49" s="101" t="s">
        <v>41</v>
      </c>
      <c r="F49" s="249" t="s">
        <v>8</v>
      </c>
      <c r="G49" s="165"/>
      <c r="H49" s="165"/>
      <c r="I49" s="251">
        <f>'Rider Rates'!B116</f>
        <v>-6.2E-4</v>
      </c>
      <c r="J49" s="251">
        <f>SUM(G49:I49)</f>
        <v>-6.2E-4</v>
      </c>
      <c r="K49" s="104" t="s">
        <v>42</v>
      </c>
      <c r="L49" s="105"/>
      <c r="M49" s="105"/>
      <c r="N49" s="105">
        <f>D49*J49</f>
        <v>0</v>
      </c>
      <c r="O49" s="105">
        <f>SUM(L49:N49)</f>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234</v>
      </c>
      <c r="B50" s="78"/>
      <c r="C50" s="78"/>
      <c r="D50" s="100">
        <f>IF(C15&lt;0,0,IF(C15&gt;833000,833000,C15))</f>
        <v>0</v>
      </c>
      <c r="E50" s="101" t="s">
        <v>41</v>
      </c>
      <c r="F50" s="102" t="s">
        <v>8</v>
      </c>
      <c r="G50" s="265"/>
      <c r="H50" s="265"/>
      <c r="I50" s="265">
        <f>'Rider Rates'!B124</f>
        <v>2.9050000000000001E-4</v>
      </c>
      <c r="J50" s="265">
        <f>SUM(G50:I50)</f>
        <v>2.9050000000000001E-4</v>
      </c>
      <c r="K50" s="104" t="s">
        <v>42</v>
      </c>
      <c r="L50" s="266"/>
      <c r="M50" s="266"/>
      <c r="N50" s="266">
        <f>IF(D50*J50&gt;'Rider Rates'!$C$124,'Rider Rates'!$C$124,D50*J50)</f>
        <v>0</v>
      </c>
      <c r="O50" s="266">
        <f>SUM(L50:N50)</f>
        <v>0</v>
      </c>
      <c r="P50" s="264">
        <f>'Rider Rates'!$E$124</f>
        <v>45292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235</v>
      </c>
      <c r="B51" s="78"/>
      <c r="C51" s="78"/>
      <c r="D51" s="123">
        <f>IF(C15&gt;833000,C15-833000,0)</f>
        <v>0</v>
      </c>
      <c r="E51" s="101" t="s">
        <v>41</v>
      </c>
      <c r="F51" s="102" t="s">
        <v>8</v>
      </c>
      <c r="G51" s="265"/>
      <c r="H51" s="265"/>
      <c r="I51" s="265">
        <f>'Rider Rates'!B125</f>
        <v>0</v>
      </c>
      <c r="J51" s="265">
        <f>SUM(G51:I51)</f>
        <v>0</v>
      </c>
      <c r="K51" s="104" t="s">
        <v>42</v>
      </c>
      <c r="L51" s="266"/>
      <c r="M51" s="266"/>
      <c r="N51" s="266">
        <f>D51*J51</f>
        <v>0</v>
      </c>
      <c r="O51" s="266">
        <f>SUM(L51:N51)</f>
        <v>0</v>
      </c>
      <c r="P51" s="264">
        <f>'Rider Rates'!$E$125</f>
        <v>44927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243</v>
      </c>
      <c r="B52" s="78"/>
      <c r="C52" s="78"/>
      <c r="D52" s="100">
        <f>C15</f>
        <v>0</v>
      </c>
      <c r="E52" s="101" t="s">
        <v>41</v>
      </c>
      <c r="F52" s="249" t="s">
        <v>8</v>
      </c>
      <c r="G52" s="103"/>
      <c r="H52" s="103"/>
      <c r="I52" s="103">
        <f>'Rider Rates'!$B$129</f>
        <v>0</v>
      </c>
      <c r="J52" s="237">
        <f>SUM(G52:I52)</f>
        <v>0</v>
      </c>
      <c r="K52" s="104" t="s">
        <v>42</v>
      </c>
      <c r="L52" s="105"/>
      <c r="M52" s="105"/>
      <c r="N52" s="105">
        <f>D52*J52</f>
        <v>0</v>
      </c>
      <c r="O52" s="105">
        <f>SUM(L52:N52)</f>
        <v>0</v>
      </c>
      <c r="P52" s="245">
        <f>'Rider Rates'!$D$129</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242</v>
      </c>
      <c r="B53" s="78"/>
      <c r="C53" s="78"/>
      <c r="D53" s="100"/>
      <c r="E53" s="101" t="s">
        <v>115</v>
      </c>
      <c r="F53" s="102" t="s">
        <v>8</v>
      </c>
      <c r="G53" s="263"/>
      <c r="H53" s="263"/>
      <c r="I53" s="263">
        <f>'Rider Rates'!$B$136</f>
        <v>0</v>
      </c>
      <c r="J53" s="263">
        <f>SUM(G53:I53)</f>
        <v>0</v>
      </c>
      <c r="K53" s="104"/>
      <c r="L53" s="209"/>
      <c r="M53" s="209"/>
      <c r="N53" s="209">
        <f>J53</f>
        <v>0</v>
      </c>
      <c r="O53" s="209">
        <f>SUM(L53:N53)</f>
        <v>0</v>
      </c>
      <c r="P53" s="264">
        <f>'Rider Rates'!D136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244</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ht="13" x14ac:dyDescent="0.3">
      <c r="A55" s="179" t="s">
        <v>71</v>
      </c>
      <c r="B55" s="148"/>
      <c r="C55" s="148"/>
      <c r="D55" s="180"/>
      <c r="E55" s="181"/>
      <c r="F55" s="182"/>
      <c r="G55" s="182"/>
      <c r="H55" s="182"/>
      <c r="I55" s="182"/>
      <c r="J55" s="182"/>
      <c r="K55" s="183"/>
      <c r="L55" s="169">
        <f>SUM(L27:L54)</f>
        <v>0</v>
      </c>
      <c r="M55" s="169">
        <f t="shared" ref="M55:O55" si="4">SUM(M27:M54)</f>
        <v>0</v>
      </c>
      <c r="N55" s="169">
        <f t="shared" si="4"/>
        <v>20.72</v>
      </c>
      <c r="O55" s="169">
        <f t="shared" si="4"/>
        <v>20.72</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ht="13" x14ac:dyDescent="0.3">
      <c r="A57" s="185" t="s">
        <v>94</v>
      </c>
      <c r="B57" s="170"/>
      <c r="C57" s="170"/>
      <c r="D57" s="170"/>
      <c r="E57" s="170"/>
      <c r="F57" s="170"/>
      <c r="G57" s="170"/>
      <c r="H57" s="170"/>
      <c r="I57" s="170"/>
      <c r="J57" s="170"/>
      <c r="K57" s="170"/>
      <c r="L57" s="186">
        <f>L23+L55</f>
        <v>0</v>
      </c>
      <c r="M57" s="186">
        <f>M23+M55</f>
        <v>0</v>
      </c>
      <c r="N57" s="186">
        <f>N23+N55</f>
        <v>30.119999999999997</v>
      </c>
      <c r="O57" s="187">
        <f>O23+O55</f>
        <v>30.119999999999997</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3" x14ac:dyDescent="0.3">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3" x14ac:dyDescent="0.3">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ht="13" x14ac:dyDescent="0.3">
      <c r="A60" s="166" t="s">
        <v>93</v>
      </c>
      <c r="B60" s="78"/>
      <c r="C60" s="78"/>
      <c r="D60" s="78"/>
      <c r="E60" s="78"/>
      <c r="F60" s="78"/>
      <c r="G60" s="78"/>
      <c r="H60" s="78"/>
      <c r="I60" s="78"/>
      <c r="J60" s="78"/>
      <c r="K60" s="78"/>
      <c r="L60" s="78"/>
      <c r="M60" s="78"/>
      <c r="N60" s="78"/>
      <c r="O60" s="109">
        <f>O21+O55</f>
        <v>30.119999999999997</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ht="13" x14ac:dyDescent="0.3">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3" x14ac:dyDescent="0.3">
      <c r="A62" s="148" t="s">
        <v>117</v>
      </c>
      <c r="B62" s="151"/>
      <c r="C62" s="151"/>
      <c r="D62" s="151"/>
      <c r="E62" s="151"/>
      <c r="F62" s="151"/>
      <c r="G62" s="151"/>
      <c r="H62" s="151"/>
      <c r="I62" s="151"/>
      <c r="J62" s="151"/>
      <c r="K62" s="151"/>
      <c r="L62" s="151"/>
      <c r="M62" s="151"/>
      <c r="N62" s="151"/>
      <c r="O62" s="190">
        <f>IF($D$17&lt;0,O57,IF(O57&gt;O60,O57,O60))</f>
        <v>30.119999999999997</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3">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ht="13" x14ac:dyDescent="0.3">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ht="13" x14ac:dyDescent="0.3">
      <c r="B65" s="78"/>
      <c r="C65" s="78"/>
      <c r="D65" s="78"/>
      <c r="E65" s="78"/>
      <c r="F65" s="78"/>
      <c r="G65" s="78"/>
      <c r="H65" s="192"/>
      <c r="I65" s="242" t="s">
        <v>191</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g0dS2z8qY7thR+47CsQC4d8DGgzng/eoo+2XbIQ30kKl7cGPfOysJVRM2AQqQZczCRo4sBQhXBvMK5IX8huCcA==" saltValue="lF3cjakd5t0SzCADN5hZfQ=="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57150</xdr:colOff>
                    <xdr:row>0</xdr:row>
                    <xdr:rowOff>38100</xdr:rowOff>
                  </from>
                  <to>
                    <xdr:col>0</xdr:col>
                    <xdr:colOff>571500</xdr:colOff>
                    <xdr:row>0</xdr:row>
                    <xdr:rowOff>247650</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285750</xdr:colOff>
                    <xdr:row>72</xdr:row>
                    <xdr:rowOff>76200</xdr:rowOff>
                  </from>
                  <to>
                    <xdr:col>15</xdr:col>
                    <xdr:colOff>812800</xdr:colOff>
                    <xdr:row>73</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69850</xdr:colOff>
                    <xdr:row>0</xdr:row>
                    <xdr:rowOff>76200</xdr:rowOff>
                  </from>
                  <to>
                    <xdr:col>0</xdr:col>
                    <xdr:colOff>584200</xdr:colOff>
                    <xdr:row>1</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Props1.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4.xml><?xml version="1.0" encoding="utf-8"?>
<ds:datastoreItem xmlns:ds="http://schemas.openxmlformats.org/officeDocument/2006/customXml" ds:itemID="{FC531226-C8A9-4EDC-8184-EC97A3BB7547}">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25</vt:i4>
      </vt:variant>
    </vt:vector>
  </HeadingPairs>
  <TitlesOfParts>
    <vt:vector size="59"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RR Open Access</vt:lpstr>
      <vt:lpstr>RSDM Open</vt:lpstr>
      <vt:lpstr>RS PEV OPEN</vt:lpstr>
      <vt:lpstr>GS-1 Open</vt:lpstr>
      <vt:lpstr>GS-PEV OAD</vt:lpstr>
      <vt:lpstr>GS SEC OAD</vt:lpstr>
      <vt:lpstr>GS PRI OAD</vt:lpstr>
      <vt:lpstr>GS TRANS - OAD</vt:lpstr>
      <vt:lpstr>Bus PEV Sec OAD</vt:lpstr>
      <vt:lpstr>Bus PEV - Primary OAD</vt:lpstr>
      <vt:lpstr>Bus PEV Trans OAD</vt:lpstr>
      <vt:lpstr>Rider Rates</vt:lpstr>
      <vt:lpstr>Sheet1</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Curtis</cp:lastModifiedBy>
  <cp:lastPrinted>2017-06-23T13:54:30Z</cp:lastPrinted>
  <dcterms:created xsi:type="dcterms:W3CDTF">2000-11-03T19:24:31Z</dcterms:created>
  <dcterms:modified xsi:type="dcterms:W3CDTF">2024-07-03T15:49:30Z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ad6b27f4-fd8d-4df5-9d08-85ebcc148472</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