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Z:\internal\RP&amp;A\Rate Changes &amp; Tariff Book Files\Rate Change\Rate Calc\2025\"/>
    </mc:Choice>
  </mc:AlternateContent>
  <xr:revisionPtr revIDLastSave="0" documentId="13_ncr:1_{9A1198D9-9B5B-413F-9A5E-7F051C6C8EA6}" xr6:coauthVersionLast="47" xr6:coauthVersionMax="47" xr10:uidLastSave="{00000000-0000-0000-0000-000000000000}"/>
  <bookViews>
    <workbookView xWindow="-108" yWindow="-108" windowWidth="23256" windowHeight="12456"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RR Open Access" sheetId="22" r:id="rId22"/>
    <sheet name="RS PEV  OAD" sheetId="23" r:id="rId23"/>
    <sheet name="RSDM Open" sheetId="24" r:id="rId24"/>
    <sheet name="GS-1 Open" sheetId="25" r:id="rId25"/>
    <sheet name="GS-PEV Pilot OAD" sheetId="26" r:id="rId26"/>
    <sheet name="GS SEC OAD" sheetId="27" r:id="rId27"/>
    <sheet name="GS PRI OAD" sheetId="28" r:id="rId28"/>
    <sheet name="GS TRANS - OAD" sheetId="29" r:id="rId29"/>
    <sheet name="Bus PEV - Sec OAD" sheetId="30" r:id="rId30"/>
    <sheet name="Bus PEV - Primary OAD" sheetId="31" r:id="rId31"/>
    <sheet name="Bus PEV - Trans OAD" sheetId="32" r:id="rId32"/>
    <sheet name="Rider Rates" sheetId="33" r:id="rId33"/>
  </sheets>
  <definedNames>
    <definedName name="_xlnm.Print_Area" localSheetId="0">'Customer Info'!$A$1:$F$38</definedName>
    <definedName name="_xlnm.Print_Area" localSheetId="14">'GS FAIR - PRI'!$A$1:$P$72</definedName>
    <definedName name="_xlnm.Print_Area" localSheetId="13">'GS FAIR - SEC'!$A$1:$P$72</definedName>
    <definedName name="_xlnm.Print_Area" localSheetId="19">'GS PRI'!$A$1:$P$79</definedName>
    <definedName name="_xlnm.Print_Area" localSheetId="27">'GS PRI OAD'!$A$1:$P$73</definedName>
    <definedName name="_xlnm.Print_Area" localSheetId="18">'GS SEC'!$A$1:$P$79</definedName>
    <definedName name="_xlnm.Print_Area" localSheetId="26">'GS SEC OAD'!$A$1:$P$73</definedName>
    <definedName name="_xlnm.Print_Area" localSheetId="11">'GS TOD Bundled'!$A$1:$P$64</definedName>
    <definedName name="_xlnm.Print_Area" localSheetId="20">'GS TRANS'!$A$1:$P$78</definedName>
    <definedName name="_xlnm.Print_Area" localSheetId="28">'GS TRANS - OAD'!$A$1:$P$72</definedName>
    <definedName name="_xlnm.Print_Area" localSheetId="9">'GS-1 Bundled'!$A$1:$P$65</definedName>
    <definedName name="_xlnm.Print_Area" localSheetId="24">'GS-1 Open'!$A$1:$P$61</definedName>
    <definedName name="_xlnm.Print_Area" localSheetId="25">'GS-PEV Pilot OAD'!$A$1:$P$66</definedName>
    <definedName name="_xlnm.Print_Area" localSheetId="12">'GS-Pilot PEV'!$A$1:$P$66</definedName>
    <definedName name="_xlnm.Print_Area" localSheetId="10">'GS-TOU Bundled'!$A$1:$P$66</definedName>
    <definedName name="_xlnm.Print_Area" localSheetId="1">'Rider Def'!$A$1:$A$36</definedName>
    <definedName name="_xlnm.Print_Area" localSheetId="32">'Rider Rates'!$A$1:$G$144</definedName>
    <definedName name="_xlnm.Print_Area" localSheetId="3">'RLM Bundled'!$A$1:$P$62</definedName>
    <definedName name="_xlnm.Print_Area" localSheetId="2">'RR Bundled'!$A$1:$P$68</definedName>
    <definedName name="_xlnm.Print_Area" localSheetId="21">'RR Open Access'!$A$1:$P$64</definedName>
    <definedName name="_xlnm.Print_Area" localSheetId="8">'RR Pilot PEV'!$A$1:$P$69</definedName>
    <definedName name="_xlnm.Print_Area" localSheetId="6">'RS PEV '!$A$1:$P$68</definedName>
    <definedName name="_xlnm.Print_Area" localSheetId="22">'RS PEV  OAD'!$A$1:$P$68</definedName>
    <definedName name="_xlnm.Print_Area" localSheetId="7">'RS TOD Bundled'!$A$1:$P$63</definedName>
    <definedName name="_xlnm.Print_Area" localSheetId="5">'RS TOU Bundled'!$A$1:$P$69</definedName>
    <definedName name="_xlnm.Print_Area" localSheetId="4">'RSDM Bundled'!$A$1:$P$61</definedName>
    <definedName name="_xlnm.Print_Area" localSheetId="23">'RSDM Open'!$A$1:$P$57</definedName>
    <definedName name="_xlnm.Print_Titles" localSheetId="32">'Rider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33" l="1"/>
  <c r="D52" i="33"/>
  <c r="P54" i="32"/>
  <c r="J54" i="32"/>
  <c r="N54" i="32" s="1"/>
  <c r="O54" i="32" s="1"/>
  <c r="I54" i="32"/>
  <c r="P53" i="32"/>
  <c r="J53" i="32"/>
  <c r="I53" i="32"/>
  <c r="P52" i="32"/>
  <c r="J52" i="32"/>
  <c r="I52" i="32"/>
  <c r="P51" i="32"/>
  <c r="I51" i="32"/>
  <c r="J51" i="32" s="1"/>
  <c r="P50" i="32"/>
  <c r="I50" i="32"/>
  <c r="J50" i="32" s="1"/>
  <c r="P49" i="32"/>
  <c r="L49" i="32"/>
  <c r="O49" i="32" s="1"/>
  <c r="J49" i="32"/>
  <c r="D49" i="32"/>
  <c r="P48" i="32"/>
  <c r="I48" i="32"/>
  <c r="N48" i="32" s="1"/>
  <c r="O48" i="32" s="1"/>
  <c r="P47" i="32"/>
  <c r="N47" i="32"/>
  <c r="O47" i="32" s="1"/>
  <c r="J47" i="32"/>
  <c r="I47" i="32"/>
  <c r="P46" i="32"/>
  <c r="J46" i="32"/>
  <c r="I46" i="32"/>
  <c r="P45" i="32"/>
  <c r="J45" i="32"/>
  <c r="P44" i="32"/>
  <c r="O44" i="32"/>
  <c r="N44" i="32"/>
  <c r="J44" i="32"/>
  <c r="I44" i="32"/>
  <c r="P43" i="32"/>
  <c r="I43" i="32"/>
  <c r="J43" i="32" s="1"/>
  <c r="P42" i="32"/>
  <c r="J42" i="32"/>
  <c r="I42" i="32"/>
  <c r="I41" i="32"/>
  <c r="J41" i="32" s="1"/>
  <c r="N41" i="32" s="1"/>
  <c r="O41" i="32" s="1"/>
  <c r="P40" i="32"/>
  <c r="J40" i="32"/>
  <c r="I40" i="32"/>
  <c r="P39" i="32"/>
  <c r="H39" i="32"/>
  <c r="J39" i="32" s="1"/>
  <c r="P38" i="32"/>
  <c r="J38" i="32"/>
  <c r="I38" i="32"/>
  <c r="P37" i="32"/>
  <c r="J37" i="32"/>
  <c r="D37" i="32"/>
  <c r="L37" i="32" s="1"/>
  <c r="O37" i="32" s="1"/>
  <c r="P36" i="32"/>
  <c r="O36" i="32"/>
  <c r="L36" i="32"/>
  <c r="J36" i="32"/>
  <c r="D36" i="32"/>
  <c r="P35" i="32"/>
  <c r="O35" i="32"/>
  <c r="L35" i="32"/>
  <c r="J35" i="32"/>
  <c r="D35" i="32"/>
  <c r="P34" i="32"/>
  <c r="J34" i="32"/>
  <c r="P33" i="32"/>
  <c r="I33" i="32"/>
  <c r="J33" i="32" s="1"/>
  <c r="P32" i="32"/>
  <c r="I32" i="32"/>
  <c r="J32" i="32" s="1"/>
  <c r="P31" i="32"/>
  <c r="I31" i="32"/>
  <c r="J31" i="32" s="1"/>
  <c r="P30" i="32"/>
  <c r="I30" i="32"/>
  <c r="J30" i="32" s="1"/>
  <c r="P29" i="32"/>
  <c r="J29" i="32"/>
  <c r="I29" i="32"/>
  <c r="P28" i="32"/>
  <c r="I28" i="32"/>
  <c r="J28" i="32" s="1"/>
  <c r="P27" i="32"/>
  <c r="I27" i="32"/>
  <c r="J27" i="32" s="1"/>
  <c r="P22" i="32"/>
  <c r="I22" i="32"/>
  <c r="J22" i="32" s="1"/>
  <c r="D22" i="32"/>
  <c r="N21" i="32"/>
  <c r="J21" i="32"/>
  <c r="I21" i="32"/>
  <c r="C17" i="32"/>
  <c r="C16" i="32"/>
  <c r="C15" i="32"/>
  <c r="AD13" i="32"/>
  <c r="AC13" i="32"/>
  <c r="AB13" i="32"/>
  <c r="AA13" i="32"/>
  <c r="Z13" i="32"/>
  <c r="Y13" i="32"/>
  <c r="X13" i="32"/>
  <c r="W13" i="32"/>
  <c r="V13" i="32"/>
  <c r="U13" i="32"/>
  <c r="T13" i="32"/>
  <c r="S13" i="32"/>
  <c r="D11" i="32"/>
  <c r="B11" i="32"/>
  <c r="C11" i="32" s="1"/>
  <c r="C10" i="32"/>
  <c r="C9" i="32"/>
  <c r="A6" i="32"/>
  <c r="A4" i="32"/>
  <c r="O66" i="31"/>
  <c r="P54" i="31"/>
  <c r="I54" i="31"/>
  <c r="J54" i="31" s="1"/>
  <c r="N54" i="31" s="1"/>
  <c r="O54" i="31" s="1"/>
  <c r="P53" i="31"/>
  <c r="O53" i="31"/>
  <c r="I53" i="31"/>
  <c r="J53" i="31" s="1"/>
  <c r="D53" i="31"/>
  <c r="N53" i="31" s="1"/>
  <c r="P52" i="31"/>
  <c r="J52" i="31"/>
  <c r="I52" i="31"/>
  <c r="D52" i="31"/>
  <c r="N52" i="31" s="1"/>
  <c r="O52" i="31" s="1"/>
  <c r="P51" i="31"/>
  <c r="N51" i="31"/>
  <c r="O51" i="31" s="1"/>
  <c r="J51" i="31"/>
  <c r="I51" i="31"/>
  <c r="D51" i="31"/>
  <c r="P50" i="31"/>
  <c r="J50" i="31"/>
  <c r="I50" i="31"/>
  <c r="D50" i="31"/>
  <c r="N50" i="31" s="1"/>
  <c r="O50" i="31" s="1"/>
  <c r="P49" i="31"/>
  <c r="J49" i="31"/>
  <c r="D49" i="31"/>
  <c r="L49" i="31" s="1"/>
  <c r="O49" i="31" s="1"/>
  <c r="P48" i="31"/>
  <c r="O48" i="31"/>
  <c r="N48" i="31"/>
  <c r="J48" i="31"/>
  <c r="I48" i="31"/>
  <c r="P47" i="31"/>
  <c r="J47" i="31"/>
  <c r="I47" i="31"/>
  <c r="N47" i="31" s="1"/>
  <c r="O47" i="31" s="1"/>
  <c r="P46" i="31"/>
  <c r="I46" i="31"/>
  <c r="J46" i="31" s="1"/>
  <c r="P45" i="31"/>
  <c r="J45" i="31"/>
  <c r="D45" i="31"/>
  <c r="O45" i="31" s="1"/>
  <c r="P44" i="31"/>
  <c r="I44" i="31"/>
  <c r="N44" i="31" s="1"/>
  <c r="O44" i="31" s="1"/>
  <c r="P43" i="31"/>
  <c r="J43" i="31"/>
  <c r="I43" i="31"/>
  <c r="P42" i="31"/>
  <c r="J42" i="31"/>
  <c r="I42" i="31"/>
  <c r="N41" i="31"/>
  <c r="O41" i="31" s="1"/>
  <c r="J41" i="31"/>
  <c r="I41" i="31"/>
  <c r="P40" i="31"/>
  <c r="I40" i="31"/>
  <c r="J40" i="31" s="1"/>
  <c r="D40" i="31"/>
  <c r="N40" i="31" s="1"/>
  <c r="O40" i="31" s="1"/>
  <c r="P39" i="31"/>
  <c r="J39" i="31"/>
  <c r="H39" i="31"/>
  <c r="P38" i="31"/>
  <c r="I38" i="31"/>
  <c r="J38" i="31" s="1"/>
  <c r="D38" i="31"/>
  <c r="N38" i="31" s="1"/>
  <c r="O38" i="31" s="1"/>
  <c r="P37" i="31"/>
  <c r="L37" i="31"/>
  <c r="O37" i="31" s="1"/>
  <c r="J37" i="31"/>
  <c r="P36" i="31"/>
  <c r="J36" i="31"/>
  <c r="D36" i="31"/>
  <c r="L36" i="31" s="1"/>
  <c r="O36" i="31" s="1"/>
  <c r="P35" i="31"/>
  <c r="J35" i="31"/>
  <c r="D35" i="31"/>
  <c r="L35" i="31" s="1"/>
  <c r="O35" i="31" s="1"/>
  <c r="P34" i="31"/>
  <c r="J34" i="31"/>
  <c r="D34" i="31"/>
  <c r="L34" i="31" s="1"/>
  <c r="O34" i="31" s="1"/>
  <c r="P33" i="31"/>
  <c r="J33" i="31"/>
  <c r="I33" i="31"/>
  <c r="P32" i="31"/>
  <c r="J32" i="31"/>
  <c r="I32" i="31"/>
  <c r="D32" i="31"/>
  <c r="N32" i="31" s="1"/>
  <c r="O32" i="31" s="1"/>
  <c r="P31" i="31"/>
  <c r="I31" i="31"/>
  <c r="N31" i="31" s="1"/>
  <c r="O31" i="31" s="1"/>
  <c r="D31" i="31"/>
  <c r="P30" i="31"/>
  <c r="J30" i="31"/>
  <c r="I30" i="31"/>
  <c r="D30" i="31"/>
  <c r="N30" i="31" s="1"/>
  <c r="O30" i="31" s="1"/>
  <c r="P29" i="31"/>
  <c r="I29" i="31"/>
  <c r="J29" i="31" s="1"/>
  <c r="D29" i="31"/>
  <c r="N29" i="31" s="1"/>
  <c r="O29" i="31" s="1"/>
  <c r="P28" i="31"/>
  <c r="J28" i="31"/>
  <c r="I28" i="31"/>
  <c r="D28" i="31"/>
  <c r="N28" i="31" s="1"/>
  <c r="O28" i="31" s="1"/>
  <c r="P27" i="31"/>
  <c r="J27" i="31"/>
  <c r="I27" i="31"/>
  <c r="D27" i="31"/>
  <c r="N27" i="31" s="1"/>
  <c r="P22" i="31"/>
  <c r="J22" i="31"/>
  <c r="I22" i="31"/>
  <c r="D22" i="31"/>
  <c r="I21" i="31"/>
  <c r="C17" i="31"/>
  <c r="C16" i="31"/>
  <c r="D37" i="31" s="1"/>
  <c r="C15" i="31"/>
  <c r="O65" i="31" s="1"/>
  <c r="AD13" i="31"/>
  <c r="AC13" i="31"/>
  <c r="AB13" i="31"/>
  <c r="AA13" i="31"/>
  <c r="Z13" i="31"/>
  <c r="Y13" i="31"/>
  <c r="X13" i="31"/>
  <c r="W13" i="31"/>
  <c r="V13" i="31"/>
  <c r="U13" i="31"/>
  <c r="T13" i="31"/>
  <c r="S13" i="31"/>
  <c r="D11" i="31"/>
  <c r="B11" i="31"/>
  <c r="C11" i="31" s="1"/>
  <c r="C10" i="31"/>
  <c r="C9" i="31"/>
  <c r="A6" i="31"/>
  <c r="A4" i="31"/>
  <c r="O66" i="30"/>
  <c r="O65" i="30"/>
  <c r="L58" i="30"/>
  <c r="P54" i="30"/>
  <c r="O54" i="30"/>
  <c r="N54" i="30"/>
  <c r="J54" i="30"/>
  <c r="I54" i="30"/>
  <c r="P53" i="30"/>
  <c r="I53" i="30"/>
  <c r="J53" i="30" s="1"/>
  <c r="P52" i="30"/>
  <c r="I52" i="30"/>
  <c r="J52" i="30" s="1"/>
  <c r="P51" i="30"/>
  <c r="N51" i="30"/>
  <c r="O51" i="30" s="1"/>
  <c r="J51" i="30"/>
  <c r="I51" i="30"/>
  <c r="D51" i="30"/>
  <c r="P50" i="30"/>
  <c r="I50" i="30"/>
  <c r="J50" i="30" s="1"/>
  <c r="P49" i="30"/>
  <c r="L49" i="30"/>
  <c r="O49" i="30" s="1"/>
  <c r="J49" i="30"/>
  <c r="D49" i="30"/>
  <c r="P48" i="30"/>
  <c r="N48" i="30"/>
  <c r="O48" i="30" s="1"/>
  <c r="J48" i="30"/>
  <c r="I48" i="30"/>
  <c r="P47" i="30"/>
  <c r="I47" i="30"/>
  <c r="P46" i="30"/>
  <c r="I46" i="30"/>
  <c r="J46" i="30" s="1"/>
  <c r="P45" i="30"/>
  <c r="J45" i="30"/>
  <c r="P44" i="30"/>
  <c r="N44" i="30"/>
  <c r="O44" i="30" s="1"/>
  <c r="I44" i="30"/>
  <c r="J44" i="30" s="1"/>
  <c r="P43" i="30"/>
  <c r="J43" i="30"/>
  <c r="I43" i="30"/>
  <c r="P42" i="30"/>
  <c r="I42" i="30"/>
  <c r="J42" i="30" s="1"/>
  <c r="I41" i="30"/>
  <c r="J41" i="30" s="1"/>
  <c r="N41" i="30" s="1"/>
  <c r="O41" i="30" s="1"/>
  <c r="P40" i="30"/>
  <c r="I40" i="30"/>
  <c r="J40" i="30" s="1"/>
  <c r="P39" i="30"/>
  <c r="H39" i="30"/>
  <c r="J39" i="30" s="1"/>
  <c r="D39" i="30"/>
  <c r="P38" i="30"/>
  <c r="I38" i="30"/>
  <c r="J38" i="30" s="1"/>
  <c r="D38" i="30"/>
  <c r="P37" i="30"/>
  <c r="J37" i="30"/>
  <c r="D37" i="30"/>
  <c r="L37" i="30" s="1"/>
  <c r="O37" i="30" s="1"/>
  <c r="P36" i="30"/>
  <c r="J36" i="30"/>
  <c r="P35" i="30"/>
  <c r="L35" i="30"/>
  <c r="L56" i="30" s="1"/>
  <c r="J35" i="30"/>
  <c r="D35" i="30"/>
  <c r="P34" i="30"/>
  <c r="L34" i="30"/>
  <c r="O34" i="30" s="1"/>
  <c r="J34" i="30"/>
  <c r="D34" i="30"/>
  <c r="P33" i="30"/>
  <c r="I33" i="30"/>
  <c r="J33" i="30" s="1"/>
  <c r="P32" i="30"/>
  <c r="I32" i="30"/>
  <c r="J32" i="30" s="1"/>
  <c r="P31" i="30"/>
  <c r="I31" i="30"/>
  <c r="J31" i="30" s="1"/>
  <c r="D31" i="30"/>
  <c r="N31" i="30" s="1"/>
  <c r="O31" i="30" s="1"/>
  <c r="P30" i="30"/>
  <c r="J30" i="30"/>
  <c r="I30" i="30"/>
  <c r="P29" i="30"/>
  <c r="J29" i="30"/>
  <c r="I29" i="30"/>
  <c r="P28" i="30"/>
  <c r="I28" i="30"/>
  <c r="J28" i="30" s="1"/>
  <c r="P27" i="30"/>
  <c r="I27" i="30"/>
  <c r="J27" i="30" s="1"/>
  <c r="D27" i="30"/>
  <c r="P22" i="30"/>
  <c r="J22" i="30"/>
  <c r="I22" i="30"/>
  <c r="I21" i="30"/>
  <c r="C17" i="30"/>
  <c r="D36" i="30" s="1"/>
  <c r="L36" i="30" s="1"/>
  <c r="O36" i="30" s="1"/>
  <c r="C16" i="30"/>
  <c r="C15" i="30"/>
  <c r="D40" i="30" s="1"/>
  <c r="N40" i="30" s="1"/>
  <c r="O40" i="30" s="1"/>
  <c r="AD13" i="30"/>
  <c r="AC13" i="30"/>
  <c r="AB13" i="30"/>
  <c r="AA13" i="30"/>
  <c r="Z13" i="30"/>
  <c r="Y13" i="30"/>
  <c r="X13" i="30"/>
  <c r="W13" i="30"/>
  <c r="V13" i="30"/>
  <c r="U13" i="30"/>
  <c r="T13" i="30"/>
  <c r="S13" i="30"/>
  <c r="D11" i="30"/>
  <c r="C11" i="30"/>
  <c r="B11" i="30"/>
  <c r="C10" i="30"/>
  <c r="C9" i="30"/>
  <c r="A6" i="30"/>
  <c r="A4" i="30"/>
  <c r="D67" i="29"/>
  <c r="O65" i="29"/>
  <c r="L56" i="29"/>
  <c r="L58" i="29" s="1"/>
  <c r="P54" i="29"/>
  <c r="I54" i="29"/>
  <c r="J54" i="29" s="1"/>
  <c r="N54" i="29" s="1"/>
  <c r="O54" i="29" s="1"/>
  <c r="P53" i="29"/>
  <c r="I53" i="29"/>
  <c r="J53" i="29" s="1"/>
  <c r="P52" i="29"/>
  <c r="I52" i="29"/>
  <c r="J52" i="29" s="1"/>
  <c r="D52" i="29"/>
  <c r="P51" i="29"/>
  <c r="I51" i="29"/>
  <c r="J51" i="29" s="1"/>
  <c r="D51" i="29"/>
  <c r="N51" i="29" s="1"/>
  <c r="O51" i="29" s="1"/>
  <c r="P50" i="29"/>
  <c r="J50" i="29"/>
  <c r="I50" i="29"/>
  <c r="D50" i="29"/>
  <c r="N50" i="29" s="1"/>
  <c r="O50" i="29" s="1"/>
  <c r="P49" i="29"/>
  <c r="I49" i="29"/>
  <c r="P48" i="29"/>
  <c r="N48" i="29"/>
  <c r="O48" i="29" s="1"/>
  <c r="J48" i="29"/>
  <c r="I48" i="29"/>
  <c r="P47" i="29"/>
  <c r="J47" i="29"/>
  <c r="I47" i="29"/>
  <c r="P46" i="29"/>
  <c r="I46" i="29"/>
  <c r="P45" i="29"/>
  <c r="J45" i="29"/>
  <c r="I45" i="29"/>
  <c r="P44" i="29"/>
  <c r="J44" i="29"/>
  <c r="I44" i="29"/>
  <c r="I43" i="29"/>
  <c r="J43" i="29" s="1"/>
  <c r="P42" i="29"/>
  <c r="I42" i="29"/>
  <c r="J42" i="29" s="1"/>
  <c r="D42" i="29"/>
  <c r="N42" i="29" s="1"/>
  <c r="O42" i="29" s="1"/>
  <c r="P41" i="29"/>
  <c r="J41" i="29"/>
  <c r="H41" i="29"/>
  <c r="P40" i="29"/>
  <c r="J40" i="29"/>
  <c r="H40" i="29"/>
  <c r="P39" i="29"/>
  <c r="J39" i="29"/>
  <c r="I39" i="29"/>
  <c r="P38" i="29"/>
  <c r="I38" i="29"/>
  <c r="J38" i="29" s="1"/>
  <c r="P37" i="29"/>
  <c r="I37" i="29"/>
  <c r="J37" i="29" s="1"/>
  <c r="P36" i="29"/>
  <c r="J36" i="29"/>
  <c r="I36" i="29"/>
  <c r="P35" i="29"/>
  <c r="I35" i="29"/>
  <c r="J35" i="29" s="1"/>
  <c r="P34" i="29"/>
  <c r="J34" i="29"/>
  <c r="I34" i="29"/>
  <c r="D34" i="29"/>
  <c r="N34" i="29" s="1"/>
  <c r="O34" i="29" s="1"/>
  <c r="P33" i="29"/>
  <c r="I33" i="29"/>
  <c r="J33" i="29" s="1"/>
  <c r="J28" i="29"/>
  <c r="J27" i="29"/>
  <c r="C17" i="29"/>
  <c r="C16" i="29"/>
  <c r="I15" i="29"/>
  <c r="C15" i="29"/>
  <c r="C14" i="29"/>
  <c r="AD12" i="29"/>
  <c r="AC12" i="29"/>
  <c r="AB12" i="29"/>
  <c r="AA12" i="29"/>
  <c r="Z12" i="29"/>
  <c r="Y12" i="29"/>
  <c r="X12" i="29"/>
  <c r="W12" i="29"/>
  <c r="V12" i="29"/>
  <c r="U12" i="29"/>
  <c r="T12" i="29"/>
  <c r="S12" i="29"/>
  <c r="D10" i="29"/>
  <c r="C10" i="29"/>
  <c r="B10" i="29"/>
  <c r="C9" i="29"/>
  <c r="C8" i="29"/>
  <c r="A6" i="29"/>
  <c r="A4" i="29"/>
  <c r="D68" i="28"/>
  <c r="O66" i="28"/>
  <c r="L57" i="28"/>
  <c r="L59" i="28" s="1"/>
  <c r="P55" i="28"/>
  <c r="I55" i="28"/>
  <c r="J55" i="28" s="1"/>
  <c r="N55" i="28" s="1"/>
  <c r="O55" i="28" s="1"/>
  <c r="P54" i="28"/>
  <c r="I54" i="28"/>
  <c r="J54" i="28" s="1"/>
  <c r="P53" i="28"/>
  <c r="I53" i="28"/>
  <c r="J53" i="28" s="1"/>
  <c r="D53" i="28"/>
  <c r="N53" i="28" s="1"/>
  <c r="O53" i="28" s="1"/>
  <c r="P52" i="28"/>
  <c r="N52" i="28"/>
  <c r="O52" i="28" s="1"/>
  <c r="J52" i="28"/>
  <c r="I52" i="28"/>
  <c r="D52" i="28"/>
  <c r="P51" i="28"/>
  <c r="I51" i="28"/>
  <c r="J51" i="28" s="1"/>
  <c r="D51" i="28"/>
  <c r="N51" i="28" s="1"/>
  <c r="O51" i="28" s="1"/>
  <c r="P50" i="28"/>
  <c r="I50" i="28"/>
  <c r="J50" i="28" s="1"/>
  <c r="P49" i="28"/>
  <c r="N49" i="28"/>
  <c r="O49" i="28" s="1"/>
  <c r="J49" i="28"/>
  <c r="I49" i="28"/>
  <c r="P48" i="28"/>
  <c r="I48" i="28"/>
  <c r="J48" i="28" s="1"/>
  <c r="P47" i="28"/>
  <c r="O47" i="28"/>
  <c r="N47" i="28"/>
  <c r="J47" i="28"/>
  <c r="I47" i="28"/>
  <c r="P46" i="28"/>
  <c r="I46" i="28"/>
  <c r="J46" i="28" s="1"/>
  <c r="P45" i="28"/>
  <c r="J45" i="28"/>
  <c r="I45" i="28"/>
  <c r="P44" i="28"/>
  <c r="I44" i="28"/>
  <c r="J44" i="28" s="1"/>
  <c r="P43" i="28"/>
  <c r="I43" i="28"/>
  <c r="J43" i="28" s="1"/>
  <c r="P42" i="28"/>
  <c r="H42" i="28"/>
  <c r="J42" i="28" s="1"/>
  <c r="P41" i="28"/>
  <c r="H41" i="28"/>
  <c r="J41" i="28" s="1"/>
  <c r="P40" i="28"/>
  <c r="I40" i="28"/>
  <c r="J40" i="28" s="1"/>
  <c r="D40" i="28"/>
  <c r="P39" i="28"/>
  <c r="J39" i="28"/>
  <c r="I39" i="28"/>
  <c r="P38" i="28"/>
  <c r="I38" i="28"/>
  <c r="J38" i="28" s="1"/>
  <c r="P37" i="28"/>
  <c r="I37" i="28"/>
  <c r="J37" i="28" s="1"/>
  <c r="P36" i="28"/>
  <c r="N36" i="28"/>
  <c r="O36" i="28" s="1"/>
  <c r="J36" i="28"/>
  <c r="I36" i="28"/>
  <c r="D36" i="28"/>
  <c r="P35" i="28"/>
  <c r="I35" i="28"/>
  <c r="J35" i="28" s="1"/>
  <c r="P34" i="28"/>
  <c r="I34" i="28"/>
  <c r="J34" i="28" s="1"/>
  <c r="D34" i="28"/>
  <c r="N34" i="28" s="1"/>
  <c r="O34" i="28" s="1"/>
  <c r="J29" i="28"/>
  <c r="J28" i="28"/>
  <c r="O26" i="28"/>
  <c r="N26" i="28"/>
  <c r="J26" i="28"/>
  <c r="C20" i="28"/>
  <c r="D16" i="28" s="1"/>
  <c r="D19" i="28"/>
  <c r="D18" i="28"/>
  <c r="D29" i="28" s="1"/>
  <c r="N29" i="28" s="1"/>
  <c r="O29" i="28" s="1"/>
  <c r="C18" i="28"/>
  <c r="C17" i="28"/>
  <c r="D17" i="28" s="1"/>
  <c r="C16" i="28"/>
  <c r="C15" i="28"/>
  <c r="C14" i="28"/>
  <c r="AD12" i="28"/>
  <c r="AC12" i="28"/>
  <c r="AB12" i="28"/>
  <c r="AA12" i="28"/>
  <c r="Z12" i="28"/>
  <c r="Y12" i="28"/>
  <c r="X12" i="28"/>
  <c r="W12" i="28"/>
  <c r="V12" i="28"/>
  <c r="U12" i="28"/>
  <c r="T12" i="28"/>
  <c r="S12" i="28"/>
  <c r="D10" i="28"/>
  <c r="C10" i="28"/>
  <c r="B10" i="28"/>
  <c r="C9" i="28"/>
  <c r="C8" i="28"/>
  <c r="A6" i="28"/>
  <c r="A4" i="28"/>
  <c r="D68" i="27"/>
  <c r="O65" i="27"/>
  <c r="L57" i="27"/>
  <c r="L59" i="27" s="1"/>
  <c r="P55" i="27"/>
  <c r="O55" i="27"/>
  <c r="N55" i="27"/>
  <c r="I55" i="27"/>
  <c r="J55" i="27" s="1"/>
  <c r="P54" i="27"/>
  <c r="I54" i="27"/>
  <c r="J54" i="27" s="1"/>
  <c r="P53" i="27"/>
  <c r="I53" i="27"/>
  <c r="J53" i="27" s="1"/>
  <c r="N53" i="27" s="1"/>
  <c r="O53" i="27" s="1"/>
  <c r="D53" i="27"/>
  <c r="P52" i="27"/>
  <c r="I52" i="27"/>
  <c r="J52" i="27" s="1"/>
  <c r="P51" i="27"/>
  <c r="O51" i="27"/>
  <c r="N51" i="27"/>
  <c r="I51" i="27"/>
  <c r="J51" i="27" s="1"/>
  <c r="D51" i="27"/>
  <c r="P50" i="27"/>
  <c r="I50" i="27"/>
  <c r="P49" i="27"/>
  <c r="O49" i="27"/>
  <c r="J49" i="27"/>
  <c r="I49" i="27"/>
  <c r="N49" i="27" s="1"/>
  <c r="P48" i="27"/>
  <c r="J48" i="27"/>
  <c r="I48" i="27"/>
  <c r="P47" i="27"/>
  <c r="N47" i="27"/>
  <c r="O47" i="27" s="1"/>
  <c r="J47" i="27"/>
  <c r="I47" i="27"/>
  <c r="P46" i="27"/>
  <c r="J46" i="27"/>
  <c r="I46" i="27"/>
  <c r="P45" i="27"/>
  <c r="I45" i="27"/>
  <c r="J45" i="27" s="1"/>
  <c r="P44" i="27"/>
  <c r="J44" i="27"/>
  <c r="I44" i="27"/>
  <c r="P43" i="27"/>
  <c r="J43" i="27"/>
  <c r="I43" i="27"/>
  <c r="D43" i="27"/>
  <c r="N43" i="27" s="1"/>
  <c r="O43" i="27" s="1"/>
  <c r="P42" i="27"/>
  <c r="J42" i="27"/>
  <c r="H42" i="27"/>
  <c r="P41" i="27"/>
  <c r="H41" i="27"/>
  <c r="J41" i="27" s="1"/>
  <c r="D41" i="27"/>
  <c r="M41" i="27" s="1"/>
  <c r="P40" i="27"/>
  <c r="J40" i="27"/>
  <c r="I40" i="27"/>
  <c r="P39" i="27"/>
  <c r="J39" i="27"/>
  <c r="I39" i="27"/>
  <c r="P38" i="27"/>
  <c r="J38" i="27"/>
  <c r="I38" i="27"/>
  <c r="P37" i="27"/>
  <c r="I37" i="27"/>
  <c r="J37" i="27" s="1"/>
  <c r="D37" i="27"/>
  <c r="P36" i="27"/>
  <c r="J36" i="27"/>
  <c r="I36" i="27"/>
  <c r="P35" i="27"/>
  <c r="N35" i="27"/>
  <c r="O35" i="27" s="1"/>
  <c r="I35" i="27"/>
  <c r="J35" i="27" s="1"/>
  <c r="D35" i="27"/>
  <c r="P34" i="27"/>
  <c r="J34" i="27"/>
  <c r="I34" i="27"/>
  <c r="J29" i="27"/>
  <c r="J28" i="27"/>
  <c r="N26" i="27"/>
  <c r="O26" i="27" s="1"/>
  <c r="J26" i="27"/>
  <c r="C18" i="27"/>
  <c r="D18" i="27" s="1"/>
  <c r="D29" i="27" s="1"/>
  <c r="N29" i="27" s="1"/>
  <c r="O29" i="27" s="1"/>
  <c r="C17" i="27"/>
  <c r="C16" i="27"/>
  <c r="C15" i="27"/>
  <c r="C14" i="27"/>
  <c r="I15" i="27" s="1"/>
  <c r="AD12" i="27"/>
  <c r="AC12" i="27"/>
  <c r="AB12" i="27"/>
  <c r="AA12" i="27"/>
  <c r="Z12" i="27"/>
  <c r="Y12" i="27"/>
  <c r="X12" i="27"/>
  <c r="W12" i="27"/>
  <c r="V12" i="27"/>
  <c r="U12" i="27"/>
  <c r="T12" i="27"/>
  <c r="S12" i="27"/>
  <c r="D10" i="27"/>
  <c r="C10" i="27"/>
  <c r="B10" i="27"/>
  <c r="C9" i="27"/>
  <c r="C8" i="27"/>
  <c r="A6" i="27"/>
  <c r="A4" i="27"/>
  <c r="L56" i="26"/>
  <c r="L58" i="26" s="1"/>
  <c r="P54" i="26"/>
  <c r="J54" i="26"/>
  <c r="N54" i="26" s="1"/>
  <c r="O54" i="26" s="1"/>
  <c r="I54" i="26"/>
  <c r="P53" i="26"/>
  <c r="O53" i="26"/>
  <c r="I53" i="26"/>
  <c r="J53" i="26" s="1"/>
  <c r="D53" i="26"/>
  <c r="N53" i="26" s="1"/>
  <c r="P52" i="26"/>
  <c r="I52" i="26"/>
  <c r="J52" i="26" s="1"/>
  <c r="D52" i="26"/>
  <c r="N52" i="26" s="1"/>
  <c r="O52" i="26" s="1"/>
  <c r="P51" i="26"/>
  <c r="I51" i="26"/>
  <c r="J51" i="26" s="1"/>
  <c r="P50" i="26"/>
  <c r="I50" i="26"/>
  <c r="J50" i="26" s="1"/>
  <c r="D50" i="26"/>
  <c r="N50" i="26" s="1"/>
  <c r="O50" i="26" s="1"/>
  <c r="P49" i="26"/>
  <c r="O49" i="26"/>
  <c r="J49" i="26"/>
  <c r="P48" i="26"/>
  <c r="N48" i="26"/>
  <c r="O48" i="26" s="1"/>
  <c r="J48" i="26"/>
  <c r="I48" i="26"/>
  <c r="P47" i="26"/>
  <c r="O47" i="26"/>
  <c r="N47" i="26"/>
  <c r="J47" i="26"/>
  <c r="I47" i="26"/>
  <c r="P46" i="26"/>
  <c r="I46" i="26"/>
  <c r="J46" i="26" s="1"/>
  <c r="P45" i="26"/>
  <c r="J45" i="26"/>
  <c r="P44" i="26"/>
  <c r="N44" i="26"/>
  <c r="O44" i="26" s="1"/>
  <c r="I44" i="26"/>
  <c r="J44" i="26" s="1"/>
  <c r="P43" i="26"/>
  <c r="I43" i="26"/>
  <c r="J43" i="26" s="1"/>
  <c r="P42" i="26"/>
  <c r="I42" i="26"/>
  <c r="J42" i="26" s="1"/>
  <c r="N41" i="26"/>
  <c r="O41" i="26" s="1"/>
  <c r="J41" i="26"/>
  <c r="I41" i="26"/>
  <c r="P40" i="26"/>
  <c r="I40" i="26"/>
  <c r="J40" i="26" s="1"/>
  <c r="P39" i="26"/>
  <c r="J39" i="26"/>
  <c r="H39" i="26"/>
  <c r="P38" i="26"/>
  <c r="J38" i="26"/>
  <c r="I38" i="26"/>
  <c r="P37" i="26"/>
  <c r="O37" i="26"/>
  <c r="J37" i="26"/>
  <c r="P36" i="26"/>
  <c r="O36" i="26"/>
  <c r="J36" i="26"/>
  <c r="D36" i="26"/>
  <c r="P35" i="26"/>
  <c r="O35" i="26"/>
  <c r="J35" i="26"/>
  <c r="P34" i="26"/>
  <c r="O34" i="26"/>
  <c r="J34" i="26"/>
  <c r="P33" i="26"/>
  <c r="J33" i="26"/>
  <c r="I33" i="26"/>
  <c r="P32" i="26"/>
  <c r="N32" i="26"/>
  <c r="O32" i="26" s="1"/>
  <c r="J32" i="26"/>
  <c r="I32" i="26"/>
  <c r="D32" i="26"/>
  <c r="P31" i="26"/>
  <c r="I31" i="26"/>
  <c r="J31" i="26" s="1"/>
  <c r="P30" i="26"/>
  <c r="I30" i="26"/>
  <c r="J30" i="26" s="1"/>
  <c r="D30" i="26"/>
  <c r="N30" i="26" s="1"/>
  <c r="O30" i="26" s="1"/>
  <c r="P29" i="26"/>
  <c r="I29" i="26"/>
  <c r="J29" i="26" s="1"/>
  <c r="P28" i="26"/>
  <c r="J28" i="26"/>
  <c r="I28" i="26"/>
  <c r="D28" i="26"/>
  <c r="N28" i="26" s="1"/>
  <c r="O28" i="26" s="1"/>
  <c r="P27" i="26"/>
  <c r="J27" i="26"/>
  <c r="I27" i="26"/>
  <c r="D27" i="26"/>
  <c r="N27" i="26" s="1"/>
  <c r="J22" i="26"/>
  <c r="O21" i="26"/>
  <c r="N21" i="26"/>
  <c r="J21" i="26"/>
  <c r="C17" i="26"/>
  <c r="C16" i="26"/>
  <c r="C15" i="26"/>
  <c r="AD13" i="26"/>
  <c r="AC13" i="26"/>
  <c r="AB13" i="26"/>
  <c r="AA13" i="26"/>
  <c r="Z13" i="26"/>
  <c r="Y13" i="26"/>
  <c r="X13" i="26"/>
  <c r="W13" i="26"/>
  <c r="V13" i="26"/>
  <c r="U13" i="26"/>
  <c r="T13" i="26"/>
  <c r="S13" i="26"/>
  <c r="D11" i="26"/>
  <c r="B11" i="26"/>
  <c r="C11" i="26" s="1"/>
  <c r="C10" i="26"/>
  <c r="C9" i="26"/>
  <c r="A6" i="26"/>
  <c r="A4" i="26"/>
  <c r="L53" i="25"/>
  <c r="L51" i="25"/>
  <c r="P49" i="25"/>
  <c r="I49" i="25"/>
  <c r="J49" i="25" s="1"/>
  <c r="N49" i="25" s="1"/>
  <c r="O49" i="25" s="1"/>
  <c r="P48" i="25"/>
  <c r="J48" i="25"/>
  <c r="N48" i="25" s="1"/>
  <c r="O48" i="25" s="1"/>
  <c r="I48" i="25"/>
  <c r="D48" i="25"/>
  <c r="P47" i="25"/>
  <c r="J47" i="25"/>
  <c r="I47" i="25"/>
  <c r="P46" i="25"/>
  <c r="J46" i="25"/>
  <c r="I46" i="25"/>
  <c r="D46" i="25"/>
  <c r="N46" i="25" s="1"/>
  <c r="O46" i="25" s="1"/>
  <c r="P45" i="25"/>
  <c r="J45" i="25"/>
  <c r="I45" i="25"/>
  <c r="D45" i="25"/>
  <c r="P44" i="25"/>
  <c r="I44" i="25"/>
  <c r="P43" i="25"/>
  <c r="I43" i="25"/>
  <c r="P42" i="25"/>
  <c r="J42" i="25"/>
  <c r="I42" i="25"/>
  <c r="P41" i="25"/>
  <c r="I41" i="25"/>
  <c r="N41" i="25" s="1"/>
  <c r="O41" i="25" s="1"/>
  <c r="P40" i="25"/>
  <c r="J40" i="25"/>
  <c r="I40" i="25"/>
  <c r="P39" i="25"/>
  <c r="J39" i="25"/>
  <c r="I39" i="25"/>
  <c r="P38" i="25"/>
  <c r="N38" i="25"/>
  <c r="O38" i="25" s="1"/>
  <c r="J38" i="25"/>
  <c r="I38" i="25"/>
  <c r="P37" i="25"/>
  <c r="J37" i="25"/>
  <c r="I37" i="25"/>
  <c r="P36" i="25"/>
  <c r="J36" i="25"/>
  <c r="H36" i="25"/>
  <c r="D36" i="25"/>
  <c r="M36" i="25" s="1"/>
  <c r="P35" i="25"/>
  <c r="J35" i="25"/>
  <c r="I35" i="25"/>
  <c r="P34" i="25"/>
  <c r="J34" i="25"/>
  <c r="I34" i="25"/>
  <c r="P33" i="25"/>
  <c r="J33" i="25"/>
  <c r="I33" i="25"/>
  <c r="P32" i="25"/>
  <c r="I32" i="25"/>
  <c r="J32" i="25" s="1"/>
  <c r="D32" i="25"/>
  <c r="N32" i="25" s="1"/>
  <c r="O32" i="25" s="1"/>
  <c r="P31" i="25"/>
  <c r="J31" i="25"/>
  <c r="I31" i="25"/>
  <c r="P30" i="25"/>
  <c r="I30" i="25"/>
  <c r="J30" i="25" s="1"/>
  <c r="P29" i="25"/>
  <c r="J29" i="25"/>
  <c r="I29" i="25"/>
  <c r="P28" i="25"/>
  <c r="I28" i="25"/>
  <c r="J28" i="25" s="1"/>
  <c r="D28" i="25"/>
  <c r="N28" i="25" s="1"/>
  <c r="J23" i="25"/>
  <c r="O22" i="25"/>
  <c r="J22" i="25"/>
  <c r="D22" i="25"/>
  <c r="N22" i="25" s="1"/>
  <c r="N21" i="25"/>
  <c r="J21" i="25"/>
  <c r="C15" i="25"/>
  <c r="AD13" i="25"/>
  <c r="AC13" i="25"/>
  <c r="AB13" i="25"/>
  <c r="AA13" i="25"/>
  <c r="Z13" i="25"/>
  <c r="Y13" i="25"/>
  <c r="X13" i="25"/>
  <c r="W13" i="25"/>
  <c r="V13" i="25"/>
  <c r="U13" i="25"/>
  <c r="T13" i="25"/>
  <c r="S13" i="25"/>
  <c r="D11" i="25"/>
  <c r="C11" i="25"/>
  <c r="B11" i="25"/>
  <c r="C10" i="25"/>
  <c r="C9" i="25"/>
  <c r="A6" i="25"/>
  <c r="A4" i="25"/>
  <c r="L48" i="24"/>
  <c r="L50" i="24" s="1"/>
  <c r="P46" i="24"/>
  <c r="N46" i="24"/>
  <c r="O46" i="24" s="1"/>
  <c r="J46" i="24"/>
  <c r="I46" i="24"/>
  <c r="P45" i="24"/>
  <c r="I45" i="24"/>
  <c r="J45" i="24" s="1"/>
  <c r="P44" i="24"/>
  <c r="J44" i="24"/>
  <c r="N44" i="24" s="1"/>
  <c r="O44" i="24" s="1"/>
  <c r="I44" i="24"/>
  <c r="P43" i="24"/>
  <c r="J43" i="24"/>
  <c r="I43" i="24"/>
  <c r="P42" i="24"/>
  <c r="J42" i="24"/>
  <c r="I42" i="24"/>
  <c r="N42" i="24" s="1"/>
  <c r="O42" i="24" s="1"/>
  <c r="P41" i="24"/>
  <c r="I41" i="24"/>
  <c r="P40" i="24"/>
  <c r="J40" i="24"/>
  <c r="I40" i="24"/>
  <c r="P39" i="24"/>
  <c r="I39" i="24"/>
  <c r="P38" i="24"/>
  <c r="I38" i="24"/>
  <c r="J38" i="24" s="1"/>
  <c r="P37" i="24"/>
  <c r="I37" i="24"/>
  <c r="J37" i="24" s="1"/>
  <c r="P36" i="24"/>
  <c r="I36" i="24"/>
  <c r="J36" i="24" s="1"/>
  <c r="D36" i="24"/>
  <c r="N36" i="24" s="1"/>
  <c r="O36" i="24" s="1"/>
  <c r="P35" i="24"/>
  <c r="J35" i="24"/>
  <c r="I35" i="24"/>
  <c r="P34" i="24"/>
  <c r="H34" i="24"/>
  <c r="J34" i="24" s="1"/>
  <c r="P33" i="24"/>
  <c r="I33" i="24"/>
  <c r="J33" i="24" s="1"/>
  <c r="N33" i="24" s="1"/>
  <c r="O33" i="24" s="1"/>
  <c r="P32" i="24"/>
  <c r="J32" i="24"/>
  <c r="I32" i="24"/>
  <c r="P31" i="24"/>
  <c r="J31" i="24"/>
  <c r="I31" i="24"/>
  <c r="P30" i="24"/>
  <c r="I30" i="24"/>
  <c r="J30" i="24" s="1"/>
  <c r="P29" i="24"/>
  <c r="I29" i="24"/>
  <c r="J29" i="24" s="1"/>
  <c r="P28" i="24"/>
  <c r="I28" i="24"/>
  <c r="J28" i="24" s="1"/>
  <c r="P27" i="24"/>
  <c r="J27" i="24"/>
  <c r="I27" i="24"/>
  <c r="P26" i="24"/>
  <c r="I26" i="24"/>
  <c r="J26" i="24" s="1"/>
  <c r="D26" i="24"/>
  <c r="N26" i="24" s="1"/>
  <c r="O26" i="24" s="1"/>
  <c r="P25" i="24"/>
  <c r="J25" i="24"/>
  <c r="I25" i="24"/>
  <c r="D25" i="24"/>
  <c r="N25" i="24" s="1"/>
  <c r="N20" i="24"/>
  <c r="O20" i="24" s="1"/>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10" i="24"/>
  <c r="C10" i="24"/>
  <c r="B10" i="24"/>
  <c r="C9" i="24"/>
  <c r="C8" i="24"/>
  <c r="A5" i="24"/>
  <c r="O68" i="23"/>
  <c r="O64" i="23"/>
  <c r="P57" i="23"/>
  <c r="O57" i="23"/>
  <c r="I57" i="23"/>
  <c r="J57" i="23" s="1"/>
  <c r="N57" i="23" s="1"/>
  <c r="P56" i="23"/>
  <c r="J56" i="23"/>
  <c r="N56" i="23" s="1"/>
  <c r="O56" i="23" s="1"/>
  <c r="I56" i="23"/>
  <c r="D56" i="23"/>
  <c r="P55" i="23"/>
  <c r="O55" i="23"/>
  <c r="N55" i="23"/>
  <c r="I55" i="23"/>
  <c r="J55" i="23" s="1"/>
  <c r="P54" i="23"/>
  <c r="I54" i="23"/>
  <c r="J54" i="23" s="1"/>
  <c r="P53" i="23"/>
  <c r="J53" i="23"/>
  <c r="D53" i="23"/>
  <c r="L53" i="23" s="1"/>
  <c r="O53" i="23" s="1"/>
  <c r="P52" i="23"/>
  <c r="J52" i="23"/>
  <c r="I52" i="23"/>
  <c r="N52" i="23" s="1"/>
  <c r="O52" i="23" s="1"/>
  <c r="P51" i="23"/>
  <c r="N51" i="23"/>
  <c r="O51" i="23" s="1"/>
  <c r="J51" i="23"/>
  <c r="I51" i="23"/>
  <c r="P50" i="23"/>
  <c r="J50" i="23"/>
  <c r="I50" i="23"/>
  <c r="P49" i="23"/>
  <c r="J49" i="23"/>
  <c r="P48" i="23"/>
  <c r="N48" i="23"/>
  <c r="O48" i="23" s="1"/>
  <c r="J48" i="23"/>
  <c r="I48" i="23"/>
  <c r="P47" i="23"/>
  <c r="I47" i="23"/>
  <c r="J47" i="23" s="1"/>
  <c r="P46" i="23"/>
  <c r="I46" i="23"/>
  <c r="J46" i="23" s="1"/>
  <c r="P45" i="23"/>
  <c r="J45" i="23"/>
  <c r="I45" i="23"/>
  <c r="P44" i="23"/>
  <c r="J44" i="23"/>
  <c r="I44" i="23"/>
  <c r="P43" i="23"/>
  <c r="J43" i="23"/>
  <c r="H43" i="23"/>
  <c r="P42" i="23"/>
  <c r="I42" i="23"/>
  <c r="J42" i="23" s="1"/>
  <c r="N42" i="23" s="1"/>
  <c r="O42" i="23" s="1"/>
  <c r="P41" i="23"/>
  <c r="O41" i="23"/>
  <c r="L41" i="23"/>
  <c r="J41" i="23"/>
  <c r="D41" i="23"/>
  <c r="P40" i="23"/>
  <c r="L40" i="23"/>
  <c r="O40" i="23" s="1"/>
  <c r="J40" i="23"/>
  <c r="D40" i="23"/>
  <c r="P39" i="23"/>
  <c r="J39" i="23"/>
  <c r="D39" i="23"/>
  <c r="L39" i="23" s="1"/>
  <c r="P38" i="23"/>
  <c r="I38" i="23"/>
  <c r="J38" i="23" s="1"/>
  <c r="P37" i="23"/>
  <c r="I37" i="23"/>
  <c r="J37" i="23" s="1"/>
  <c r="P36" i="23"/>
  <c r="I36" i="23"/>
  <c r="J36" i="23" s="1"/>
  <c r="P35" i="23"/>
  <c r="I35" i="23"/>
  <c r="J35" i="23" s="1"/>
  <c r="P34" i="23"/>
  <c r="I34" i="23"/>
  <c r="J34" i="23" s="1"/>
  <c r="P33" i="23"/>
  <c r="I33" i="23"/>
  <c r="J33" i="23" s="1"/>
  <c r="P32" i="23"/>
  <c r="I32" i="23"/>
  <c r="J32" i="23" s="1"/>
  <c r="P27" i="23"/>
  <c r="I27" i="23"/>
  <c r="P26" i="23"/>
  <c r="I26" i="23"/>
  <c r="D26" i="23"/>
  <c r="N26" i="23" s="1"/>
  <c r="O26" i="23" s="1"/>
  <c r="O25" i="23"/>
  <c r="N25" i="23"/>
  <c r="J25" i="23"/>
  <c r="I25" i="23"/>
  <c r="D18" i="23"/>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4" i="22"/>
  <c r="L56" i="22" s="1"/>
  <c r="P52" i="22"/>
  <c r="I52" i="22"/>
  <c r="J52" i="22" s="1"/>
  <c r="N52" i="22" s="1"/>
  <c r="O52" i="22" s="1"/>
  <c r="P51" i="22"/>
  <c r="I51" i="22"/>
  <c r="J51" i="22" s="1"/>
  <c r="P50" i="22"/>
  <c r="I50" i="22"/>
  <c r="J50" i="22" s="1"/>
  <c r="N50" i="22" s="1"/>
  <c r="O50" i="22" s="1"/>
  <c r="P49" i="22"/>
  <c r="J49" i="22"/>
  <c r="I49" i="22"/>
  <c r="P48" i="22"/>
  <c r="O48" i="22"/>
  <c r="N48" i="22"/>
  <c r="J48" i="22"/>
  <c r="I48" i="22"/>
  <c r="P47" i="22"/>
  <c r="I47" i="22"/>
  <c r="P46" i="22"/>
  <c r="J46" i="22"/>
  <c r="I46" i="22"/>
  <c r="P45" i="22"/>
  <c r="O45" i="22"/>
  <c r="N45" i="22"/>
  <c r="J45" i="22"/>
  <c r="I45" i="22"/>
  <c r="P44" i="22"/>
  <c r="I44" i="22"/>
  <c r="J44" i="22" s="1"/>
  <c r="P43" i="22"/>
  <c r="J43" i="22"/>
  <c r="I43" i="22"/>
  <c r="P42" i="22"/>
  <c r="I42" i="22"/>
  <c r="J42" i="22" s="1"/>
  <c r="P41" i="22"/>
  <c r="I41" i="22"/>
  <c r="J41" i="22" s="1"/>
  <c r="P40" i="22"/>
  <c r="J40" i="22"/>
  <c r="H40" i="22"/>
  <c r="P39" i="22"/>
  <c r="O39" i="22"/>
  <c r="N39" i="22"/>
  <c r="J39" i="22"/>
  <c r="I39" i="22"/>
  <c r="P38" i="22"/>
  <c r="J38" i="22"/>
  <c r="I38" i="22"/>
  <c r="P37" i="22"/>
  <c r="I37" i="22"/>
  <c r="J37" i="22" s="1"/>
  <c r="D37" i="22"/>
  <c r="N37" i="22" s="1"/>
  <c r="O37" i="22" s="1"/>
  <c r="P36" i="22"/>
  <c r="I36" i="22"/>
  <c r="J36" i="22" s="1"/>
  <c r="P35" i="22"/>
  <c r="J35" i="22"/>
  <c r="I35" i="22"/>
  <c r="D35" i="22"/>
  <c r="N35" i="22" s="1"/>
  <c r="O35" i="22" s="1"/>
  <c r="P34" i="22"/>
  <c r="J34" i="22"/>
  <c r="I34" i="22"/>
  <c r="P33" i="22"/>
  <c r="I33" i="22"/>
  <c r="J33" i="22" s="1"/>
  <c r="P32" i="22"/>
  <c r="I32" i="22"/>
  <c r="J32" i="22" s="1"/>
  <c r="P31" i="22"/>
  <c r="I31" i="22"/>
  <c r="J31" i="22" s="1"/>
  <c r="D31" i="22"/>
  <c r="N31" i="22" s="1"/>
  <c r="J26" i="22"/>
  <c r="N25" i="22"/>
  <c r="O25" i="22" s="1"/>
  <c r="J25" i="22"/>
  <c r="D17" i="22"/>
  <c r="D11" i="22"/>
  <c r="C11" i="22"/>
  <c r="B11" i="22"/>
  <c r="C10" i="22"/>
  <c r="C9" i="22"/>
  <c r="A6" i="22"/>
  <c r="A4" i="22"/>
  <c r="D73" i="21"/>
  <c r="P60" i="21"/>
  <c r="I60" i="21"/>
  <c r="J60" i="21" s="1"/>
  <c r="N60" i="21" s="1"/>
  <c r="O60" i="21" s="1"/>
  <c r="P59" i="21"/>
  <c r="J59" i="21"/>
  <c r="I59" i="21"/>
  <c r="P58" i="21"/>
  <c r="I58" i="21"/>
  <c r="J58" i="21" s="1"/>
  <c r="P57" i="21"/>
  <c r="I57" i="21"/>
  <c r="J57" i="21" s="1"/>
  <c r="P56" i="21"/>
  <c r="J56" i="21"/>
  <c r="I56" i="21"/>
  <c r="D56" i="21"/>
  <c r="N56" i="21" s="1"/>
  <c r="O56" i="21" s="1"/>
  <c r="P55" i="21"/>
  <c r="G55" i="21"/>
  <c r="L55" i="21" s="1"/>
  <c r="O55" i="21" s="1"/>
  <c r="D55" i="21"/>
  <c r="P54" i="21"/>
  <c r="I54" i="21"/>
  <c r="P53" i="21"/>
  <c r="O53" i="21"/>
  <c r="J53" i="21"/>
  <c r="I53" i="21"/>
  <c r="N53" i="21" s="1"/>
  <c r="P52" i="21"/>
  <c r="J52" i="21"/>
  <c r="I52" i="21"/>
  <c r="P51" i="21"/>
  <c r="J51" i="21"/>
  <c r="P50" i="21"/>
  <c r="J50" i="21"/>
  <c r="P49" i="21"/>
  <c r="O49" i="21"/>
  <c r="N49" i="21"/>
  <c r="J49" i="21"/>
  <c r="I49" i="21"/>
  <c r="P48" i="21"/>
  <c r="I48" i="21"/>
  <c r="J48" i="21" s="1"/>
  <c r="P47" i="21"/>
  <c r="I47" i="21"/>
  <c r="J47" i="21" s="1"/>
  <c r="I46" i="21"/>
  <c r="J46" i="21" s="1"/>
  <c r="P45" i="21"/>
  <c r="J45" i="21"/>
  <c r="I45" i="21"/>
  <c r="D45" i="21"/>
  <c r="N45" i="21" s="1"/>
  <c r="O45" i="21" s="1"/>
  <c r="P44" i="21"/>
  <c r="H44" i="21"/>
  <c r="J44" i="21" s="1"/>
  <c r="P43" i="21"/>
  <c r="H43" i="21"/>
  <c r="J43" i="21" s="1"/>
  <c r="P42" i="21"/>
  <c r="I42" i="21"/>
  <c r="J42" i="21" s="1"/>
  <c r="D42" i="21"/>
  <c r="N42" i="21" s="1"/>
  <c r="O42" i="21" s="1"/>
  <c r="P41" i="21"/>
  <c r="L41" i="21"/>
  <c r="O41" i="21" s="1"/>
  <c r="J41" i="21"/>
  <c r="G41" i="21"/>
  <c r="D41" i="21"/>
  <c r="P40" i="21"/>
  <c r="L40" i="21"/>
  <c r="O40" i="21" s="1"/>
  <c r="J40" i="21"/>
  <c r="G40" i="21"/>
  <c r="D40" i="21"/>
  <c r="P39" i="21"/>
  <c r="L39" i="21"/>
  <c r="J39" i="21"/>
  <c r="G39" i="21"/>
  <c r="D39" i="21"/>
  <c r="P38" i="21"/>
  <c r="J38" i="21"/>
  <c r="I38" i="21"/>
  <c r="P37" i="21"/>
  <c r="J37" i="21"/>
  <c r="I37" i="21"/>
  <c r="P36" i="21"/>
  <c r="J36" i="21"/>
  <c r="I36" i="21"/>
  <c r="P35" i="21"/>
  <c r="I35" i="21"/>
  <c r="J35" i="21" s="1"/>
  <c r="D35" i="21"/>
  <c r="N35" i="21" s="1"/>
  <c r="O35" i="21" s="1"/>
  <c r="P34" i="21"/>
  <c r="J34" i="21"/>
  <c r="I34" i="21"/>
  <c r="P33" i="21"/>
  <c r="I33" i="21"/>
  <c r="J33" i="21" s="1"/>
  <c r="J28" i="21"/>
  <c r="J27" i="21"/>
  <c r="C17" i="21"/>
  <c r="C16" i="21"/>
  <c r="D34" i="21" s="1"/>
  <c r="C15" i="21"/>
  <c r="C14" i="21"/>
  <c r="AD12" i="21"/>
  <c r="AC12" i="21"/>
  <c r="AB12" i="21"/>
  <c r="AA12" i="21"/>
  <c r="Z12" i="21"/>
  <c r="Y12" i="21"/>
  <c r="X12" i="21"/>
  <c r="W12" i="21"/>
  <c r="V12" i="21"/>
  <c r="U12" i="21"/>
  <c r="T12" i="21"/>
  <c r="S12" i="21"/>
  <c r="D10" i="21"/>
  <c r="C10" i="21"/>
  <c r="B10" i="21"/>
  <c r="C9" i="21"/>
  <c r="C8" i="21"/>
  <c r="A6" i="21"/>
  <c r="A4" i="21"/>
  <c r="D74" i="20"/>
  <c r="P61" i="20"/>
  <c r="I61" i="20"/>
  <c r="J61" i="20" s="1"/>
  <c r="N61" i="20" s="1"/>
  <c r="O61" i="20" s="1"/>
  <c r="P60" i="20"/>
  <c r="J60" i="20"/>
  <c r="I60" i="20"/>
  <c r="P59" i="20"/>
  <c r="J59" i="20"/>
  <c r="I59" i="20"/>
  <c r="P58" i="20"/>
  <c r="J58" i="20"/>
  <c r="I58" i="20"/>
  <c r="P57" i="20"/>
  <c r="J57" i="20"/>
  <c r="I57" i="20"/>
  <c r="P56" i="20"/>
  <c r="J56" i="20"/>
  <c r="G56" i="20"/>
  <c r="D56" i="20"/>
  <c r="L56" i="20" s="1"/>
  <c r="O56" i="20" s="1"/>
  <c r="P55" i="20"/>
  <c r="O55" i="20"/>
  <c r="J55" i="20"/>
  <c r="I55" i="20"/>
  <c r="N55" i="20" s="1"/>
  <c r="P54" i="20"/>
  <c r="I54" i="20"/>
  <c r="P53" i="20"/>
  <c r="J53" i="20"/>
  <c r="I53" i="20"/>
  <c r="P52" i="20"/>
  <c r="J52" i="20"/>
  <c r="P51" i="20"/>
  <c r="J51" i="20"/>
  <c r="P50" i="20"/>
  <c r="O50" i="20"/>
  <c r="N50" i="20"/>
  <c r="J50" i="20"/>
  <c r="I50" i="20"/>
  <c r="P49" i="20"/>
  <c r="I49" i="20"/>
  <c r="J49" i="20" s="1"/>
  <c r="P48" i="20"/>
  <c r="J48" i="20"/>
  <c r="I48" i="20"/>
  <c r="P47" i="20"/>
  <c r="I47" i="20"/>
  <c r="J47" i="20" s="1"/>
  <c r="P46" i="20"/>
  <c r="I46" i="20"/>
  <c r="J46" i="20" s="1"/>
  <c r="P45" i="20"/>
  <c r="J45" i="20"/>
  <c r="H45" i="20"/>
  <c r="P44" i="20"/>
  <c r="H44" i="20"/>
  <c r="J44" i="20" s="1"/>
  <c r="P43" i="20"/>
  <c r="J43" i="20"/>
  <c r="I43" i="20"/>
  <c r="P42" i="20"/>
  <c r="G42" i="20"/>
  <c r="J42" i="20" s="1"/>
  <c r="D42" i="20"/>
  <c r="L42" i="20" s="1"/>
  <c r="O42" i="20" s="1"/>
  <c r="P41" i="20"/>
  <c r="G41" i="20"/>
  <c r="L41" i="20" s="1"/>
  <c r="O41" i="20" s="1"/>
  <c r="D41" i="20"/>
  <c r="P40" i="20"/>
  <c r="G40" i="20"/>
  <c r="J40" i="20" s="1"/>
  <c r="D40" i="20"/>
  <c r="P39" i="20"/>
  <c r="I39" i="20"/>
  <c r="J39" i="20" s="1"/>
  <c r="P38" i="20"/>
  <c r="J38" i="20"/>
  <c r="I38" i="20"/>
  <c r="P37" i="20"/>
  <c r="I37" i="20"/>
  <c r="J37" i="20" s="1"/>
  <c r="P36" i="20"/>
  <c r="J36" i="20"/>
  <c r="I36" i="20"/>
  <c r="P35" i="20"/>
  <c r="J35" i="20"/>
  <c r="I35" i="20"/>
  <c r="P34" i="20"/>
  <c r="I34" i="20"/>
  <c r="J34" i="20" s="1"/>
  <c r="D34" i="20"/>
  <c r="J29" i="20"/>
  <c r="J28" i="20"/>
  <c r="N26" i="20"/>
  <c r="O26" i="20" s="1"/>
  <c r="J26" i="20"/>
  <c r="D18" i="20"/>
  <c r="D29" i="20" s="1"/>
  <c r="N29" i="20" s="1"/>
  <c r="O29" i="20" s="1"/>
  <c r="C18" i="20"/>
  <c r="C17" i="20"/>
  <c r="D17" i="20" s="1"/>
  <c r="C16" i="20"/>
  <c r="C15" i="20"/>
  <c r="I15" i="20" s="1"/>
  <c r="C14" i="20"/>
  <c r="AD12" i="20"/>
  <c r="AC12" i="20"/>
  <c r="AB12" i="20"/>
  <c r="AA12" i="20"/>
  <c r="Z12" i="20"/>
  <c r="Y12" i="20"/>
  <c r="X12" i="20"/>
  <c r="W12" i="20"/>
  <c r="V12" i="20"/>
  <c r="U12" i="20"/>
  <c r="T12" i="20"/>
  <c r="S12" i="20"/>
  <c r="D10" i="20"/>
  <c r="C10" i="20"/>
  <c r="B10" i="20"/>
  <c r="C9" i="20"/>
  <c r="C8" i="20"/>
  <c r="A6" i="20"/>
  <c r="A4" i="20"/>
  <c r="O72" i="19"/>
  <c r="O71" i="19"/>
  <c r="P61" i="19"/>
  <c r="J61" i="19"/>
  <c r="N61" i="19" s="1"/>
  <c r="O61" i="19" s="1"/>
  <c r="I61" i="19"/>
  <c r="P60" i="19"/>
  <c r="I60" i="19"/>
  <c r="J60" i="19" s="1"/>
  <c r="P59" i="19"/>
  <c r="I59" i="19"/>
  <c r="J59" i="19" s="1"/>
  <c r="N59" i="19" s="1"/>
  <c r="O59" i="19" s="1"/>
  <c r="D59" i="19"/>
  <c r="P58" i="19"/>
  <c r="J58" i="19"/>
  <c r="I58" i="19"/>
  <c r="D58" i="19"/>
  <c r="N58" i="19" s="1"/>
  <c r="O58" i="19" s="1"/>
  <c r="P57" i="19"/>
  <c r="J57" i="19"/>
  <c r="I57" i="19"/>
  <c r="D57" i="19"/>
  <c r="N57" i="19" s="1"/>
  <c r="O57" i="19" s="1"/>
  <c r="P56" i="19"/>
  <c r="J56" i="19"/>
  <c r="G56" i="19"/>
  <c r="D56" i="19"/>
  <c r="P55" i="19"/>
  <c r="I55" i="19"/>
  <c r="P54" i="19"/>
  <c r="I54" i="19"/>
  <c r="J54" i="19" s="1"/>
  <c r="P53" i="19"/>
  <c r="I53" i="19"/>
  <c r="J53" i="19" s="1"/>
  <c r="P52" i="19"/>
  <c r="P51" i="19"/>
  <c r="P50" i="19"/>
  <c r="N50" i="19"/>
  <c r="O50" i="19" s="1"/>
  <c r="J50" i="19"/>
  <c r="I50" i="19"/>
  <c r="P49" i="19"/>
  <c r="J49" i="19"/>
  <c r="I49" i="19"/>
  <c r="P48" i="19"/>
  <c r="I48" i="19"/>
  <c r="J48" i="19" s="1"/>
  <c r="P47" i="19"/>
  <c r="J47" i="19"/>
  <c r="I47" i="19"/>
  <c r="P46" i="19"/>
  <c r="O46" i="19"/>
  <c r="I46" i="19"/>
  <c r="J46" i="19" s="1"/>
  <c r="D46" i="19"/>
  <c r="P45" i="19"/>
  <c r="H45" i="19"/>
  <c r="J45" i="19" s="1"/>
  <c r="P44" i="19"/>
  <c r="J44" i="19"/>
  <c r="H44" i="19"/>
  <c r="D44" i="19"/>
  <c r="M44" i="19" s="1"/>
  <c r="P43" i="19"/>
  <c r="I43" i="19"/>
  <c r="J43" i="19" s="1"/>
  <c r="D43" i="19"/>
  <c r="N43" i="19" s="1"/>
  <c r="O43" i="19" s="1"/>
  <c r="P42" i="19"/>
  <c r="J42" i="19"/>
  <c r="G42" i="19"/>
  <c r="D42" i="19"/>
  <c r="L42" i="19" s="1"/>
  <c r="O42" i="19" s="1"/>
  <c r="P41" i="19"/>
  <c r="G41" i="19"/>
  <c r="D41" i="19"/>
  <c r="P40" i="19"/>
  <c r="G40" i="19"/>
  <c r="J40" i="19" s="1"/>
  <c r="D40" i="19"/>
  <c r="L40" i="19" s="1"/>
  <c r="P39" i="19"/>
  <c r="O39" i="19"/>
  <c r="I39" i="19"/>
  <c r="J39" i="19" s="1"/>
  <c r="P38" i="19"/>
  <c r="N38" i="19"/>
  <c r="O38" i="19" s="1"/>
  <c r="I38" i="19"/>
  <c r="J38" i="19" s="1"/>
  <c r="P37" i="19"/>
  <c r="I37" i="19"/>
  <c r="J37" i="19" s="1"/>
  <c r="D37" i="19"/>
  <c r="P36" i="19"/>
  <c r="I36" i="19"/>
  <c r="J36" i="19" s="1"/>
  <c r="D36" i="19"/>
  <c r="D38" i="19" s="1"/>
  <c r="P35" i="19"/>
  <c r="J35" i="19"/>
  <c r="I35" i="19"/>
  <c r="D35" i="19"/>
  <c r="D52" i="19" s="1"/>
  <c r="P34" i="19"/>
  <c r="I34" i="19"/>
  <c r="J34" i="19" s="1"/>
  <c r="D34" i="19"/>
  <c r="D51" i="19" s="1"/>
  <c r="J29" i="19"/>
  <c r="D29" i="19"/>
  <c r="N29" i="19" s="1"/>
  <c r="O29" i="19" s="1"/>
  <c r="J28" i="19"/>
  <c r="N26" i="19"/>
  <c r="O26" i="19" s="1"/>
  <c r="J26" i="19"/>
  <c r="C18" i="19"/>
  <c r="D18" i="19" s="1"/>
  <c r="C17" i="19"/>
  <c r="C16" i="19"/>
  <c r="I15" i="19"/>
  <c r="C15" i="19"/>
  <c r="C14" i="19"/>
  <c r="D10" i="19"/>
  <c r="B10" i="19"/>
  <c r="C10" i="19" s="1"/>
  <c r="C9" i="19"/>
  <c r="C8" i="19"/>
  <c r="A6" i="19"/>
  <c r="P54" i="18"/>
  <c r="I54" i="18"/>
  <c r="J54" i="18" s="1"/>
  <c r="N54" i="18" s="1"/>
  <c r="O54" i="18" s="1"/>
  <c r="P53" i="18"/>
  <c r="I53" i="18"/>
  <c r="J53" i="18" s="1"/>
  <c r="P52" i="18"/>
  <c r="I52" i="18"/>
  <c r="J52" i="18" s="1"/>
  <c r="P51" i="18"/>
  <c r="I51" i="18"/>
  <c r="J51" i="18" s="1"/>
  <c r="P50" i="18"/>
  <c r="J50" i="18"/>
  <c r="I50" i="18"/>
  <c r="P49" i="18"/>
  <c r="J49" i="18"/>
  <c r="G49" i="18"/>
  <c r="P48" i="18"/>
  <c r="N48" i="18"/>
  <c r="O48" i="18" s="1"/>
  <c r="J48" i="18"/>
  <c r="I48" i="18"/>
  <c r="P47" i="18"/>
  <c r="N47" i="18"/>
  <c r="O47" i="18" s="1"/>
  <c r="I47" i="18"/>
  <c r="J47" i="18" s="1"/>
  <c r="P46" i="18"/>
  <c r="I46" i="18"/>
  <c r="J46" i="18" s="1"/>
  <c r="P45" i="18"/>
  <c r="J45" i="18"/>
  <c r="P44" i="18"/>
  <c r="N44" i="18"/>
  <c r="O44" i="18" s="1"/>
  <c r="J44" i="18"/>
  <c r="I44" i="18"/>
  <c r="P43" i="18"/>
  <c r="I43" i="18"/>
  <c r="J43" i="18" s="1"/>
  <c r="P42" i="18"/>
  <c r="I42" i="18"/>
  <c r="J42" i="18" s="1"/>
  <c r="J41" i="18"/>
  <c r="N41" i="18" s="1"/>
  <c r="O41" i="18" s="1"/>
  <c r="I41" i="18"/>
  <c r="P40" i="18"/>
  <c r="I40" i="18"/>
  <c r="J40" i="18" s="1"/>
  <c r="P39" i="18"/>
  <c r="H39" i="18"/>
  <c r="J39" i="18" s="1"/>
  <c r="P38" i="18"/>
  <c r="I38" i="18"/>
  <c r="J38" i="18" s="1"/>
  <c r="P37" i="18"/>
  <c r="J37" i="18"/>
  <c r="G37" i="18"/>
  <c r="P36" i="18"/>
  <c r="J36" i="18"/>
  <c r="G36" i="18"/>
  <c r="D36" i="18"/>
  <c r="L36" i="18" s="1"/>
  <c r="O36" i="18" s="1"/>
  <c r="P35" i="18"/>
  <c r="G35" i="18"/>
  <c r="J35" i="18" s="1"/>
  <c r="P34" i="18"/>
  <c r="G34" i="18"/>
  <c r="J34" i="18" s="1"/>
  <c r="P33" i="18"/>
  <c r="I33" i="18"/>
  <c r="J33" i="18" s="1"/>
  <c r="P32" i="18"/>
  <c r="J32" i="18"/>
  <c r="I32" i="18"/>
  <c r="P31" i="18"/>
  <c r="J31" i="18"/>
  <c r="I31" i="18"/>
  <c r="P30" i="18"/>
  <c r="I30" i="18"/>
  <c r="J30" i="18" s="1"/>
  <c r="D30" i="18"/>
  <c r="N30" i="18" s="1"/>
  <c r="O30" i="18" s="1"/>
  <c r="P29" i="18"/>
  <c r="J29" i="18"/>
  <c r="I29" i="18"/>
  <c r="P28" i="18"/>
  <c r="J28" i="18"/>
  <c r="I28" i="18"/>
  <c r="P27" i="18"/>
  <c r="I27" i="18"/>
  <c r="J27" i="18" s="1"/>
  <c r="D27" i="18"/>
  <c r="N27" i="18" s="1"/>
  <c r="P22" i="18"/>
  <c r="J22" i="18"/>
  <c r="I22" i="18"/>
  <c r="N21" i="18"/>
  <c r="O21" i="18" s="1"/>
  <c r="I21" i="18"/>
  <c r="J21" i="18" s="1"/>
  <c r="C17" i="18"/>
  <c r="C16" i="18"/>
  <c r="D35" i="18" s="1"/>
  <c r="C15" i="18"/>
  <c r="AD13" i="18"/>
  <c r="AC13" i="18"/>
  <c r="AB13" i="18"/>
  <c r="AA13" i="18"/>
  <c r="Z13" i="18"/>
  <c r="Y13" i="18"/>
  <c r="X13" i="18"/>
  <c r="W13" i="18"/>
  <c r="V13" i="18"/>
  <c r="U13" i="18"/>
  <c r="T13" i="18"/>
  <c r="S13" i="18"/>
  <c r="D11" i="18"/>
  <c r="B11" i="18"/>
  <c r="C11" i="18" s="1"/>
  <c r="C10" i="18"/>
  <c r="C9" i="18"/>
  <c r="A6" i="18"/>
  <c r="A4" i="18"/>
  <c r="P54" i="17"/>
  <c r="I54" i="17"/>
  <c r="J54" i="17" s="1"/>
  <c r="N54" i="17" s="1"/>
  <c r="O54" i="17" s="1"/>
  <c r="P53" i="17"/>
  <c r="I53" i="17"/>
  <c r="J53" i="17" s="1"/>
  <c r="P52" i="17"/>
  <c r="I52" i="17"/>
  <c r="J52" i="17" s="1"/>
  <c r="P51" i="17"/>
  <c r="I51" i="17"/>
  <c r="J51" i="17" s="1"/>
  <c r="P50" i="17"/>
  <c r="J50" i="17"/>
  <c r="I50" i="17"/>
  <c r="P49" i="17"/>
  <c r="G49" i="17"/>
  <c r="J49" i="17" s="1"/>
  <c r="P48" i="17"/>
  <c r="N48" i="17"/>
  <c r="O48" i="17" s="1"/>
  <c r="J48" i="17"/>
  <c r="I48" i="17"/>
  <c r="P47" i="17"/>
  <c r="N47" i="17"/>
  <c r="O47" i="17" s="1"/>
  <c r="I47" i="17"/>
  <c r="J47" i="17" s="1"/>
  <c r="P46" i="17"/>
  <c r="J46" i="17"/>
  <c r="I46" i="17"/>
  <c r="P45" i="17"/>
  <c r="J45" i="17"/>
  <c r="P44" i="17"/>
  <c r="I44" i="17"/>
  <c r="J44" i="17" s="1"/>
  <c r="P43" i="17"/>
  <c r="J43" i="17"/>
  <c r="I43" i="17"/>
  <c r="P42" i="17"/>
  <c r="J42" i="17"/>
  <c r="I42" i="17"/>
  <c r="O41" i="17"/>
  <c r="N41" i="17"/>
  <c r="J41" i="17"/>
  <c r="I41" i="17"/>
  <c r="P40" i="17"/>
  <c r="J40" i="17"/>
  <c r="I40" i="17"/>
  <c r="P39" i="17"/>
  <c r="H39" i="17"/>
  <c r="J39" i="17" s="1"/>
  <c r="D39" i="17"/>
  <c r="M39" i="17" s="1"/>
  <c r="P38" i="17"/>
  <c r="I38" i="17"/>
  <c r="J38" i="17" s="1"/>
  <c r="P37" i="17"/>
  <c r="G37" i="17"/>
  <c r="J37" i="17" s="1"/>
  <c r="P36" i="17"/>
  <c r="G36" i="17"/>
  <c r="J36" i="17" s="1"/>
  <c r="P35" i="17"/>
  <c r="J35" i="17"/>
  <c r="G35" i="17"/>
  <c r="P34" i="17"/>
  <c r="G34" i="17"/>
  <c r="J34" i="17" s="1"/>
  <c r="P33" i="17"/>
  <c r="J33" i="17"/>
  <c r="I33" i="17"/>
  <c r="P32" i="17"/>
  <c r="I32" i="17"/>
  <c r="J32" i="17" s="1"/>
  <c r="P31" i="17"/>
  <c r="I31" i="17"/>
  <c r="J31" i="17" s="1"/>
  <c r="P30" i="17"/>
  <c r="I30" i="17"/>
  <c r="J30" i="17" s="1"/>
  <c r="P29" i="17"/>
  <c r="J29" i="17"/>
  <c r="I29" i="17"/>
  <c r="P28" i="17"/>
  <c r="I28" i="17"/>
  <c r="J28" i="17" s="1"/>
  <c r="P27" i="17"/>
  <c r="I27" i="17"/>
  <c r="J27" i="17" s="1"/>
  <c r="D27" i="17"/>
  <c r="N27" i="17" s="1"/>
  <c r="P22" i="17"/>
  <c r="J22" i="17"/>
  <c r="I22" i="17"/>
  <c r="I21" i="17"/>
  <c r="N21" i="17" s="1"/>
  <c r="O21" i="17" s="1"/>
  <c r="C17" i="17"/>
  <c r="D36" i="17" s="1"/>
  <c r="C16" i="17"/>
  <c r="C15" i="17"/>
  <c r="AD13" i="17"/>
  <c r="AC13" i="17"/>
  <c r="AB13" i="17"/>
  <c r="AA13" i="17"/>
  <c r="Z13" i="17"/>
  <c r="Y13" i="17"/>
  <c r="X13" i="17"/>
  <c r="W13" i="17"/>
  <c r="V13" i="17"/>
  <c r="U13" i="17"/>
  <c r="T13" i="17"/>
  <c r="S13" i="17"/>
  <c r="D11" i="17"/>
  <c r="C11" i="17"/>
  <c r="B11" i="17"/>
  <c r="C10" i="17"/>
  <c r="C9" i="17"/>
  <c r="A6" i="17"/>
  <c r="A4" i="17"/>
  <c r="O66" i="16"/>
  <c r="O65" i="16"/>
  <c r="P54" i="16"/>
  <c r="I54" i="16"/>
  <c r="J54" i="16" s="1"/>
  <c r="N54" i="16" s="1"/>
  <c r="O54" i="16" s="1"/>
  <c r="P53" i="16"/>
  <c r="I53" i="16"/>
  <c r="J53" i="16" s="1"/>
  <c r="P52" i="16"/>
  <c r="I52" i="16"/>
  <c r="J52" i="16" s="1"/>
  <c r="N52" i="16" s="1"/>
  <c r="O52" i="16" s="1"/>
  <c r="D52" i="16"/>
  <c r="P51" i="16"/>
  <c r="I51" i="16"/>
  <c r="J51" i="16" s="1"/>
  <c r="P50" i="16"/>
  <c r="J50" i="16"/>
  <c r="I50" i="16"/>
  <c r="D50" i="16"/>
  <c r="P49" i="16"/>
  <c r="G49" i="16"/>
  <c r="J49" i="16" s="1"/>
  <c r="P48" i="16"/>
  <c r="N48" i="16"/>
  <c r="O48" i="16" s="1"/>
  <c r="I48" i="16"/>
  <c r="J48" i="16" s="1"/>
  <c r="P47" i="16"/>
  <c r="N47" i="16"/>
  <c r="O47" i="16" s="1"/>
  <c r="J47" i="16"/>
  <c r="I47" i="16"/>
  <c r="P46" i="16"/>
  <c r="I46" i="16"/>
  <c r="J46" i="16" s="1"/>
  <c r="P45" i="16"/>
  <c r="J45" i="16"/>
  <c r="D45" i="16"/>
  <c r="O45" i="16" s="1"/>
  <c r="P44" i="16"/>
  <c r="I44" i="16"/>
  <c r="N44" i="16" s="1"/>
  <c r="O44" i="16" s="1"/>
  <c r="P43" i="16"/>
  <c r="I43" i="16"/>
  <c r="J43" i="16" s="1"/>
  <c r="P42" i="16"/>
  <c r="I42" i="16"/>
  <c r="J42" i="16" s="1"/>
  <c r="I41" i="16"/>
  <c r="J41" i="16" s="1"/>
  <c r="N41" i="16" s="1"/>
  <c r="O41" i="16" s="1"/>
  <c r="P40" i="16"/>
  <c r="N40" i="16"/>
  <c r="O40" i="16" s="1"/>
  <c r="J40" i="16"/>
  <c r="I40" i="16"/>
  <c r="D40" i="16"/>
  <c r="P39" i="16"/>
  <c r="J39" i="16"/>
  <c r="H39" i="16"/>
  <c r="D39" i="16"/>
  <c r="M39" i="16" s="1"/>
  <c r="P38" i="16"/>
  <c r="N38" i="16"/>
  <c r="O38" i="16" s="1"/>
  <c r="J38" i="16"/>
  <c r="I38" i="16"/>
  <c r="D38" i="16"/>
  <c r="P37" i="16"/>
  <c r="J37" i="16"/>
  <c r="G37" i="16"/>
  <c r="P36" i="16"/>
  <c r="J36" i="16"/>
  <c r="G36" i="16"/>
  <c r="P35" i="16"/>
  <c r="J35" i="16"/>
  <c r="G35" i="16"/>
  <c r="P34" i="16"/>
  <c r="J34" i="16"/>
  <c r="G34" i="16"/>
  <c r="D34" i="16"/>
  <c r="L34" i="16" s="1"/>
  <c r="P33" i="16"/>
  <c r="J33" i="16"/>
  <c r="I33" i="16"/>
  <c r="P32" i="16"/>
  <c r="N32" i="16"/>
  <c r="O32" i="16" s="1"/>
  <c r="J32" i="16"/>
  <c r="I32" i="16"/>
  <c r="D32" i="16"/>
  <c r="P31" i="16"/>
  <c r="J31" i="16"/>
  <c r="I31" i="16"/>
  <c r="D31" i="16"/>
  <c r="N31" i="16" s="1"/>
  <c r="O31" i="16" s="1"/>
  <c r="P30" i="16"/>
  <c r="J30" i="16"/>
  <c r="I30" i="16"/>
  <c r="D30" i="16"/>
  <c r="N30" i="16" s="1"/>
  <c r="O30" i="16" s="1"/>
  <c r="P29" i="16"/>
  <c r="O29" i="16"/>
  <c r="N29" i="16"/>
  <c r="J29" i="16"/>
  <c r="I29" i="16"/>
  <c r="D29" i="16"/>
  <c r="P28" i="16"/>
  <c r="J28" i="16"/>
  <c r="I28" i="16"/>
  <c r="D28" i="16"/>
  <c r="N28" i="16" s="1"/>
  <c r="O28" i="16" s="1"/>
  <c r="P27" i="16"/>
  <c r="N27" i="16"/>
  <c r="J27" i="16"/>
  <c r="I27" i="16"/>
  <c r="D27" i="16"/>
  <c r="P22" i="16"/>
  <c r="I22" i="16"/>
  <c r="J22" i="16" s="1"/>
  <c r="D22" i="16"/>
  <c r="N21" i="16"/>
  <c r="J21" i="16"/>
  <c r="I21" i="16"/>
  <c r="C17" i="16"/>
  <c r="D36" i="16" s="1"/>
  <c r="L36" i="16" s="1"/>
  <c r="O36" i="16" s="1"/>
  <c r="C16" i="16"/>
  <c r="D49" i="16" s="1"/>
  <c r="L49" i="16" s="1"/>
  <c r="O49" i="16" s="1"/>
  <c r="C15" i="16"/>
  <c r="AD13" i="16"/>
  <c r="AC13" i="16"/>
  <c r="AB13" i="16"/>
  <c r="AA13" i="16"/>
  <c r="Z13" i="16"/>
  <c r="Y13" i="16"/>
  <c r="X13" i="16"/>
  <c r="W13" i="16"/>
  <c r="V13" i="16"/>
  <c r="U13" i="16"/>
  <c r="T13" i="16"/>
  <c r="S13" i="16"/>
  <c r="D11" i="16"/>
  <c r="B11" i="16"/>
  <c r="C11" i="16" s="1"/>
  <c r="C10" i="16"/>
  <c r="C9" i="16"/>
  <c r="A6" i="16"/>
  <c r="A4" i="16"/>
  <c r="D67" i="15"/>
  <c r="O65" i="15"/>
  <c r="P54" i="15"/>
  <c r="I54" i="15"/>
  <c r="J54" i="15" s="1"/>
  <c r="N54" i="15" s="1"/>
  <c r="O54" i="15" s="1"/>
  <c r="P53" i="15"/>
  <c r="J53" i="15"/>
  <c r="I53" i="15"/>
  <c r="P52" i="15"/>
  <c r="I52" i="15"/>
  <c r="J52" i="15" s="1"/>
  <c r="D52" i="15"/>
  <c r="N52" i="15" s="1"/>
  <c r="O52" i="15" s="1"/>
  <c r="P51" i="15"/>
  <c r="I51" i="15"/>
  <c r="J51" i="15" s="1"/>
  <c r="P50" i="15"/>
  <c r="I50" i="15"/>
  <c r="J50" i="15" s="1"/>
  <c r="P49" i="15"/>
  <c r="J49" i="15"/>
  <c r="G49" i="15"/>
  <c r="D49" i="15"/>
  <c r="L49" i="15" s="1"/>
  <c r="O49" i="15" s="1"/>
  <c r="P48" i="15"/>
  <c r="O48" i="15"/>
  <c r="N48" i="15"/>
  <c r="I48" i="15"/>
  <c r="J48" i="15" s="1"/>
  <c r="P47" i="15"/>
  <c r="I47" i="15"/>
  <c r="N47" i="15" s="1"/>
  <c r="O47" i="15" s="1"/>
  <c r="P46" i="15"/>
  <c r="J46" i="15"/>
  <c r="I46" i="15"/>
  <c r="P45" i="15"/>
  <c r="J45" i="15"/>
  <c r="P44" i="15"/>
  <c r="J44" i="15"/>
  <c r="D44" i="15"/>
  <c r="O44" i="15" s="1"/>
  <c r="P43" i="15"/>
  <c r="O43" i="15"/>
  <c r="N43" i="15"/>
  <c r="J43" i="15"/>
  <c r="I43" i="15"/>
  <c r="P42" i="15"/>
  <c r="J42" i="15"/>
  <c r="I42" i="15"/>
  <c r="P41" i="15"/>
  <c r="J41" i="15"/>
  <c r="I41" i="15"/>
  <c r="P40" i="15"/>
  <c r="J40" i="15"/>
  <c r="I40" i="15"/>
  <c r="P39" i="15"/>
  <c r="H39" i="15"/>
  <c r="J39" i="15" s="1"/>
  <c r="P38" i="15"/>
  <c r="J38" i="15"/>
  <c r="I38" i="15"/>
  <c r="D38" i="15"/>
  <c r="P37" i="15"/>
  <c r="O37" i="15"/>
  <c r="L37" i="15"/>
  <c r="J37" i="15"/>
  <c r="G37" i="15"/>
  <c r="D37" i="15"/>
  <c r="P36" i="15"/>
  <c r="G36" i="15"/>
  <c r="J36" i="15" s="1"/>
  <c r="D36" i="15"/>
  <c r="L36" i="15" s="1"/>
  <c r="O36" i="15" s="1"/>
  <c r="P35" i="15"/>
  <c r="G35" i="15"/>
  <c r="L35" i="15" s="1"/>
  <c r="D35" i="15"/>
  <c r="P34" i="15"/>
  <c r="J34" i="15"/>
  <c r="I34" i="15"/>
  <c r="P33" i="15"/>
  <c r="J33" i="15"/>
  <c r="I33" i="15"/>
  <c r="P32" i="15"/>
  <c r="I32" i="15"/>
  <c r="J32" i="15" s="1"/>
  <c r="P31" i="15"/>
  <c r="I31" i="15"/>
  <c r="J31" i="15" s="1"/>
  <c r="D31" i="15"/>
  <c r="N31" i="15" s="1"/>
  <c r="O31" i="15" s="1"/>
  <c r="P30" i="15"/>
  <c r="J30" i="15"/>
  <c r="I30" i="15"/>
  <c r="P29" i="15"/>
  <c r="I29" i="15"/>
  <c r="J29" i="15" s="1"/>
  <c r="D29" i="15"/>
  <c r="N29" i="15" s="1"/>
  <c r="J24" i="15"/>
  <c r="O23" i="15"/>
  <c r="N23" i="15"/>
  <c r="J23" i="15"/>
  <c r="C16" i="15"/>
  <c r="C15" i="15"/>
  <c r="C14" i="15"/>
  <c r="I15" i="15" s="1"/>
  <c r="AD12" i="15"/>
  <c r="AC12" i="15"/>
  <c r="AB12" i="15"/>
  <c r="AA12" i="15"/>
  <c r="Z12" i="15"/>
  <c r="Y12" i="15"/>
  <c r="X12" i="15"/>
  <c r="W12" i="15"/>
  <c r="V12" i="15"/>
  <c r="U12" i="15"/>
  <c r="T12" i="15"/>
  <c r="S12" i="15"/>
  <c r="D10" i="15"/>
  <c r="C10" i="15"/>
  <c r="B10" i="15"/>
  <c r="C9" i="15"/>
  <c r="C8" i="15"/>
  <c r="A6" i="15"/>
  <c r="A4" i="15"/>
  <c r="D67" i="14"/>
  <c r="O64" i="14"/>
  <c r="P54" i="14"/>
  <c r="I54" i="14"/>
  <c r="J54" i="14" s="1"/>
  <c r="N54" i="14" s="1"/>
  <c r="O54" i="14" s="1"/>
  <c r="P53" i="14"/>
  <c r="I53" i="14"/>
  <c r="J53" i="14" s="1"/>
  <c r="P52" i="14"/>
  <c r="I52" i="14"/>
  <c r="J52" i="14" s="1"/>
  <c r="N52" i="14" s="1"/>
  <c r="O52" i="14" s="1"/>
  <c r="D52" i="14"/>
  <c r="P51" i="14"/>
  <c r="J51" i="14"/>
  <c r="I51" i="14"/>
  <c r="P50" i="14"/>
  <c r="J50" i="14"/>
  <c r="I50" i="14"/>
  <c r="D50" i="14"/>
  <c r="P49" i="14"/>
  <c r="G49" i="14"/>
  <c r="L49" i="14" s="1"/>
  <c r="O49" i="14" s="1"/>
  <c r="D49" i="14"/>
  <c r="P48" i="14"/>
  <c r="I48" i="14"/>
  <c r="J48" i="14" s="1"/>
  <c r="P47" i="14"/>
  <c r="N47" i="14"/>
  <c r="O47" i="14" s="1"/>
  <c r="I47" i="14"/>
  <c r="J47" i="14" s="1"/>
  <c r="P46" i="14"/>
  <c r="I46" i="14"/>
  <c r="J46" i="14" s="1"/>
  <c r="P45" i="14"/>
  <c r="J45" i="14"/>
  <c r="D45" i="14"/>
  <c r="O45" i="14" s="1"/>
  <c r="P44" i="14"/>
  <c r="J44" i="14"/>
  <c r="P43" i="14"/>
  <c r="J43" i="14"/>
  <c r="I43" i="14"/>
  <c r="N43" i="14" s="1"/>
  <c r="O43" i="14" s="1"/>
  <c r="P42" i="14"/>
  <c r="I42" i="14"/>
  <c r="J42" i="14" s="1"/>
  <c r="P41" i="14"/>
  <c r="J41" i="14"/>
  <c r="I41" i="14"/>
  <c r="P40" i="14"/>
  <c r="I40" i="14"/>
  <c r="J40" i="14" s="1"/>
  <c r="D40" i="14"/>
  <c r="N40" i="14" s="1"/>
  <c r="O40" i="14" s="1"/>
  <c r="P39" i="14"/>
  <c r="H39" i="14"/>
  <c r="J39" i="14" s="1"/>
  <c r="P38" i="14"/>
  <c r="N38" i="14"/>
  <c r="O38" i="14" s="1"/>
  <c r="I38" i="14"/>
  <c r="J38" i="14" s="1"/>
  <c r="P37" i="14"/>
  <c r="G37" i="14"/>
  <c r="J37" i="14" s="1"/>
  <c r="D37" i="14"/>
  <c r="L37" i="14" s="1"/>
  <c r="O37" i="14" s="1"/>
  <c r="P36" i="14"/>
  <c r="J36" i="14"/>
  <c r="G36" i="14"/>
  <c r="D36" i="14"/>
  <c r="L36" i="14" s="1"/>
  <c r="P35" i="14"/>
  <c r="G35" i="14"/>
  <c r="J35" i="14" s="1"/>
  <c r="D35" i="14"/>
  <c r="L35" i="14" s="1"/>
  <c r="O35" i="14" s="1"/>
  <c r="P34" i="14"/>
  <c r="I34" i="14"/>
  <c r="J34" i="14" s="1"/>
  <c r="P33" i="14"/>
  <c r="I33" i="14"/>
  <c r="J33" i="14" s="1"/>
  <c r="P32" i="14"/>
  <c r="I32" i="14"/>
  <c r="J32" i="14" s="1"/>
  <c r="D32" i="14"/>
  <c r="N32" i="14" s="1"/>
  <c r="O32" i="14" s="1"/>
  <c r="P31" i="14"/>
  <c r="I31" i="14"/>
  <c r="J31" i="14" s="1"/>
  <c r="P30" i="14"/>
  <c r="I30" i="14"/>
  <c r="J30" i="14" s="1"/>
  <c r="D30" i="14"/>
  <c r="P29" i="14"/>
  <c r="I29" i="14"/>
  <c r="J29" i="14" s="1"/>
  <c r="J24" i="14"/>
  <c r="N23" i="14"/>
  <c r="J23" i="14"/>
  <c r="C16" i="14"/>
  <c r="D38" i="14" s="1"/>
  <c r="I15" i="14"/>
  <c r="C15" i="14"/>
  <c r="C14" i="14"/>
  <c r="AD12" i="14"/>
  <c r="AC12" i="14"/>
  <c r="AB12" i="14"/>
  <c r="AA12" i="14"/>
  <c r="Z12" i="14"/>
  <c r="Y12" i="14"/>
  <c r="X12" i="14"/>
  <c r="W12" i="14"/>
  <c r="V12" i="14"/>
  <c r="U12" i="14"/>
  <c r="T12" i="14"/>
  <c r="S12" i="14"/>
  <c r="D10" i="14"/>
  <c r="C10" i="14"/>
  <c r="B10" i="14"/>
  <c r="C9" i="14"/>
  <c r="C8" i="14"/>
  <c r="A6" i="14"/>
  <c r="A4" i="14"/>
  <c r="P54" i="13"/>
  <c r="I54" i="13"/>
  <c r="J54" i="13" s="1"/>
  <c r="N54" i="13" s="1"/>
  <c r="O54" i="13" s="1"/>
  <c r="P53" i="13"/>
  <c r="I53" i="13"/>
  <c r="J53" i="13" s="1"/>
  <c r="P52" i="13"/>
  <c r="I52" i="13"/>
  <c r="J52" i="13" s="1"/>
  <c r="P51" i="13"/>
  <c r="I51" i="13"/>
  <c r="J51" i="13" s="1"/>
  <c r="P50" i="13"/>
  <c r="J50" i="13"/>
  <c r="I50" i="13"/>
  <c r="P49" i="13"/>
  <c r="G49" i="13"/>
  <c r="J49" i="13" s="1"/>
  <c r="P48" i="13"/>
  <c r="I48" i="13"/>
  <c r="N48" i="13" s="1"/>
  <c r="O48" i="13" s="1"/>
  <c r="P47" i="13"/>
  <c r="I47" i="13"/>
  <c r="P46" i="13"/>
  <c r="J46" i="13"/>
  <c r="I46" i="13"/>
  <c r="P45" i="13"/>
  <c r="J45" i="13"/>
  <c r="P44" i="13"/>
  <c r="N44" i="13"/>
  <c r="O44" i="13" s="1"/>
  <c r="J44" i="13"/>
  <c r="I44" i="13"/>
  <c r="P43" i="13"/>
  <c r="J43" i="13"/>
  <c r="I43" i="13"/>
  <c r="P42" i="13"/>
  <c r="J42" i="13"/>
  <c r="I42" i="13"/>
  <c r="I41" i="13"/>
  <c r="J41" i="13" s="1"/>
  <c r="N41" i="13" s="1"/>
  <c r="O41" i="13" s="1"/>
  <c r="P40" i="13"/>
  <c r="I40" i="13"/>
  <c r="J40" i="13" s="1"/>
  <c r="P39" i="13"/>
  <c r="H39" i="13"/>
  <c r="J39" i="13" s="1"/>
  <c r="P38" i="13"/>
  <c r="J38" i="13"/>
  <c r="I38" i="13"/>
  <c r="P37" i="13"/>
  <c r="J37" i="13"/>
  <c r="G37" i="13"/>
  <c r="P36" i="13"/>
  <c r="G36" i="13"/>
  <c r="J36" i="13" s="1"/>
  <c r="P35" i="13"/>
  <c r="G35" i="13"/>
  <c r="J35" i="13" s="1"/>
  <c r="D35" i="13"/>
  <c r="L35" i="13" s="1"/>
  <c r="O35" i="13" s="1"/>
  <c r="P34" i="13"/>
  <c r="J34" i="13"/>
  <c r="G34" i="13"/>
  <c r="P33" i="13"/>
  <c r="J33" i="13"/>
  <c r="I33" i="13"/>
  <c r="P32" i="13"/>
  <c r="J32" i="13"/>
  <c r="I32" i="13"/>
  <c r="P31" i="13"/>
  <c r="I31" i="13"/>
  <c r="J31" i="13" s="1"/>
  <c r="P30" i="13"/>
  <c r="J30" i="13"/>
  <c r="I30" i="13"/>
  <c r="P29" i="13"/>
  <c r="J29" i="13"/>
  <c r="I29" i="13"/>
  <c r="P28" i="13"/>
  <c r="I28" i="13"/>
  <c r="J28" i="13" s="1"/>
  <c r="P27" i="13"/>
  <c r="I27" i="13"/>
  <c r="J27" i="13" s="1"/>
  <c r="J22" i="13"/>
  <c r="N21" i="13"/>
  <c r="J21" i="13"/>
  <c r="C17" i="13"/>
  <c r="C16" i="13"/>
  <c r="C15" i="13"/>
  <c r="AD13" i="13"/>
  <c r="AC13" i="13"/>
  <c r="AB13" i="13"/>
  <c r="AA13" i="13"/>
  <c r="Z13" i="13"/>
  <c r="Y13" i="13"/>
  <c r="X13" i="13"/>
  <c r="W13" i="13"/>
  <c r="V13" i="13"/>
  <c r="U13" i="13"/>
  <c r="T13" i="13"/>
  <c r="S13" i="13"/>
  <c r="D11" i="13"/>
  <c r="C11" i="13"/>
  <c r="B11" i="13"/>
  <c r="C10" i="13"/>
  <c r="C9" i="13"/>
  <c r="A6" i="13"/>
  <c r="A4" i="13"/>
  <c r="O63" i="12"/>
  <c r="P52" i="12"/>
  <c r="N52" i="12"/>
  <c r="O52" i="12" s="1"/>
  <c r="J52" i="12"/>
  <c r="I52" i="12"/>
  <c r="P51" i="12"/>
  <c r="I51" i="12"/>
  <c r="J51" i="12" s="1"/>
  <c r="D51" i="12"/>
  <c r="N51" i="12" s="1"/>
  <c r="O51" i="12" s="1"/>
  <c r="P50" i="12"/>
  <c r="I50" i="12"/>
  <c r="J50" i="12" s="1"/>
  <c r="D50" i="12"/>
  <c r="N50" i="12" s="1"/>
  <c r="O50" i="12" s="1"/>
  <c r="P49" i="12"/>
  <c r="N49" i="12"/>
  <c r="O49" i="12" s="1"/>
  <c r="I49" i="12"/>
  <c r="J49" i="12" s="1"/>
  <c r="D49" i="12"/>
  <c r="P48" i="12"/>
  <c r="J48" i="12"/>
  <c r="I48" i="12"/>
  <c r="D48" i="12"/>
  <c r="N48" i="12" s="1"/>
  <c r="O48" i="12" s="1"/>
  <c r="P47" i="12"/>
  <c r="G47" i="12"/>
  <c r="D47" i="12"/>
  <c r="P46" i="12"/>
  <c r="O46" i="12"/>
  <c r="N46" i="12"/>
  <c r="J46" i="12"/>
  <c r="I46" i="12"/>
  <c r="P45" i="12"/>
  <c r="N45" i="12"/>
  <c r="O45" i="12" s="1"/>
  <c r="J45" i="12"/>
  <c r="I45" i="12"/>
  <c r="P44" i="12"/>
  <c r="I44" i="12"/>
  <c r="J44" i="12" s="1"/>
  <c r="P43" i="12"/>
  <c r="J43" i="12"/>
  <c r="P42" i="12"/>
  <c r="J42" i="12"/>
  <c r="D42" i="12"/>
  <c r="O42" i="12" s="1"/>
  <c r="P41" i="12"/>
  <c r="I41" i="12"/>
  <c r="N41" i="12" s="1"/>
  <c r="O41" i="12" s="1"/>
  <c r="P40" i="12"/>
  <c r="J40" i="12"/>
  <c r="I40" i="12"/>
  <c r="P39" i="12"/>
  <c r="I39" i="12"/>
  <c r="J39" i="12" s="1"/>
  <c r="P38" i="12"/>
  <c r="N38" i="12"/>
  <c r="O38" i="12" s="1"/>
  <c r="J38" i="12"/>
  <c r="I38" i="12"/>
  <c r="P37" i="12"/>
  <c r="I37" i="12"/>
  <c r="J37" i="12" s="1"/>
  <c r="D37" i="12"/>
  <c r="N37" i="12" s="1"/>
  <c r="O37" i="12" s="1"/>
  <c r="P36" i="12"/>
  <c r="H36" i="12"/>
  <c r="J36" i="12" s="1"/>
  <c r="P35" i="12"/>
  <c r="I35" i="12"/>
  <c r="J35" i="12" s="1"/>
  <c r="D35" i="12"/>
  <c r="N35" i="12" s="1"/>
  <c r="O35" i="12" s="1"/>
  <c r="P34" i="12"/>
  <c r="G34" i="12"/>
  <c r="L34" i="12" s="1"/>
  <c r="O34" i="12" s="1"/>
  <c r="D34" i="12"/>
  <c r="P33" i="12"/>
  <c r="L33" i="12"/>
  <c r="O33" i="12" s="1"/>
  <c r="G33" i="12"/>
  <c r="J33" i="12" s="1"/>
  <c r="D33" i="12"/>
  <c r="P32" i="12"/>
  <c r="G32" i="12"/>
  <c r="L32" i="12" s="1"/>
  <c r="O32" i="12" s="1"/>
  <c r="D32" i="12"/>
  <c r="P31" i="12"/>
  <c r="G31" i="12"/>
  <c r="J31" i="12" s="1"/>
  <c r="D31" i="12"/>
  <c r="L31" i="12" s="1"/>
  <c r="P30" i="12"/>
  <c r="I30" i="12"/>
  <c r="J30" i="12" s="1"/>
  <c r="P29" i="12"/>
  <c r="J29" i="12"/>
  <c r="I29" i="12"/>
  <c r="P28" i="12"/>
  <c r="J28" i="12"/>
  <c r="I28" i="12"/>
  <c r="P27" i="12"/>
  <c r="I27" i="12"/>
  <c r="J27" i="12" s="1"/>
  <c r="P26" i="12"/>
  <c r="I26" i="12"/>
  <c r="J26" i="12" s="1"/>
  <c r="P25" i="12"/>
  <c r="J25" i="12"/>
  <c r="I25" i="12"/>
  <c r="D25" i="12"/>
  <c r="N25" i="12" s="1"/>
  <c r="J20" i="12"/>
  <c r="N19" i="12"/>
  <c r="J19" i="12"/>
  <c r="C15" i="12"/>
  <c r="AD13" i="12"/>
  <c r="AC13" i="12"/>
  <c r="AB13" i="12"/>
  <c r="AA13" i="12"/>
  <c r="Z13" i="12"/>
  <c r="Y13" i="12"/>
  <c r="X13" i="12"/>
  <c r="W13" i="12"/>
  <c r="V13" i="12"/>
  <c r="U13" i="12"/>
  <c r="T13" i="12"/>
  <c r="S13" i="12"/>
  <c r="D11" i="12"/>
  <c r="B11" i="12"/>
  <c r="C11" i="12" s="1"/>
  <c r="C10" i="12"/>
  <c r="C9" i="12"/>
  <c r="A5" i="12"/>
  <c r="A4" i="12"/>
  <c r="O65" i="11"/>
  <c r="P54" i="11"/>
  <c r="O54" i="11"/>
  <c r="N54" i="11"/>
  <c r="J54" i="11"/>
  <c r="I54" i="11"/>
  <c r="P53" i="11"/>
  <c r="J53" i="11"/>
  <c r="I53" i="11"/>
  <c r="P52" i="11"/>
  <c r="I52" i="11"/>
  <c r="J52" i="11" s="1"/>
  <c r="D52" i="11"/>
  <c r="P51" i="11"/>
  <c r="I51" i="11"/>
  <c r="J51" i="11" s="1"/>
  <c r="P50" i="11"/>
  <c r="I50" i="11"/>
  <c r="J50" i="11" s="1"/>
  <c r="D50" i="11"/>
  <c r="N50" i="11" s="1"/>
  <c r="O50" i="11" s="1"/>
  <c r="P49" i="11"/>
  <c r="J49" i="11"/>
  <c r="G49" i="11"/>
  <c r="D49" i="11"/>
  <c r="L49" i="11" s="1"/>
  <c r="O49" i="11" s="1"/>
  <c r="P48" i="11"/>
  <c r="N48" i="11"/>
  <c r="O48" i="11" s="1"/>
  <c r="J48" i="11"/>
  <c r="I48" i="11"/>
  <c r="P47" i="11"/>
  <c r="I47" i="11"/>
  <c r="N47" i="11" s="1"/>
  <c r="O47" i="11" s="1"/>
  <c r="P46" i="11"/>
  <c r="I46" i="11"/>
  <c r="J46" i="11" s="1"/>
  <c r="P45" i="11"/>
  <c r="J45" i="11"/>
  <c r="P44" i="11"/>
  <c r="N44" i="11"/>
  <c r="O44" i="11" s="1"/>
  <c r="J44" i="11"/>
  <c r="I44" i="11"/>
  <c r="P43" i="11"/>
  <c r="J43" i="11"/>
  <c r="I43" i="11"/>
  <c r="P42" i="11"/>
  <c r="J42" i="11"/>
  <c r="I42" i="11"/>
  <c r="I41" i="11"/>
  <c r="J41" i="11" s="1"/>
  <c r="N41" i="11" s="1"/>
  <c r="O41" i="11" s="1"/>
  <c r="P40" i="11"/>
  <c r="I40" i="11"/>
  <c r="J40" i="11" s="1"/>
  <c r="P39" i="11"/>
  <c r="H39" i="11"/>
  <c r="J39" i="11" s="1"/>
  <c r="P38" i="11"/>
  <c r="I38" i="11"/>
  <c r="J38" i="11" s="1"/>
  <c r="D38" i="11"/>
  <c r="N38" i="11" s="1"/>
  <c r="O38" i="11" s="1"/>
  <c r="P37" i="11"/>
  <c r="J37" i="11"/>
  <c r="G37" i="11"/>
  <c r="D37" i="11"/>
  <c r="L37" i="11" s="1"/>
  <c r="O37" i="11" s="1"/>
  <c r="P36" i="11"/>
  <c r="O36" i="11"/>
  <c r="L36" i="11"/>
  <c r="J36" i="11"/>
  <c r="G36" i="11"/>
  <c r="D36" i="11"/>
  <c r="P35" i="11"/>
  <c r="O35" i="11"/>
  <c r="J35" i="11"/>
  <c r="G35" i="11"/>
  <c r="P34" i="11"/>
  <c r="G34" i="11"/>
  <c r="L34" i="11" s="1"/>
  <c r="D34" i="11"/>
  <c r="P33" i="11"/>
  <c r="I33" i="11"/>
  <c r="J33" i="11" s="1"/>
  <c r="P32" i="11"/>
  <c r="I32" i="11"/>
  <c r="J32" i="11" s="1"/>
  <c r="D32" i="11"/>
  <c r="N32" i="11" s="1"/>
  <c r="O32" i="11" s="1"/>
  <c r="P31" i="11"/>
  <c r="I31" i="11"/>
  <c r="J31" i="11" s="1"/>
  <c r="D31" i="11"/>
  <c r="P30" i="11"/>
  <c r="I30" i="11"/>
  <c r="J30" i="11" s="1"/>
  <c r="P29" i="11"/>
  <c r="I29" i="11"/>
  <c r="J29" i="11" s="1"/>
  <c r="D29" i="11"/>
  <c r="N29" i="11" s="1"/>
  <c r="O29" i="11" s="1"/>
  <c r="P28" i="11"/>
  <c r="J28" i="11"/>
  <c r="I28" i="11"/>
  <c r="P27" i="11"/>
  <c r="I27" i="11"/>
  <c r="J27" i="11" s="1"/>
  <c r="D27" i="11"/>
  <c r="J22" i="11"/>
  <c r="N21" i="11"/>
  <c r="J21" i="11"/>
  <c r="C17" i="11"/>
  <c r="C16" i="11"/>
  <c r="D35" i="11" s="1"/>
  <c r="L35" i="11" s="1"/>
  <c r="C15" i="11"/>
  <c r="AD13" i="11"/>
  <c r="AC13" i="11"/>
  <c r="AB13" i="11"/>
  <c r="AA13" i="11"/>
  <c r="Z13" i="11"/>
  <c r="Y13" i="11"/>
  <c r="X13" i="11"/>
  <c r="W13" i="11"/>
  <c r="V13" i="11"/>
  <c r="U13" i="11"/>
  <c r="T13" i="11"/>
  <c r="S13" i="11"/>
  <c r="D11" i="11"/>
  <c r="B11" i="11"/>
  <c r="C11" i="11" s="1"/>
  <c r="C10" i="11"/>
  <c r="C9" i="11"/>
  <c r="A6" i="11"/>
  <c r="A4" i="11"/>
  <c r="O65" i="10"/>
  <c r="P53" i="10"/>
  <c r="I53" i="10"/>
  <c r="J53" i="10" s="1"/>
  <c r="N53" i="10" s="1"/>
  <c r="O53" i="10" s="1"/>
  <c r="P52" i="10"/>
  <c r="I52" i="10"/>
  <c r="J52" i="10" s="1"/>
  <c r="P51" i="10"/>
  <c r="I51" i="10"/>
  <c r="J51" i="10" s="1"/>
  <c r="D51" i="10"/>
  <c r="P50" i="10"/>
  <c r="I50" i="10"/>
  <c r="J50" i="10" s="1"/>
  <c r="P49" i="10"/>
  <c r="I49" i="10"/>
  <c r="J49" i="10" s="1"/>
  <c r="D49" i="10"/>
  <c r="N49" i="10" s="1"/>
  <c r="O49" i="10" s="1"/>
  <c r="P48" i="10"/>
  <c r="G48" i="10"/>
  <c r="L48" i="10" s="1"/>
  <c r="O48" i="10" s="1"/>
  <c r="D48" i="10"/>
  <c r="P47" i="10"/>
  <c r="O47" i="10"/>
  <c r="J47" i="10"/>
  <c r="I47" i="10"/>
  <c r="N47" i="10" s="1"/>
  <c r="P46" i="10"/>
  <c r="I46" i="10"/>
  <c r="N46" i="10" s="1"/>
  <c r="O46" i="10" s="1"/>
  <c r="P45" i="10"/>
  <c r="J45" i="10"/>
  <c r="I45" i="10"/>
  <c r="P44" i="10"/>
  <c r="J44" i="10"/>
  <c r="D44" i="10"/>
  <c r="O44" i="10" s="1"/>
  <c r="P43" i="10"/>
  <c r="N43" i="10"/>
  <c r="O43" i="10" s="1"/>
  <c r="J43" i="10"/>
  <c r="I43" i="10"/>
  <c r="P42" i="10"/>
  <c r="J42" i="10"/>
  <c r="I42" i="10"/>
  <c r="P41" i="10"/>
  <c r="I41" i="10"/>
  <c r="J41" i="10" s="1"/>
  <c r="P40" i="10"/>
  <c r="I40" i="10"/>
  <c r="J40" i="10" s="1"/>
  <c r="N40" i="10" s="1"/>
  <c r="O40" i="10" s="1"/>
  <c r="P39" i="10"/>
  <c r="N39" i="10"/>
  <c r="O39" i="10" s="1"/>
  <c r="J39" i="10"/>
  <c r="I39" i="10"/>
  <c r="D39" i="10"/>
  <c r="P38" i="10"/>
  <c r="H38" i="10"/>
  <c r="J38" i="10" s="1"/>
  <c r="P37" i="10"/>
  <c r="I37" i="10"/>
  <c r="J37" i="10" s="1"/>
  <c r="D37" i="10"/>
  <c r="N37" i="10" s="1"/>
  <c r="O37" i="10" s="1"/>
  <c r="P36" i="10"/>
  <c r="O36" i="10"/>
  <c r="J36" i="10"/>
  <c r="G36" i="10"/>
  <c r="D36" i="10"/>
  <c r="L36" i="10" s="1"/>
  <c r="P35" i="10"/>
  <c r="G35" i="10"/>
  <c r="J35" i="10" s="1"/>
  <c r="D35" i="10"/>
  <c r="P34" i="10"/>
  <c r="G34" i="10"/>
  <c r="J34" i="10" s="1"/>
  <c r="D34" i="10"/>
  <c r="P33" i="10"/>
  <c r="I33" i="10"/>
  <c r="J33" i="10" s="1"/>
  <c r="P32" i="10"/>
  <c r="I32" i="10"/>
  <c r="J32" i="10" s="1"/>
  <c r="D32" i="10"/>
  <c r="N32" i="10" s="1"/>
  <c r="O32" i="10" s="1"/>
  <c r="P31" i="10"/>
  <c r="O31" i="10"/>
  <c r="J31" i="10"/>
  <c r="I31" i="10"/>
  <c r="D31" i="10"/>
  <c r="N31" i="10" s="1"/>
  <c r="P30" i="10"/>
  <c r="I30" i="10"/>
  <c r="J30" i="10" s="1"/>
  <c r="P29" i="10"/>
  <c r="I29" i="10"/>
  <c r="J29" i="10" s="1"/>
  <c r="P28" i="10"/>
  <c r="I28" i="10"/>
  <c r="J28" i="10" s="1"/>
  <c r="D28" i="10"/>
  <c r="P27" i="10"/>
  <c r="J27" i="10"/>
  <c r="I27" i="10"/>
  <c r="D27" i="10"/>
  <c r="N27" i="10" s="1"/>
  <c r="J22" i="10"/>
  <c r="D22" i="10"/>
  <c r="N22" i="10" s="1"/>
  <c r="O22" i="10" s="1"/>
  <c r="N21" i="10"/>
  <c r="O21" i="10" s="1"/>
  <c r="J21" i="10"/>
  <c r="C15" i="10"/>
  <c r="D50" i="10" s="1"/>
  <c r="N50" i="10" s="1"/>
  <c r="O50" i="10" s="1"/>
  <c r="AD13" i="10"/>
  <c r="AC13" i="10"/>
  <c r="AB13" i="10"/>
  <c r="AA13" i="10"/>
  <c r="Z13" i="10"/>
  <c r="Y13" i="10"/>
  <c r="X13" i="10"/>
  <c r="W13" i="10"/>
  <c r="V13" i="10"/>
  <c r="U13" i="10"/>
  <c r="T13" i="10"/>
  <c r="S13" i="10"/>
  <c r="D11" i="10"/>
  <c r="B11" i="10"/>
  <c r="C11" i="10" s="1"/>
  <c r="C10" i="10"/>
  <c r="C9" i="10"/>
  <c r="A6" i="10"/>
  <c r="A4" i="10"/>
  <c r="O69" i="9"/>
  <c r="O68" i="9"/>
  <c r="O64" i="9"/>
  <c r="L59" i="9"/>
  <c r="L61" i="9" s="1"/>
  <c r="P57" i="9"/>
  <c r="I57" i="9"/>
  <c r="J57" i="9" s="1"/>
  <c r="N57" i="9" s="1"/>
  <c r="O57" i="9" s="1"/>
  <c r="P56" i="9"/>
  <c r="J56" i="9"/>
  <c r="I56" i="9"/>
  <c r="P55" i="9"/>
  <c r="N55" i="9"/>
  <c r="O55" i="9" s="1"/>
  <c r="J55" i="9"/>
  <c r="I55" i="9"/>
  <c r="P54" i="9"/>
  <c r="I54" i="9"/>
  <c r="J54" i="9" s="1"/>
  <c r="P53" i="9"/>
  <c r="G53" i="9"/>
  <c r="J53" i="9" s="1"/>
  <c r="D53" i="9"/>
  <c r="L53" i="9" s="1"/>
  <c r="O53" i="9" s="1"/>
  <c r="P52" i="9"/>
  <c r="N52" i="9"/>
  <c r="O52" i="9" s="1"/>
  <c r="J52" i="9"/>
  <c r="I52" i="9"/>
  <c r="P51" i="9"/>
  <c r="N51" i="9"/>
  <c r="O51" i="9" s="1"/>
  <c r="J51" i="9"/>
  <c r="I51" i="9"/>
  <c r="P50" i="9"/>
  <c r="I50" i="9"/>
  <c r="J50" i="9" s="1"/>
  <c r="P49" i="9"/>
  <c r="J49" i="9"/>
  <c r="P48" i="9"/>
  <c r="I48" i="9"/>
  <c r="N48" i="9" s="1"/>
  <c r="O48" i="9" s="1"/>
  <c r="P47" i="9"/>
  <c r="J47" i="9"/>
  <c r="I47" i="9"/>
  <c r="P46" i="9"/>
  <c r="J46" i="9"/>
  <c r="I46" i="9"/>
  <c r="P45" i="9"/>
  <c r="J45" i="9"/>
  <c r="I45" i="9"/>
  <c r="D45" i="9"/>
  <c r="N45" i="9" s="1"/>
  <c r="O45" i="9" s="1"/>
  <c r="P44" i="9"/>
  <c r="J44" i="9"/>
  <c r="I44" i="9"/>
  <c r="P43" i="9"/>
  <c r="J43" i="9"/>
  <c r="H43" i="9"/>
  <c r="D43" i="9"/>
  <c r="M43" i="9" s="1"/>
  <c r="P42" i="9"/>
  <c r="J42" i="9"/>
  <c r="N42" i="9" s="1"/>
  <c r="O42" i="9" s="1"/>
  <c r="I42" i="9"/>
  <c r="P41" i="9"/>
  <c r="O41" i="9"/>
  <c r="L41" i="9"/>
  <c r="J41" i="9"/>
  <c r="G41" i="9"/>
  <c r="D41" i="9"/>
  <c r="P40" i="9"/>
  <c r="L40" i="9"/>
  <c r="O40" i="9" s="1"/>
  <c r="J40" i="9"/>
  <c r="G40" i="9"/>
  <c r="D40" i="9"/>
  <c r="P39" i="9"/>
  <c r="L39" i="9"/>
  <c r="O39" i="9" s="1"/>
  <c r="J39" i="9"/>
  <c r="G39" i="9"/>
  <c r="D39" i="9"/>
  <c r="P38" i="9"/>
  <c r="I38" i="9"/>
  <c r="J38" i="9" s="1"/>
  <c r="P37" i="9"/>
  <c r="I37" i="9"/>
  <c r="J37" i="9" s="1"/>
  <c r="P36" i="9"/>
  <c r="J36" i="9"/>
  <c r="I36" i="9"/>
  <c r="P35" i="9"/>
  <c r="I35" i="9"/>
  <c r="J35" i="9" s="1"/>
  <c r="P34" i="9"/>
  <c r="I34" i="9"/>
  <c r="J34" i="9" s="1"/>
  <c r="D34" i="9"/>
  <c r="N34" i="9" s="1"/>
  <c r="O34" i="9" s="1"/>
  <c r="P33" i="9"/>
  <c r="J33" i="9"/>
  <c r="I33" i="9"/>
  <c r="P32" i="9"/>
  <c r="J32" i="9"/>
  <c r="I32" i="9"/>
  <c r="N27" i="9"/>
  <c r="O27" i="9" s="1"/>
  <c r="J27" i="9"/>
  <c r="J26" i="9"/>
  <c r="O25" i="9"/>
  <c r="N25" i="9"/>
  <c r="J25" i="9"/>
  <c r="D18" i="9"/>
  <c r="D27" i="9" s="1"/>
  <c r="D17" i="9"/>
  <c r="D11" i="9"/>
  <c r="C11" i="9"/>
  <c r="B11" i="9"/>
  <c r="C10" i="9"/>
  <c r="C9" i="9"/>
  <c r="A6" i="9"/>
  <c r="A4" i="9"/>
  <c r="O63" i="8"/>
  <c r="O62" i="8"/>
  <c r="M53" i="8"/>
  <c r="M55" i="8" s="1"/>
  <c r="P51" i="8"/>
  <c r="I51" i="8"/>
  <c r="J51" i="8" s="1"/>
  <c r="N51" i="8" s="1"/>
  <c r="O51" i="8" s="1"/>
  <c r="P50" i="8"/>
  <c r="I50" i="8"/>
  <c r="J50" i="8" s="1"/>
  <c r="D50" i="8"/>
  <c r="P49" i="8"/>
  <c r="O49" i="8"/>
  <c r="J49" i="8"/>
  <c r="N49" i="8" s="1"/>
  <c r="I49" i="8"/>
  <c r="P48" i="8"/>
  <c r="I48" i="8"/>
  <c r="J48" i="8" s="1"/>
  <c r="N48" i="8" s="1"/>
  <c r="O48" i="8" s="1"/>
  <c r="D48" i="8"/>
  <c r="P47" i="8"/>
  <c r="L47" i="8"/>
  <c r="O47" i="8" s="1"/>
  <c r="J47" i="8"/>
  <c r="G47" i="8"/>
  <c r="D47" i="8"/>
  <c r="P46" i="8"/>
  <c r="I46" i="8"/>
  <c r="P45" i="8"/>
  <c r="N45" i="8"/>
  <c r="O45" i="8" s="1"/>
  <c r="J45" i="8"/>
  <c r="I45" i="8"/>
  <c r="P44" i="8"/>
  <c r="I44" i="8"/>
  <c r="J44" i="8" s="1"/>
  <c r="P43" i="8"/>
  <c r="J43" i="8"/>
  <c r="D43" i="8"/>
  <c r="O43" i="8" s="1"/>
  <c r="P42" i="8"/>
  <c r="N42" i="8"/>
  <c r="O42" i="8" s="1"/>
  <c r="J42" i="8"/>
  <c r="I42" i="8"/>
  <c r="P41" i="8"/>
  <c r="J41" i="8"/>
  <c r="I41" i="8"/>
  <c r="P40" i="8"/>
  <c r="I40" i="8"/>
  <c r="J40" i="8" s="1"/>
  <c r="P39" i="8"/>
  <c r="O39" i="8"/>
  <c r="I39" i="8"/>
  <c r="J39" i="8" s="1"/>
  <c r="D39" i="8"/>
  <c r="N39" i="8" s="1"/>
  <c r="P38" i="8"/>
  <c r="I38" i="8"/>
  <c r="J38" i="8" s="1"/>
  <c r="D38" i="8"/>
  <c r="N38" i="8" s="1"/>
  <c r="O38" i="8" s="1"/>
  <c r="P37" i="8"/>
  <c r="J37" i="8"/>
  <c r="H37" i="8"/>
  <c r="D37" i="8"/>
  <c r="M37" i="8" s="1"/>
  <c r="O37" i="8" s="1"/>
  <c r="P36" i="8"/>
  <c r="J36" i="8"/>
  <c r="N36" i="8" s="1"/>
  <c r="O36" i="8" s="1"/>
  <c r="I36" i="8"/>
  <c r="P35" i="8"/>
  <c r="G35" i="8"/>
  <c r="J35" i="8" s="1"/>
  <c r="D35" i="8"/>
  <c r="L35" i="8" s="1"/>
  <c r="O35" i="8" s="1"/>
  <c r="P34" i="8"/>
  <c r="L34" i="8"/>
  <c r="O34" i="8" s="1"/>
  <c r="J34" i="8"/>
  <c r="G34" i="8"/>
  <c r="D34" i="8"/>
  <c r="P33" i="8"/>
  <c r="L33" i="8"/>
  <c r="O33" i="8" s="1"/>
  <c r="G33" i="8"/>
  <c r="J33" i="8" s="1"/>
  <c r="D33" i="8"/>
  <c r="P32" i="8"/>
  <c r="G32" i="8"/>
  <c r="J32" i="8" s="1"/>
  <c r="D32" i="8"/>
  <c r="L32" i="8" s="1"/>
  <c r="P31" i="8"/>
  <c r="I31" i="8"/>
  <c r="J31" i="8" s="1"/>
  <c r="P30" i="8"/>
  <c r="O30" i="8"/>
  <c r="J30" i="8"/>
  <c r="I30" i="8"/>
  <c r="D30" i="8"/>
  <c r="N30" i="8" s="1"/>
  <c r="P29" i="8"/>
  <c r="O29" i="8"/>
  <c r="N29" i="8"/>
  <c r="I29" i="8"/>
  <c r="J29" i="8" s="1"/>
  <c r="D29" i="8"/>
  <c r="P28" i="8"/>
  <c r="I28" i="8"/>
  <c r="J28" i="8" s="1"/>
  <c r="D28" i="8"/>
  <c r="P27" i="8"/>
  <c r="I27" i="8"/>
  <c r="J27" i="8" s="1"/>
  <c r="D27" i="8"/>
  <c r="N27" i="8" s="1"/>
  <c r="O27" i="8" s="1"/>
  <c r="P26" i="8"/>
  <c r="J26" i="8"/>
  <c r="I26" i="8"/>
  <c r="D26" i="8"/>
  <c r="N26" i="8" s="1"/>
  <c r="O26" i="8" s="1"/>
  <c r="P25" i="8"/>
  <c r="O25" i="8"/>
  <c r="N25" i="8"/>
  <c r="I25" i="8"/>
  <c r="J25" i="8" s="1"/>
  <c r="D25" i="8"/>
  <c r="O20" i="8"/>
  <c r="N20" i="8"/>
  <c r="J20" i="8"/>
  <c r="D20" i="8"/>
  <c r="N19" i="8"/>
  <c r="N21" i="8" s="1"/>
  <c r="J19" i="8"/>
  <c r="AD15" i="8"/>
  <c r="AC15" i="8"/>
  <c r="AB15" i="8"/>
  <c r="AA15" i="8"/>
  <c r="Z15" i="8"/>
  <c r="Y15" i="8"/>
  <c r="X15" i="8"/>
  <c r="W15" i="8"/>
  <c r="V15" i="8"/>
  <c r="U15" i="8"/>
  <c r="T15" i="8"/>
  <c r="S15" i="8"/>
  <c r="C15" i="8"/>
  <c r="D11" i="8"/>
  <c r="B11" i="8"/>
  <c r="C11" i="8" s="1"/>
  <c r="C10" i="8"/>
  <c r="C9" i="8"/>
  <c r="A6" i="8"/>
  <c r="A4" i="8"/>
  <c r="P57" i="7"/>
  <c r="N57" i="7"/>
  <c r="O57" i="7" s="1"/>
  <c r="J57" i="7"/>
  <c r="I57" i="7"/>
  <c r="P56" i="7"/>
  <c r="J56" i="7"/>
  <c r="N56" i="7" s="1"/>
  <c r="O56" i="7" s="1"/>
  <c r="I56" i="7"/>
  <c r="D56" i="7"/>
  <c r="P55" i="7"/>
  <c r="O55" i="7"/>
  <c r="J55" i="7"/>
  <c r="N55" i="7" s="1"/>
  <c r="I55" i="7"/>
  <c r="P54" i="7"/>
  <c r="I54" i="7"/>
  <c r="J54" i="7" s="1"/>
  <c r="P53" i="7"/>
  <c r="L53" i="7"/>
  <c r="O53" i="7" s="1"/>
  <c r="G53" i="7"/>
  <c r="J53" i="7" s="1"/>
  <c r="D53" i="7"/>
  <c r="P52" i="7"/>
  <c r="I52" i="7"/>
  <c r="P51" i="7"/>
  <c r="O51" i="7"/>
  <c r="N51" i="7"/>
  <c r="J51" i="7"/>
  <c r="I51" i="7"/>
  <c r="P50" i="7"/>
  <c r="J50" i="7"/>
  <c r="I50" i="7"/>
  <c r="P49" i="7"/>
  <c r="J49" i="7"/>
  <c r="P48" i="7"/>
  <c r="O48" i="7"/>
  <c r="N48" i="7"/>
  <c r="J48" i="7"/>
  <c r="I48" i="7"/>
  <c r="P47" i="7"/>
  <c r="I47" i="7"/>
  <c r="J47" i="7" s="1"/>
  <c r="P46" i="7"/>
  <c r="I46" i="7"/>
  <c r="J46" i="7" s="1"/>
  <c r="P45" i="7"/>
  <c r="J45" i="7"/>
  <c r="I45" i="7"/>
  <c r="P44" i="7"/>
  <c r="J44" i="7"/>
  <c r="I44" i="7"/>
  <c r="P43" i="7"/>
  <c r="H43" i="7"/>
  <c r="J43" i="7" s="1"/>
  <c r="P42" i="7"/>
  <c r="I42" i="7"/>
  <c r="J42" i="7" s="1"/>
  <c r="N42" i="7" s="1"/>
  <c r="O42" i="7" s="1"/>
  <c r="P41" i="7"/>
  <c r="L41" i="7"/>
  <c r="O41" i="7" s="1"/>
  <c r="J41" i="7"/>
  <c r="G41" i="7"/>
  <c r="D41" i="7"/>
  <c r="P40" i="7"/>
  <c r="J40" i="7"/>
  <c r="G40" i="7"/>
  <c r="D40" i="7"/>
  <c r="L40" i="7" s="1"/>
  <c r="O40" i="7" s="1"/>
  <c r="P39" i="7"/>
  <c r="G39" i="7"/>
  <c r="L39" i="7" s="1"/>
  <c r="D39" i="7"/>
  <c r="P38" i="7"/>
  <c r="J38" i="7"/>
  <c r="I38" i="7"/>
  <c r="P37" i="7"/>
  <c r="I37" i="7"/>
  <c r="J37" i="7" s="1"/>
  <c r="P36" i="7"/>
  <c r="J36" i="7"/>
  <c r="I36" i="7"/>
  <c r="P35" i="7"/>
  <c r="I35" i="7"/>
  <c r="J35" i="7" s="1"/>
  <c r="P34" i="7"/>
  <c r="J34" i="7"/>
  <c r="I34" i="7"/>
  <c r="P33" i="7"/>
  <c r="I33" i="7"/>
  <c r="J33" i="7" s="1"/>
  <c r="P32" i="7"/>
  <c r="J32" i="7"/>
  <c r="I32" i="7"/>
  <c r="P27" i="7"/>
  <c r="I27" i="7"/>
  <c r="P26" i="7"/>
  <c r="I26" i="7"/>
  <c r="I25" i="7"/>
  <c r="J25" i="7" s="1"/>
  <c r="D18" i="7"/>
  <c r="D27" i="7" s="1"/>
  <c r="N27" i="7" s="1"/>
  <c r="O27" i="7" s="1"/>
  <c r="D17" i="7"/>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C11" i="7"/>
  <c r="B11" i="7"/>
  <c r="C10" i="7"/>
  <c r="C9" i="7"/>
  <c r="A6" i="7"/>
  <c r="A4" i="7"/>
  <c r="O64" i="6"/>
  <c r="M61" i="6"/>
  <c r="P57" i="6"/>
  <c r="N57" i="6"/>
  <c r="O57" i="6" s="1"/>
  <c r="J57" i="6"/>
  <c r="I57" i="6"/>
  <c r="P56" i="6"/>
  <c r="I56" i="6"/>
  <c r="J56" i="6" s="1"/>
  <c r="N56" i="6" s="1"/>
  <c r="O56" i="6" s="1"/>
  <c r="D56" i="6"/>
  <c r="P55" i="6"/>
  <c r="O55" i="6"/>
  <c r="J55" i="6"/>
  <c r="N55" i="6" s="1"/>
  <c r="I55" i="6"/>
  <c r="P54" i="6"/>
  <c r="I54" i="6"/>
  <c r="J54" i="6" s="1"/>
  <c r="D54" i="6"/>
  <c r="P53" i="6"/>
  <c r="G53" i="6"/>
  <c r="J53" i="6" s="1"/>
  <c r="D53" i="6"/>
  <c r="L53" i="6" s="1"/>
  <c r="O53" i="6" s="1"/>
  <c r="P52" i="6"/>
  <c r="O52" i="6"/>
  <c r="N52" i="6"/>
  <c r="I52" i="6"/>
  <c r="J52" i="6" s="1"/>
  <c r="P51" i="6"/>
  <c r="I51" i="6"/>
  <c r="J51" i="6" s="1"/>
  <c r="P50" i="6"/>
  <c r="I50" i="6"/>
  <c r="J50" i="6" s="1"/>
  <c r="P49" i="6"/>
  <c r="J49" i="6"/>
  <c r="P48" i="6"/>
  <c r="I48" i="6"/>
  <c r="N48" i="6" s="1"/>
  <c r="O48" i="6" s="1"/>
  <c r="P47" i="6"/>
  <c r="J47" i="6"/>
  <c r="I47" i="6"/>
  <c r="P46" i="6"/>
  <c r="J46" i="6"/>
  <c r="I46" i="6"/>
  <c r="P45" i="6"/>
  <c r="I45" i="6"/>
  <c r="J45" i="6" s="1"/>
  <c r="P44" i="6"/>
  <c r="I44" i="6"/>
  <c r="J44" i="6" s="1"/>
  <c r="P43" i="6"/>
  <c r="O43" i="6"/>
  <c r="M43" i="6"/>
  <c r="M59" i="6" s="1"/>
  <c r="J43" i="6"/>
  <c r="H43" i="6"/>
  <c r="D43" i="6"/>
  <c r="P42" i="6"/>
  <c r="O42" i="6"/>
  <c r="N42" i="6"/>
  <c r="I42" i="6"/>
  <c r="J42" i="6" s="1"/>
  <c r="P41" i="6"/>
  <c r="G41" i="6"/>
  <c r="J41" i="6" s="1"/>
  <c r="D41" i="6"/>
  <c r="P40" i="6"/>
  <c r="J40" i="6"/>
  <c r="G40" i="6"/>
  <c r="P39" i="6"/>
  <c r="G39" i="6"/>
  <c r="J39" i="6" s="1"/>
  <c r="D39" i="6"/>
  <c r="L39" i="6" s="1"/>
  <c r="O39" i="6" s="1"/>
  <c r="P38" i="6"/>
  <c r="O38" i="6"/>
  <c r="L38" i="6"/>
  <c r="J38" i="6"/>
  <c r="G38" i="6"/>
  <c r="D38" i="6"/>
  <c r="P37" i="6"/>
  <c r="I37" i="6"/>
  <c r="J37" i="6" s="1"/>
  <c r="P36" i="6"/>
  <c r="J36" i="6"/>
  <c r="I36" i="6"/>
  <c r="P35" i="6"/>
  <c r="I35" i="6"/>
  <c r="J35" i="6" s="1"/>
  <c r="D35" i="6"/>
  <c r="N35" i="6" s="1"/>
  <c r="O35" i="6" s="1"/>
  <c r="P34" i="6"/>
  <c r="J34" i="6"/>
  <c r="I34" i="6"/>
  <c r="P33" i="6"/>
  <c r="I33" i="6"/>
  <c r="J33" i="6" s="1"/>
  <c r="D33" i="6"/>
  <c r="N33" i="6" s="1"/>
  <c r="O33" i="6" s="1"/>
  <c r="P32" i="6"/>
  <c r="J32" i="6"/>
  <c r="I32" i="6"/>
  <c r="P31" i="6"/>
  <c r="N31" i="6"/>
  <c r="O31" i="6" s="1"/>
  <c r="J31" i="6"/>
  <c r="I31" i="6"/>
  <c r="D31" i="6"/>
  <c r="J26" i="6"/>
  <c r="N25" i="6"/>
  <c r="O25" i="6" s="1"/>
  <c r="J25" i="6"/>
  <c r="D19" i="6"/>
  <c r="D40" i="6" s="1"/>
  <c r="L40" i="6" s="1"/>
  <c r="O40" i="6" s="1"/>
  <c r="D18" i="6"/>
  <c r="D17" i="6"/>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s="1"/>
  <c r="C10" i="6"/>
  <c r="C9" i="6"/>
  <c r="A6" i="6"/>
  <c r="A4" i="6"/>
  <c r="P50" i="5"/>
  <c r="I50" i="5"/>
  <c r="J50" i="5" s="1"/>
  <c r="N50" i="5" s="1"/>
  <c r="O50" i="5" s="1"/>
  <c r="P49" i="5"/>
  <c r="J49" i="5"/>
  <c r="N49" i="5" s="1"/>
  <c r="O49" i="5" s="1"/>
  <c r="I49" i="5"/>
  <c r="D49" i="5"/>
  <c r="P48" i="5"/>
  <c r="I48" i="5"/>
  <c r="J48" i="5" s="1"/>
  <c r="N48" i="5" s="1"/>
  <c r="O48" i="5" s="1"/>
  <c r="P47" i="5"/>
  <c r="I47" i="5"/>
  <c r="J47" i="5" s="1"/>
  <c r="P46" i="5"/>
  <c r="L46" i="5"/>
  <c r="O46" i="5" s="1"/>
  <c r="J46" i="5"/>
  <c r="G46" i="5"/>
  <c r="D46" i="5"/>
  <c r="P45" i="5"/>
  <c r="I45" i="5"/>
  <c r="N45" i="5" s="1"/>
  <c r="O45" i="5" s="1"/>
  <c r="P44" i="5"/>
  <c r="I44" i="5"/>
  <c r="N44" i="5" s="1"/>
  <c r="O44" i="5" s="1"/>
  <c r="P43" i="5"/>
  <c r="I43" i="5"/>
  <c r="J43" i="5" s="1"/>
  <c r="P42" i="5"/>
  <c r="J42" i="5"/>
  <c r="P41" i="5"/>
  <c r="I41" i="5"/>
  <c r="J41" i="5" s="1"/>
  <c r="P40" i="5"/>
  <c r="J40" i="5"/>
  <c r="I40" i="5"/>
  <c r="P39" i="5"/>
  <c r="I39" i="5"/>
  <c r="J39" i="5" s="1"/>
  <c r="P38" i="5"/>
  <c r="J38" i="5"/>
  <c r="I38" i="5"/>
  <c r="D38" i="5"/>
  <c r="N38" i="5" s="1"/>
  <c r="O38" i="5" s="1"/>
  <c r="P37" i="5"/>
  <c r="N37" i="5"/>
  <c r="O37" i="5" s="1"/>
  <c r="J37" i="5"/>
  <c r="I37" i="5"/>
  <c r="D37" i="5"/>
  <c r="P36" i="5"/>
  <c r="J36" i="5"/>
  <c r="H36" i="5"/>
  <c r="D36" i="5"/>
  <c r="M36" i="5" s="1"/>
  <c r="O36" i="5" s="1"/>
  <c r="P35" i="5"/>
  <c r="I35" i="5"/>
  <c r="J35" i="5" s="1"/>
  <c r="N35" i="5" s="1"/>
  <c r="O35" i="5" s="1"/>
  <c r="P34" i="5"/>
  <c r="L34" i="5"/>
  <c r="O34" i="5" s="1"/>
  <c r="G34" i="5"/>
  <c r="J34" i="5" s="1"/>
  <c r="D34" i="5"/>
  <c r="P33" i="5"/>
  <c r="G33" i="5"/>
  <c r="J33" i="5" s="1"/>
  <c r="D33" i="5"/>
  <c r="L33" i="5" s="1"/>
  <c r="O33" i="5" s="1"/>
  <c r="P32" i="5"/>
  <c r="O32" i="5"/>
  <c r="L32" i="5"/>
  <c r="J32" i="5"/>
  <c r="G32" i="5"/>
  <c r="D32" i="5"/>
  <c r="P31" i="5"/>
  <c r="I31" i="5"/>
  <c r="J31" i="5" s="1"/>
  <c r="P30" i="5"/>
  <c r="I30" i="5"/>
  <c r="J30" i="5" s="1"/>
  <c r="P29" i="5"/>
  <c r="J29" i="5"/>
  <c r="I29" i="5"/>
  <c r="D29" i="5"/>
  <c r="N29" i="5" s="1"/>
  <c r="O29" i="5" s="1"/>
  <c r="P28" i="5"/>
  <c r="I28" i="5"/>
  <c r="J28" i="5" s="1"/>
  <c r="P27" i="5"/>
  <c r="I27" i="5"/>
  <c r="J27" i="5" s="1"/>
  <c r="D27" i="5"/>
  <c r="N27" i="5" s="1"/>
  <c r="O27" i="5" s="1"/>
  <c r="P26" i="5"/>
  <c r="I26" i="5"/>
  <c r="J26" i="5" s="1"/>
  <c r="P25" i="5"/>
  <c r="I25" i="5"/>
  <c r="J25" i="5" s="1"/>
  <c r="N20" i="5"/>
  <c r="N21" i="5" s="1"/>
  <c r="J20" i="5"/>
  <c r="AD19" i="5"/>
  <c r="AC19" i="5"/>
  <c r="AB19" i="5"/>
  <c r="AA19" i="5"/>
  <c r="Z19" i="5"/>
  <c r="Y19" i="5"/>
  <c r="X19" i="5"/>
  <c r="W19" i="5"/>
  <c r="V19" i="5"/>
  <c r="U19" i="5"/>
  <c r="T19" i="5"/>
  <c r="S19" i="5"/>
  <c r="O19" i="5"/>
  <c r="N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O61" i="5" s="1"/>
  <c r="D10" i="5"/>
  <c r="B10" i="5"/>
  <c r="C10" i="5" s="1"/>
  <c r="C9" i="5"/>
  <c r="C8" i="5"/>
  <c r="A5" i="5"/>
  <c r="O61" i="4"/>
  <c r="P51" i="4"/>
  <c r="I51" i="4"/>
  <c r="J51" i="4" s="1"/>
  <c r="N51" i="4" s="1"/>
  <c r="O51" i="4" s="1"/>
  <c r="P50" i="4"/>
  <c r="J50" i="4"/>
  <c r="I50" i="4"/>
  <c r="P49" i="4"/>
  <c r="I49" i="4"/>
  <c r="J49" i="4" s="1"/>
  <c r="N49" i="4" s="1"/>
  <c r="O49" i="4" s="1"/>
  <c r="P48" i="4"/>
  <c r="I48" i="4"/>
  <c r="J48" i="4" s="1"/>
  <c r="D48" i="4"/>
  <c r="P47" i="4"/>
  <c r="J47" i="4"/>
  <c r="G47" i="4"/>
  <c r="D47" i="4"/>
  <c r="L47" i="4" s="1"/>
  <c r="O47" i="4" s="1"/>
  <c r="P46" i="4"/>
  <c r="I46" i="4"/>
  <c r="J46" i="4" s="1"/>
  <c r="P45" i="4"/>
  <c r="O45" i="4"/>
  <c r="N45" i="4"/>
  <c r="I45" i="4"/>
  <c r="J45" i="4" s="1"/>
  <c r="P44" i="4"/>
  <c r="J44" i="4"/>
  <c r="I44" i="4"/>
  <c r="P43" i="4"/>
  <c r="J43" i="4"/>
  <c r="D43" i="4"/>
  <c r="O43" i="4" s="1"/>
  <c r="P42" i="4"/>
  <c r="O42" i="4"/>
  <c r="I42" i="4"/>
  <c r="N42" i="4" s="1"/>
  <c r="P41" i="4"/>
  <c r="I41" i="4"/>
  <c r="J41" i="4" s="1"/>
  <c r="P40" i="4"/>
  <c r="I40" i="4"/>
  <c r="J40" i="4" s="1"/>
  <c r="P39" i="4"/>
  <c r="N39" i="4"/>
  <c r="O39" i="4" s="1"/>
  <c r="I39" i="4"/>
  <c r="J39" i="4" s="1"/>
  <c r="D39" i="4"/>
  <c r="P38" i="4"/>
  <c r="I38" i="4"/>
  <c r="J38" i="4" s="1"/>
  <c r="D38" i="4"/>
  <c r="N38" i="4" s="1"/>
  <c r="O38" i="4" s="1"/>
  <c r="P37" i="4"/>
  <c r="H37" i="4"/>
  <c r="J37" i="4" s="1"/>
  <c r="D37" i="4"/>
  <c r="M37" i="4" s="1"/>
  <c r="P36" i="4"/>
  <c r="I36" i="4"/>
  <c r="J36" i="4" s="1"/>
  <c r="N36" i="4" s="1"/>
  <c r="O36" i="4" s="1"/>
  <c r="P35" i="4"/>
  <c r="O35" i="4"/>
  <c r="L35" i="4"/>
  <c r="J35" i="4"/>
  <c r="G35" i="4"/>
  <c r="D35" i="4"/>
  <c r="P34" i="4"/>
  <c r="D34" i="4"/>
  <c r="P33" i="4"/>
  <c r="D33" i="4"/>
  <c r="P32" i="4"/>
  <c r="D32" i="4"/>
  <c r="P31" i="4"/>
  <c r="D31" i="4"/>
  <c r="L31" i="4" s="1"/>
  <c r="P30" i="4"/>
  <c r="J30" i="4"/>
  <c r="I30" i="4"/>
  <c r="P29" i="4"/>
  <c r="I29" i="4"/>
  <c r="J29" i="4" s="1"/>
  <c r="D29" i="4"/>
  <c r="N29" i="4" s="1"/>
  <c r="O29" i="4" s="1"/>
  <c r="P28" i="4"/>
  <c r="J28" i="4"/>
  <c r="I28" i="4"/>
  <c r="P27" i="4"/>
  <c r="I27" i="4"/>
  <c r="J27" i="4" s="1"/>
  <c r="D27" i="4"/>
  <c r="N27" i="4" s="1"/>
  <c r="O27" i="4" s="1"/>
  <c r="P26" i="4"/>
  <c r="J26" i="4"/>
  <c r="I26" i="4"/>
  <c r="P25" i="4"/>
  <c r="J25" i="4"/>
  <c r="I25" i="4"/>
  <c r="P24" i="4"/>
  <c r="J24" i="4"/>
  <c r="I24" i="4"/>
  <c r="J19" i="4"/>
  <c r="D19" i="4"/>
  <c r="N19" i="4" s="1"/>
  <c r="O19" i="4" s="1"/>
  <c r="AD18" i="4"/>
  <c r="AC18" i="4"/>
  <c r="AB18" i="4"/>
  <c r="AA18" i="4"/>
  <c r="Z18" i="4"/>
  <c r="Y18" i="4"/>
  <c r="X18" i="4"/>
  <c r="W18" i="4"/>
  <c r="V18" i="4"/>
  <c r="U18" i="4"/>
  <c r="T18" i="4"/>
  <c r="S18" i="4"/>
  <c r="G31" i="4" s="1"/>
  <c r="J31" i="4" s="1"/>
  <c r="N18" i="4"/>
  <c r="J18" i="4"/>
  <c r="AD17" i="4"/>
  <c r="AC17" i="4"/>
  <c r="AB17" i="4"/>
  <c r="AA17" i="4"/>
  <c r="Z17" i="4"/>
  <c r="Y17" i="4"/>
  <c r="X17" i="4"/>
  <c r="W17" i="4"/>
  <c r="V17" i="4"/>
  <c r="U17" i="4"/>
  <c r="T17" i="4"/>
  <c r="S17" i="4"/>
  <c r="AD16" i="4"/>
  <c r="AC16" i="4"/>
  <c r="AB16" i="4"/>
  <c r="AA16" i="4"/>
  <c r="Z16" i="4"/>
  <c r="Y16" i="4"/>
  <c r="X16" i="4"/>
  <c r="W16" i="4"/>
  <c r="V16" i="4"/>
  <c r="U16" i="4"/>
  <c r="T16" i="4"/>
  <c r="S16" i="4"/>
  <c r="G33" i="4" s="1"/>
  <c r="AD15" i="4"/>
  <c r="AC15" i="4"/>
  <c r="AB15" i="4"/>
  <c r="AA15" i="4"/>
  <c r="Z15" i="4"/>
  <c r="Y15" i="4"/>
  <c r="X15" i="4"/>
  <c r="W15" i="4"/>
  <c r="V15" i="4"/>
  <c r="U15" i="4"/>
  <c r="T15" i="4"/>
  <c r="S15" i="4"/>
  <c r="C14" i="4"/>
  <c r="D25" i="4" s="1"/>
  <c r="N25" i="4" s="1"/>
  <c r="O25" i="4" s="1"/>
  <c r="D10" i="4"/>
  <c r="C10" i="4"/>
  <c r="B10" i="4"/>
  <c r="C9" i="4"/>
  <c r="C8" i="4"/>
  <c r="A5" i="4"/>
  <c r="O68" i="3"/>
  <c r="O67" i="3"/>
  <c r="O63" i="3"/>
  <c r="P56" i="3"/>
  <c r="I56" i="3"/>
  <c r="J56" i="3" s="1"/>
  <c r="N56" i="3" s="1"/>
  <c r="O56" i="3" s="1"/>
  <c r="P55" i="3"/>
  <c r="J55" i="3"/>
  <c r="I55" i="3"/>
  <c r="P54" i="3"/>
  <c r="I54" i="3"/>
  <c r="J54" i="3" s="1"/>
  <c r="N54" i="3" s="1"/>
  <c r="O54" i="3" s="1"/>
  <c r="P53" i="3"/>
  <c r="I53" i="3"/>
  <c r="J53" i="3" s="1"/>
  <c r="D53" i="3"/>
  <c r="P52" i="3"/>
  <c r="G52" i="3"/>
  <c r="J52" i="3" s="1"/>
  <c r="D52" i="3"/>
  <c r="L52" i="3" s="1"/>
  <c r="O52" i="3" s="1"/>
  <c r="P51" i="3"/>
  <c r="O51" i="3"/>
  <c r="I51" i="3"/>
  <c r="N51" i="3" s="1"/>
  <c r="P50" i="3"/>
  <c r="O50" i="3"/>
  <c r="N50" i="3"/>
  <c r="J50" i="3"/>
  <c r="I50" i="3"/>
  <c r="P49" i="3"/>
  <c r="J49" i="3"/>
  <c r="I49" i="3"/>
  <c r="P48" i="3"/>
  <c r="J48" i="3"/>
  <c r="P47" i="3"/>
  <c r="I47" i="3"/>
  <c r="N47" i="3" s="1"/>
  <c r="O47" i="3" s="1"/>
  <c r="P46" i="3"/>
  <c r="J46" i="3"/>
  <c r="I46" i="3"/>
  <c r="P45" i="3"/>
  <c r="I45" i="3"/>
  <c r="J45" i="3" s="1"/>
  <c r="P44" i="3"/>
  <c r="I44" i="3"/>
  <c r="J44" i="3" s="1"/>
  <c r="D44" i="3"/>
  <c r="N44" i="3" s="1"/>
  <c r="O44" i="3" s="1"/>
  <c r="P43" i="3"/>
  <c r="J43" i="3"/>
  <c r="I43" i="3"/>
  <c r="P42" i="3"/>
  <c r="H42" i="3"/>
  <c r="J42" i="3" s="1"/>
  <c r="D42" i="3"/>
  <c r="M42" i="3" s="1"/>
  <c r="P41" i="3"/>
  <c r="N41" i="3"/>
  <c r="O41" i="3" s="1"/>
  <c r="J41" i="3"/>
  <c r="I41" i="3"/>
  <c r="P40" i="3"/>
  <c r="J40" i="3"/>
  <c r="G40" i="3"/>
  <c r="D40" i="3"/>
  <c r="L40" i="3" s="1"/>
  <c r="O40" i="3" s="1"/>
  <c r="P39" i="3"/>
  <c r="G39" i="3"/>
  <c r="L39" i="3" s="1"/>
  <c r="O39" i="3" s="1"/>
  <c r="D39" i="3"/>
  <c r="P38" i="3"/>
  <c r="G38" i="3"/>
  <c r="J38" i="3" s="1"/>
  <c r="D38" i="3"/>
  <c r="P37" i="3"/>
  <c r="I37" i="3"/>
  <c r="J37" i="3" s="1"/>
  <c r="P36" i="3"/>
  <c r="I36" i="3"/>
  <c r="J36" i="3" s="1"/>
  <c r="D36" i="3"/>
  <c r="N36" i="3" s="1"/>
  <c r="O36" i="3" s="1"/>
  <c r="P35" i="3"/>
  <c r="J35" i="3"/>
  <c r="I35" i="3"/>
  <c r="P34" i="3"/>
  <c r="J34" i="3"/>
  <c r="I34" i="3"/>
  <c r="P33" i="3"/>
  <c r="I33" i="3"/>
  <c r="J33" i="3" s="1"/>
  <c r="P32" i="3"/>
  <c r="J32" i="3"/>
  <c r="I32" i="3"/>
  <c r="P31" i="3"/>
  <c r="I31" i="3"/>
  <c r="J31" i="3" s="1"/>
  <c r="D31" i="3"/>
  <c r="N31" i="3" s="1"/>
  <c r="J26" i="3"/>
  <c r="N25" i="3"/>
  <c r="O25" i="3" s="1"/>
  <c r="J25" i="3"/>
  <c r="D17" i="3"/>
  <c r="D11" i="3"/>
  <c r="B11" i="3"/>
  <c r="C11" i="3" s="1"/>
  <c r="C10" i="3"/>
  <c r="C9" i="3"/>
  <c r="A6" i="3"/>
  <c r="A4" i="3"/>
  <c r="D31" i="1"/>
  <c r="D30" i="1"/>
  <c r="E19" i="1"/>
  <c r="L59" i="7" l="1"/>
  <c r="L61" i="7" s="1"/>
  <c r="O39" i="7"/>
  <c r="O23" i="10"/>
  <c r="O42" i="3"/>
  <c r="M58" i="3"/>
  <c r="M60" i="3" s="1"/>
  <c r="O32" i="8"/>
  <c r="L53" i="8"/>
  <c r="L55" i="8" s="1"/>
  <c r="M59" i="9"/>
  <c r="M61" i="9" s="1"/>
  <c r="O43" i="9"/>
  <c r="O31" i="12"/>
  <c r="O31" i="3"/>
  <c r="D51" i="21"/>
  <c r="O51" i="21" s="1"/>
  <c r="N34" i="21"/>
  <c r="O34" i="21" s="1"/>
  <c r="J33" i="4"/>
  <c r="L33" i="4"/>
  <c r="O33" i="4" s="1"/>
  <c r="D39" i="5"/>
  <c r="N39" i="5" s="1"/>
  <c r="O39" i="5" s="1"/>
  <c r="D40" i="5"/>
  <c r="N40" i="5" s="1"/>
  <c r="O40" i="5" s="1"/>
  <c r="D31" i="5"/>
  <c r="N31" i="5" s="1"/>
  <c r="O31" i="5" s="1"/>
  <c r="D43" i="5"/>
  <c r="N43" i="5" s="1"/>
  <c r="O43" i="5" s="1"/>
  <c r="O31" i="4"/>
  <c r="D44" i="8"/>
  <c r="N44" i="8" s="1"/>
  <c r="O44" i="8" s="1"/>
  <c r="D41" i="8"/>
  <c r="N41" i="8" s="1"/>
  <c r="O41" i="8" s="1"/>
  <c r="D40" i="8"/>
  <c r="N40" i="8" s="1"/>
  <c r="O40" i="8" s="1"/>
  <c r="D31" i="8"/>
  <c r="N31" i="8" s="1"/>
  <c r="O31" i="8" s="1"/>
  <c r="O36" i="14"/>
  <c r="L56" i="14"/>
  <c r="L58" i="14" s="1"/>
  <c r="M56" i="17"/>
  <c r="M58" i="17" s="1"/>
  <c r="O39" i="17"/>
  <c r="O31" i="22"/>
  <c r="N48" i="4"/>
  <c r="O48" i="4" s="1"/>
  <c r="O28" i="25"/>
  <c r="O34" i="11"/>
  <c r="L56" i="11"/>
  <c r="L58" i="11" s="1"/>
  <c r="L56" i="15"/>
  <c r="L58" i="15" s="1"/>
  <c r="O35" i="15"/>
  <c r="O41" i="27"/>
  <c r="O34" i="16"/>
  <c r="N20" i="4"/>
  <c r="D35" i="16"/>
  <c r="L35" i="16" s="1"/>
  <c r="O35" i="16" s="1"/>
  <c r="J39" i="7"/>
  <c r="N28" i="8"/>
  <c r="O28" i="8" s="1"/>
  <c r="O53" i="8" s="1"/>
  <c r="J48" i="10"/>
  <c r="N51" i="10"/>
  <c r="O51" i="10" s="1"/>
  <c r="J34" i="11"/>
  <c r="N52" i="11"/>
  <c r="O52" i="11" s="1"/>
  <c r="D45" i="13"/>
  <c r="O45" i="13" s="1"/>
  <c r="O65" i="13"/>
  <c r="D52" i="13"/>
  <c r="N52" i="13" s="1"/>
  <c r="O52" i="13" s="1"/>
  <c r="D40" i="13"/>
  <c r="N40" i="13" s="1"/>
  <c r="O40" i="13" s="1"/>
  <c r="D27" i="13"/>
  <c r="N27" i="13" s="1"/>
  <c r="D50" i="13"/>
  <c r="N50" i="13" s="1"/>
  <c r="O50" i="13" s="1"/>
  <c r="D32" i="13"/>
  <c r="N32" i="13" s="1"/>
  <c r="O32" i="13" s="1"/>
  <c r="D39" i="13"/>
  <c r="M39" i="13" s="1"/>
  <c r="D29" i="13"/>
  <c r="N29" i="13" s="1"/>
  <c r="O29" i="13" s="1"/>
  <c r="N22" i="13"/>
  <c r="O22" i="13" s="1"/>
  <c r="D28" i="13"/>
  <c r="N28" i="13" s="1"/>
  <c r="O28" i="13" s="1"/>
  <c r="O27" i="16"/>
  <c r="J44" i="16"/>
  <c r="L59" i="23"/>
  <c r="L61" i="23" s="1"/>
  <c r="O39" i="23"/>
  <c r="O20" i="5"/>
  <c r="O21" i="5" s="1"/>
  <c r="L41" i="6"/>
  <c r="O41" i="6" s="1"/>
  <c r="O19" i="8"/>
  <c r="J41" i="12"/>
  <c r="J47" i="12"/>
  <c r="L47" i="12"/>
  <c r="O47" i="12" s="1"/>
  <c r="D31" i="13"/>
  <c r="N31" i="13" s="1"/>
  <c r="O31" i="13" s="1"/>
  <c r="D51" i="20"/>
  <c r="O51" i="20" s="1"/>
  <c r="N34" i="20"/>
  <c r="N49" i="29"/>
  <c r="O49" i="29" s="1"/>
  <c r="J49" i="29"/>
  <c r="J31" i="31"/>
  <c r="N53" i="3"/>
  <c r="O53" i="3" s="1"/>
  <c r="L34" i="4"/>
  <c r="O34" i="4" s="1"/>
  <c r="D19" i="7"/>
  <c r="J46" i="8"/>
  <c r="N46" i="8"/>
  <c r="O46" i="8" s="1"/>
  <c r="J46" i="10"/>
  <c r="O19" i="12"/>
  <c r="D36" i="13"/>
  <c r="L36" i="13" s="1"/>
  <c r="O36" i="13" s="1"/>
  <c r="D37" i="13"/>
  <c r="L37" i="13" s="1"/>
  <c r="O37" i="13" s="1"/>
  <c r="D34" i="13"/>
  <c r="L34" i="13" s="1"/>
  <c r="O27" i="17"/>
  <c r="O27" i="18"/>
  <c r="D43" i="20"/>
  <c r="N43" i="20" s="1"/>
  <c r="O43" i="20" s="1"/>
  <c r="D37" i="20"/>
  <c r="N37" i="20" s="1"/>
  <c r="O37" i="20" s="1"/>
  <c r="D35" i="20"/>
  <c r="D57" i="20"/>
  <c r="N57" i="20" s="1"/>
  <c r="O57" i="20" s="1"/>
  <c r="D59" i="20"/>
  <c r="N59" i="20" s="1"/>
  <c r="O59" i="20" s="1"/>
  <c r="O72" i="20"/>
  <c r="O71" i="20"/>
  <c r="D44" i="20"/>
  <c r="M44" i="20" s="1"/>
  <c r="O25" i="24"/>
  <c r="N21" i="31"/>
  <c r="J21" i="31"/>
  <c r="J47" i="3"/>
  <c r="O37" i="4"/>
  <c r="M53" i="4"/>
  <c r="M55" i="4" s="1"/>
  <c r="J44" i="5"/>
  <c r="O21" i="11"/>
  <c r="J47" i="11"/>
  <c r="J48" i="13"/>
  <c r="D51" i="13"/>
  <c r="N51" i="13" s="1"/>
  <c r="O51" i="13" s="1"/>
  <c r="N48" i="14"/>
  <c r="O48" i="14" s="1"/>
  <c r="D53" i="17"/>
  <c r="N53" i="17" s="1"/>
  <c r="O53" i="17" s="1"/>
  <c r="D51" i="17"/>
  <c r="N51" i="17" s="1"/>
  <c r="O51" i="17" s="1"/>
  <c r="O66" i="17"/>
  <c r="D50" i="17"/>
  <c r="N50" i="17" s="1"/>
  <c r="O50" i="17" s="1"/>
  <c r="D45" i="17"/>
  <c r="O45" i="17" s="1"/>
  <c r="D38" i="17"/>
  <c r="N38" i="17" s="1"/>
  <c r="O38" i="17" s="1"/>
  <c r="D34" i="17"/>
  <c r="L34" i="17" s="1"/>
  <c r="D32" i="17"/>
  <c r="N32" i="17" s="1"/>
  <c r="O32" i="17" s="1"/>
  <c r="D30" i="17"/>
  <c r="N30" i="17" s="1"/>
  <c r="O30" i="17" s="1"/>
  <c r="D28" i="17"/>
  <c r="N28" i="17" s="1"/>
  <c r="O28" i="17" s="1"/>
  <c r="O65" i="17"/>
  <c r="D22" i="17"/>
  <c r="D40" i="17"/>
  <c r="N40" i="17" s="1"/>
  <c r="O40" i="17" s="1"/>
  <c r="O66" i="18"/>
  <c r="O65" i="18"/>
  <c r="D34" i="18"/>
  <c r="L34" i="18" s="1"/>
  <c r="D50" i="18"/>
  <c r="N50" i="18" s="1"/>
  <c r="O50" i="18" s="1"/>
  <c r="D45" i="18"/>
  <c r="O45" i="18" s="1"/>
  <c r="D40" i="18"/>
  <c r="N40" i="18" s="1"/>
  <c r="O40" i="18" s="1"/>
  <c r="D53" i="18"/>
  <c r="N53" i="18" s="1"/>
  <c r="O53" i="18" s="1"/>
  <c r="D22" i="18"/>
  <c r="N22" i="18" s="1"/>
  <c r="D38" i="18"/>
  <c r="N38" i="18" s="1"/>
  <c r="O38" i="18" s="1"/>
  <c r="D52" i="18"/>
  <c r="N52" i="18" s="1"/>
  <c r="O52" i="18" s="1"/>
  <c r="D31" i="18"/>
  <c r="N31" i="18" s="1"/>
  <c r="O31" i="18" s="1"/>
  <c r="D28" i="18"/>
  <c r="N28" i="18" s="1"/>
  <c r="O28" i="18" s="1"/>
  <c r="O36" i="25"/>
  <c r="M51" i="25"/>
  <c r="M53" i="25" s="1"/>
  <c r="I15" i="28"/>
  <c r="D14" i="28"/>
  <c r="N54" i="6"/>
  <c r="O54" i="6" s="1"/>
  <c r="D38" i="13"/>
  <c r="N38" i="13" s="1"/>
  <c r="O38" i="13" s="1"/>
  <c r="O21" i="16"/>
  <c r="D49" i="17"/>
  <c r="L49" i="17" s="1"/>
  <c r="O49" i="17" s="1"/>
  <c r="D35" i="17"/>
  <c r="L35" i="17" s="1"/>
  <c r="O35" i="17" s="1"/>
  <c r="D15" i="19"/>
  <c r="D27" i="23"/>
  <c r="N27" i="23" s="1"/>
  <c r="D19" i="23"/>
  <c r="J39" i="24"/>
  <c r="N39" i="24"/>
  <c r="O39" i="24" s="1"/>
  <c r="N43" i="25"/>
  <c r="O43" i="25" s="1"/>
  <c r="J43" i="25"/>
  <c r="O35" i="30"/>
  <c r="D48" i="3"/>
  <c r="O48" i="3" s="1"/>
  <c r="D55" i="3"/>
  <c r="N55" i="3" s="1"/>
  <c r="O55" i="3" s="1"/>
  <c r="D26" i="3"/>
  <c r="N26" i="3" s="1"/>
  <c r="D32" i="3"/>
  <c r="N32" i="3" s="1"/>
  <c r="O32" i="3" s="1"/>
  <c r="D43" i="3"/>
  <c r="N43" i="3" s="1"/>
  <c r="O43" i="3" s="1"/>
  <c r="D34" i="3"/>
  <c r="N34" i="3" s="1"/>
  <c r="O34" i="3" s="1"/>
  <c r="N23" i="10"/>
  <c r="O21" i="13"/>
  <c r="L36" i="17"/>
  <c r="O36" i="17" s="1"/>
  <c r="D31" i="17"/>
  <c r="N31" i="17" s="1"/>
  <c r="O31" i="17" s="1"/>
  <c r="D37" i="17"/>
  <c r="L37" i="17" s="1"/>
  <c r="O37" i="17" s="1"/>
  <c r="N36" i="19"/>
  <c r="O36" i="19" s="1"/>
  <c r="O40" i="19"/>
  <c r="L32" i="4"/>
  <c r="O32" i="4" s="1"/>
  <c r="N46" i="4"/>
  <c r="O46" i="4" s="1"/>
  <c r="N41" i="5"/>
  <c r="O41" i="5" s="1"/>
  <c r="M52" i="5"/>
  <c r="M54" i="5" s="1"/>
  <c r="N51" i="6"/>
  <c r="O51" i="6" s="1"/>
  <c r="N52" i="7"/>
  <c r="O52" i="7" s="1"/>
  <c r="J52" i="7"/>
  <c r="N50" i="8"/>
  <c r="O50" i="8" s="1"/>
  <c r="D54" i="9"/>
  <c r="N54" i="9" s="1"/>
  <c r="O54" i="9" s="1"/>
  <c r="D37" i="9"/>
  <c r="N37" i="9" s="1"/>
  <c r="O37" i="9" s="1"/>
  <c r="D35" i="9"/>
  <c r="N35" i="9" s="1"/>
  <c r="O35" i="9" s="1"/>
  <c r="D33" i="9"/>
  <c r="N33" i="9" s="1"/>
  <c r="O33" i="9" s="1"/>
  <c r="D26" i="9"/>
  <c r="N26" i="9" s="1"/>
  <c r="D49" i="9"/>
  <c r="O49" i="9" s="1"/>
  <c r="D56" i="9"/>
  <c r="N56" i="9" s="1"/>
  <c r="O56" i="9" s="1"/>
  <c r="D44" i="9"/>
  <c r="N44" i="9" s="1"/>
  <c r="O44" i="9" s="1"/>
  <c r="D32" i="9"/>
  <c r="N32" i="9" s="1"/>
  <c r="O27" i="10"/>
  <c r="D22" i="13"/>
  <c r="D39" i="18"/>
  <c r="M39" i="18" s="1"/>
  <c r="D51" i="18"/>
  <c r="N51" i="18" s="1"/>
  <c r="O51" i="18" s="1"/>
  <c r="O39" i="21"/>
  <c r="L62" i="21"/>
  <c r="L64" i="21" s="1"/>
  <c r="D35" i="3"/>
  <c r="N35" i="3" s="1"/>
  <c r="O35" i="3" s="1"/>
  <c r="J45" i="5"/>
  <c r="O25" i="12"/>
  <c r="D49" i="13"/>
  <c r="L49" i="13" s="1"/>
  <c r="O49" i="13" s="1"/>
  <c r="O29" i="15"/>
  <c r="J35" i="15"/>
  <c r="J21" i="17"/>
  <c r="D36" i="20"/>
  <c r="N36" i="20" s="1"/>
  <c r="O36" i="20" s="1"/>
  <c r="D37" i="21"/>
  <c r="N37" i="21" s="1"/>
  <c r="O37" i="21" s="1"/>
  <c r="O27" i="26"/>
  <c r="J51" i="3"/>
  <c r="N27" i="11"/>
  <c r="J34" i="12"/>
  <c r="D30" i="13"/>
  <c r="N30" i="13" s="1"/>
  <c r="O30" i="13" s="1"/>
  <c r="N50" i="14"/>
  <c r="O50" i="14" s="1"/>
  <c r="N38" i="15"/>
  <c r="O38" i="15" s="1"/>
  <c r="D37" i="16"/>
  <c r="L37" i="16" s="1"/>
  <c r="O37" i="16" s="1"/>
  <c r="N44" i="17"/>
  <c r="O44" i="17" s="1"/>
  <c r="D32" i="18"/>
  <c r="N32" i="18" s="1"/>
  <c r="O32" i="18" s="1"/>
  <c r="N54" i="19"/>
  <c r="O54" i="19" s="1"/>
  <c r="D58" i="20"/>
  <c r="N58" i="20" s="1"/>
  <c r="O58" i="20" s="1"/>
  <c r="O18" i="4"/>
  <c r="D26" i="7"/>
  <c r="N26" i="7" s="1"/>
  <c r="O26" i="7" s="1"/>
  <c r="O68" i="7"/>
  <c r="J32" i="12"/>
  <c r="O62" i="4"/>
  <c r="D24" i="4"/>
  <c r="N24" i="4" s="1"/>
  <c r="D26" i="4"/>
  <c r="N26" i="4" s="1"/>
  <c r="O26" i="4" s="1"/>
  <c r="D50" i="4"/>
  <c r="N50" i="4" s="1"/>
  <c r="O50" i="4" s="1"/>
  <c r="D28" i="4"/>
  <c r="N28" i="4" s="1"/>
  <c r="O28" i="4" s="1"/>
  <c r="D45" i="6"/>
  <c r="N45" i="6" s="1"/>
  <c r="O45" i="6" s="1"/>
  <c r="O69" i="6"/>
  <c r="D44" i="6"/>
  <c r="N44" i="6" s="1"/>
  <c r="O44" i="6" s="1"/>
  <c r="D36" i="6"/>
  <c r="N36" i="6" s="1"/>
  <c r="O36" i="6" s="1"/>
  <c r="D34" i="6"/>
  <c r="N34" i="6" s="1"/>
  <c r="O34" i="6" s="1"/>
  <c r="D32" i="6"/>
  <c r="N32" i="6" s="1"/>
  <c r="O32" i="6" s="1"/>
  <c r="D26" i="6"/>
  <c r="N26" i="6" s="1"/>
  <c r="O68" i="6"/>
  <c r="L59" i="6"/>
  <c r="L61" i="6" s="1"/>
  <c r="D49" i="6"/>
  <c r="O49" i="6" s="1"/>
  <c r="D36" i="9"/>
  <c r="N36" i="9" s="1"/>
  <c r="O36" i="9" s="1"/>
  <c r="D53" i="13"/>
  <c r="N53" i="13" s="1"/>
  <c r="O53" i="13" s="1"/>
  <c r="N50" i="16"/>
  <c r="O50" i="16" s="1"/>
  <c r="D29" i="17"/>
  <c r="N29" i="17" s="1"/>
  <c r="O29" i="17" s="1"/>
  <c r="D52" i="17"/>
  <c r="N52" i="17" s="1"/>
  <c r="O52" i="17" s="1"/>
  <c r="D29" i="18"/>
  <c r="N29" i="18" s="1"/>
  <c r="O29" i="18" s="1"/>
  <c r="N34" i="19"/>
  <c r="J39" i="3"/>
  <c r="D46" i="20"/>
  <c r="N46" i="20" s="1"/>
  <c r="O46" i="20" s="1"/>
  <c r="M56" i="16"/>
  <c r="M58" i="16" s="1"/>
  <c r="O39" i="16"/>
  <c r="J48" i="6"/>
  <c r="D33" i="3"/>
  <c r="N33" i="3" s="1"/>
  <c r="O33" i="3" s="1"/>
  <c r="L38" i="3"/>
  <c r="N28" i="10"/>
  <c r="O28" i="10" s="1"/>
  <c r="L34" i="10"/>
  <c r="N31" i="11"/>
  <c r="O31" i="11" s="1"/>
  <c r="O66" i="13"/>
  <c r="N22" i="17"/>
  <c r="J55" i="19"/>
  <c r="N55" i="19"/>
  <c r="O55" i="19" s="1"/>
  <c r="O71" i="21"/>
  <c r="O70" i="21"/>
  <c r="D43" i="21"/>
  <c r="M43" i="21" s="1"/>
  <c r="D57" i="21"/>
  <c r="N57" i="21" s="1"/>
  <c r="O57" i="21" s="1"/>
  <c r="D36" i="21"/>
  <c r="N36" i="21" s="1"/>
  <c r="O36" i="21" s="1"/>
  <c r="D33" i="21"/>
  <c r="D58" i="21"/>
  <c r="N58" i="21" s="1"/>
  <c r="O58" i="21" s="1"/>
  <c r="N54" i="21"/>
  <c r="O54" i="21" s="1"/>
  <c r="J54" i="21"/>
  <c r="D41" i="22"/>
  <c r="N41" i="22" s="1"/>
  <c r="O41" i="22" s="1"/>
  <c r="D34" i="22"/>
  <c r="N34" i="22" s="1"/>
  <c r="O34" i="22" s="1"/>
  <c r="D32" i="22"/>
  <c r="N32" i="22" s="1"/>
  <c r="O32" i="22" s="1"/>
  <c r="O64" i="22"/>
  <c r="D49" i="22"/>
  <c r="N49" i="22" s="1"/>
  <c r="O49" i="22" s="1"/>
  <c r="D26" i="22"/>
  <c r="N26" i="22" s="1"/>
  <c r="D40" i="22"/>
  <c r="M40" i="22" s="1"/>
  <c r="N24" i="25"/>
  <c r="O21" i="25"/>
  <c r="D54" i="28"/>
  <c r="N54" i="28" s="1"/>
  <c r="O54" i="28" s="1"/>
  <c r="D27" i="28"/>
  <c r="J46" i="29"/>
  <c r="N46" i="29"/>
  <c r="O46" i="29" s="1"/>
  <c r="D53" i="32"/>
  <c r="N53" i="32" s="1"/>
  <c r="O53" i="32" s="1"/>
  <c r="D51" i="32"/>
  <c r="N51" i="32" s="1"/>
  <c r="O51" i="32" s="1"/>
  <c r="D31" i="32"/>
  <c r="N31" i="32" s="1"/>
  <c r="O31" i="32" s="1"/>
  <c r="D29" i="32"/>
  <c r="N29" i="32" s="1"/>
  <c r="O29" i="32" s="1"/>
  <c r="D27" i="32"/>
  <c r="N27" i="32" s="1"/>
  <c r="O66" i="32"/>
  <c r="D52" i="32"/>
  <c r="N52" i="32" s="1"/>
  <c r="O52" i="32" s="1"/>
  <c r="N22" i="32"/>
  <c r="O22" i="32" s="1"/>
  <c r="D45" i="32"/>
  <c r="O45" i="32" s="1"/>
  <c r="D32" i="32"/>
  <c r="N32" i="32" s="1"/>
  <c r="O32" i="32" s="1"/>
  <c r="D28" i="32"/>
  <c r="N28" i="32" s="1"/>
  <c r="O28" i="32" s="1"/>
  <c r="D39" i="32"/>
  <c r="M39" i="32" s="1"/>
  <c r="O65" i="32"/>
  <c r="D34" i="32"/>
  <c r="L34" i="32" s="1"/>
  <c r="D30" i="32"/>
  <c r="N30" i="32" s="1"/>
  <c r="O30" i="32" s="1"/>
  <c r="D40" i="32"/>
  <c r="N40" i="32" s="1"/>
  <c r="O40" i="32" s="1"/>
  <c r="D50" i="32"/>
  <c r="N50" i="32" s="1"/>
  <c r="O50" i="32" s="1"/>
  <c r="D38" i="32"/>
  <c r="N38" i="32" s="1"/>
  <c r="O38" i="32" s="1"/>
  <c r="C20" i="27"/>
  <c r="C20" i="19"/>
  <c r="C19" i="21"/>
  <c r="D15" i="21" s="1"/>
  <c r="C20" i="20"/>
  <c r="O60" i="5"/>
  <c r="O66" i="11"/>
  <c r="N22" i="11"/>
  <c r="O22" i="11" s="1"/>
  <c r="D51" i="11"/>
  <c r="N51" i="11" s="1"/>
  <c r="O51" i="11" s="1"/>
  <c r="D39" i="11"/>
  <c r="M39" i="11" s="1"/>
  <c r="D22" i="11"/>
  <c r="D45" i="11"/>
  <c r="O45" i="11" s="1"/>
  <c r="C17" i="14"/>
  <c r="J49" i="14"/>
  <c r="O64" i="15"/>
  <c r="D32" i="15"/>
  <c r="N32" i="15" s="1"/>
  <c r="O32" i="15" s="1"/>
  <c r="D30" i="15"/>
  <c r="D51" i="15"/>
  <c r="N51" i="15" s="1"/>
  <c r="O51" i="15" s="1"/>
  <c r="D39" i="15"/>
  <c r="M39" i="15" s="1"/>
  <c r="J47" i="15"/>
  <c r="L35" i="18"/>
  <c r="O35" i="18" s="1"/>
  <c r="D49" i="18"/>
  <c r="L49" i="18" s="1"/>
  <c r="O49" i="18" s="1"/>
  <c r="N37" i="19"/>
  <c r="O37" i="19" s="1"/>
  <c r="O59" i="22"/>
  <c r="D29" i="24"/>
  <c r="N29" i="24" s="1"/>
  <c r="O29" i="24" s="1"/>
  <c r="D31" i="24"/>
  <c r="N31" i="24" s="1"/>
  <c r="O31" i="24" s="1"/>
  <c r="D45" i="24"/>
  <c r="N45" i="24" s="1"/>
  <c r="O45" i="24" s="1"/>
  <c r="O56" i="24"/>
  <c r="D34" i="24"/>
  <c r="M34" i="24" s="1"/>
  <c r="D27" i="24"/>
  <c r="N27" i="24" s="1"/>
  <c r="O27" i="24" s="1"/>
  <c r="D43" i="24"/>
  <c r="N43" i="24" s="1"/>
  <c r="O43" i="24" s="1"/>
  <c r="D35" i="24"/>
  <c r="N35" i="24" s="1"/>
  <c r="O35" i="24" s="1"/>
  <c r="D28" i="24"/>
  <c r="N28" i="24" s="1"/>
  <c r="O28" i="24" s="1"/>
  <c r="J42" i="4"/>
  <c r="D25" i="5"/>
  <c r="N25" i="5" s="1"/>
  <c r="N25" i="7"/>
  <c r="J48" i="9"/>
  <c r="D30" i="10"/>
  <c r="N30" i="10" s="1"/>
  <c r="O30" i="10" s="1"/>
  <c r="L35" i="10"/>
  <c r="O35" i="10" s="1"/>
  <c r="D30" i="11"/>
  <c r="N30" i="11" s="1"/>
  <c r="O30" i="11" s="1"/>
  <c r="D40" i="11"/>
  <c r="N40" i="11" s="1"/>
  <c r="O40" i="11" s="1"/>
  <c r="D53" i="11"/>
  <c r="N53" i="11" s="1"/>
  <c r="O53" i="11" s="1"/>
  <c r="D50" i="15"/>
  <c r="N50" i="15" s="1"/>
  <c r="O50" i="15" s="1"/>
  <c r="J41" i="20"/>
  <c r="D33" i="22"/>
  <c r="N33" i="22" s="1"/>
  <c r="O33" i="22" s="1"/>
  <c r="J47" i="22"/>
  <c r="N47" i="22"/>
  <c r="O47" i="22" s="1"/>
  <c r="O63" i="22"/>
  <c r="O57" i="24"/>
  <c r="C19" i="29"/>
  <c r="N27" i="30"/>
  <c r="J44" i="31"/>
  <c r="G34" i="4"/>
  <c r="J34" i="4" s="1"/>
  <c r="G32" i="4"/>
  <c r="J32" i="4" s="1"/>
  <c r="O64" i="10"/>
  <c r="D52" i="10"/>
  <c r="N52" i="10" s="1"/>
  <c r="O52" i="10" s="1"/>
  <c r="D38" i="10"/>
  <c r="M38" i="10" s="1"/>
  <c r="D29" i="10"/>
  <c r="N29" i="10" s="1"/>
  <c r="O29" i="10" s="1"/>
  <c r="D36" i="12"/>
  <c r="M36" i="12" s="1"/>
  <c r="D28" i="12"/>
  <c r="N28" i="12" s="1"/>
  <c r="O28" i="12" s="1"/>
  <c r="D26" i="12"/>
  <c r="D20" i="12"/>
  <c r="N20" i="12" s="1"/>
  <c r="O20" i="12" s="1"/>
  <c r="D27" i="12"/>
  <c r="N47" i="13"/>
  <c r="O47" i="13" s="1"/>
  <c r="J47" i="13"/>
  <c r="C17" i="15"/>
  <c r="D14" i="15" s="1"/>
  <c r="D40" i="15"/>
  <c r="N40" i="15" s="1"/>
  <c r="O40" i="15" s="1"/>
  <c r="N54" i="20"/>
  <c r="O54" i="20" s="1"/>
  <c r="J54" i="20"/>
  <c r="D42" i="22"/>
  <c r="N42" i="22" s="1"/>
  <c r="O42" i="22" s="1"/>
  <c r="N41" i="24"/>
  <c r="O41" i="24" s="1"/>
  <c r="J41" i="24"/>
  <c r="D47" i="5"/>
  <c r="N47" i="5" s="1"/>
  <c r="O47" i="5" s="1"/>
  <c r="D30" i="5"/>
  <c r="N30" i="5" s="1"/>
  <c r="O30" i="5" s="1"/>
  <c r="D28" i="5"/>
  <c r="N28" i="5" s="1"/>
  <c r="O28" i="5" s="1"/>
  <c r="D26" i="5"/>
  <c r="N26" i="5" s="1"/>
  <c r="O26" i="5" s="1"/>
  <c r="D42" i="5"/>
  <c r="O42" i="5" s="1"/>
  <c r="L52" i="5"/>
  <c r="L54" i="5" s="1"/>
  <c r="D28" i="11"/>
  <c r="N28" i="11" s="1"/>
  <c r="O28" i="11" s="1"/>
  <c r="O23" i="14"/>
  <c r="N30" i="14"/>
  <c r="O30" i="14" s="1"/>
  <c r="D37" i="18"/>
  <c r="L37" i="18" s="1"/>
  <c r="O37" i="18" s="1"/>
  <c r="N35" i="19"/>
  <c r="O35" i="19" s="1"/>
  <c r="J41" i="19"/>
  <c r="L41" i="19"/>
  <c r="O41" i="19" s="1"/>
  <c r="O44" i="19"/>
  <c r="I15" i="21"/>
  <c r="J55" i="21"/>
  <c r="D51" i="22"/>
  <c r="N51" i="22" s="1"/>
  <c r="O51" i="22" s="1"/>
  <c r="N21" i="24"/>
  <c r="O19" i="24"/>
  <c r="O21" i="24" s="1"/>
  <c r="L56" i="31"/>
  <c r="L58" i="31" s="1"/>
  <c r="D37" i="26"/>
  <c r="D34" i="26"/>
  <c r="D35" i="26"/>
  <c r="N50" i="27"/>
  <c r="O50" i="27" s="1"/>
  <c r="J50" i="27"/>
  <c r="D15" i="28"/>
  <c r="D31" i="14"/>
  <c r="N44" i="25"/>
  <c r="O44" i="25" s="1"/>
  <c r="J44" i="25"/>
  <c r="N40" i="28"/>
  <c r="O40" i="28" s="1"/>
  <c r="N50" i="28"/>
  <c r="O50" i="28" s="1"/>
  <c r="J21" i="30"/>
  <c r="N21" i="30"/>
  <c r="O27" i="31"/>
  <c r="O65" i="14"/>
  <c r="D39" i="14"/>
  <c r="M39" i="14" s="1"/>
  <c r="D29" i="14"/>
  <c r="D51" i="14"/>
  <c r="N51" i="14" s="1"/>
  <c r="O51" i="14" s="1"/>
  <c r="N22" i="16"/>
  <c r="O22" i="16" s="1"/>
  <c r="D53" i="16"/>
  <c r="N53" i="16" s="1"/>
  <c r="O53" i="16" s="1"/>
  <c r="D51" i="16"/>
  <c r="N51" i="16" s="1"/>
  <c r="O51" i="16" s="1"/>
  <c r="N45" i="25"/>
  <c r="O45" i="25" s="1"/>
  <c r="D49" i="26"/>
  <c r="M39" i="30"/>
  <c r="L40" i="20"/>
  <c r="D17" i="27"/>
  <c r="O66" i="26"/>
  <c r="O65" i="26"/>
  <c r="D39" i="26"/>
  <c r="M39" i="26" s="1"/>
  <c r="D29" i="26"/>
  <c r="N29" i="26" s="1"/>
  <c r="O29" i="26" s="1"/>
  <c r="D51" i="26"/>
  <c r="N51" i="26" s="1"/>
  <c r="O51" i="26" s="1"/>
  <c r="D40" i="26"/>
  <c r="N40" i="26" s="1"/>
  <c r="O40" i="26" s="1"/>
  <c r="D45" i="26"/>
  <c r="O45" i="26" s="1"/>
  <c r="D31" i="26"/>
  <c r="N31" i="26" s="1"/>
  <c r="O31" i="26" s="1"/>
  <c r="D22" i="26"/>
  <c r="N22" i="26" s="1"/>
  <c r="D38" i="26"/>
  <c r="N38" i="26" s="1"/>
  <c r="O38" i="26" s="1"/>
  <c r="N52" i="29"/>
  <c r="O52" i="29" s="1"/>
  <c r="O21" i="32"/>
  <c r="L56" i="19"/>
  <c r="O56" i="19" s="1"/>
  <c r="N37" i="27"/>
  <c r="O37" i="27" s="1"/>
  <c r="D39" i="29"/>
  <c r="N39" i="29" s="1"/>
  <c r="O39" i="29" s="1"/>
  <c r="D37" i="29"/>
  <c r="N37" i="29" s="1"/>
  <c r="O37" i="29" s="1"/>
  <c r="D35" i="29"/>
  <c r="N35" i="29" s="1"/>
  <c r="O35" i="29" s="1"/>
  <c r="D33" i="29"/>
  <c r="N33" i="29" s="1"/>
  <c r="D36" i="29"/>
  <c r="N36" i="29" s="1"/>
  <c r="O36" i="29" s="1"/>
  <c r="D40" i="29"/>
  <c r="M40" i="29" s="1"/>
  <c r="D16" i="29"/>
  <c r="O64" i="29"/>
  <c r="N38" i="30"/>
  <c r="O38" i="30" s="1"/>
  <c r="D15" i="27"/>
  <c r="D14" i="29"/>
  <c r="O61" i="25"/>
  <c r="D37" i="25"/>
  <c r="N37" i="25" s="1"/>
  <c r="O37" i="25" s="1"/>
  <c r="D35" i="25"/>
  <c r="N35" i="25" s="1"/>
  <c r="O35" i="25" s="1"/>
  <c r="D33" i="25"/>
  <c r="N33" i="25" s="1"/>
  <c r="O33" i="25" s="1"/>
  <c r="D31" i="25"/>
  <c r="N31" i="25" s="1"/>
  <c r="O31" i="25" s="1"/>
  <c r="D29" i="25"/>
  <c r="N29" i="25" s="1"/>
  <c r="O29" i="25" s="1"/>
  <c r="D23" i="25"/>
  <c r="N23" i="25" s="1"/>
  <c r="O23" i="25" s="1"/>
  <c r="O60" i="25"/>
  <c r="D30" i="25"/>
  <c r="N30" i="25" s="1"/>
  <c r="O30" i="25" s="1"/>
  <c r="D47" i="25"/>
  <c r="N47" i="25" s="1"/>
  <c r="O47" i="25" s="1"/>
  <c r="D40" i="27"/>
  <c r="N40" i="27" s="1"/>
  <c r="O40" i="27" s="1"/>
  <c r="D36" i="27"/>
  <c r="N36" i="27" s="1"/>
  <c r="O36" i="27" s="1"/>
  <c r="D34" i="27"/>
  <c r="N34" i="27" s="1"/>
  <c r="O66" i="27"/>
  <c r="D52" i="27"/>
  <c r="N52" i="27" s="1"/>
  <c r="O52" i="27" s="1"/>
  <c r="O65" i="28"/>
  <c r="D43" i="28"/>
  <c r="N43" i="28" s="1"/>
  <c r="O43" i="28" s="1"/>
  <c r="D41" i="28"/>
  <c r="M41" i="28" s="1"/>
  <c r="D37" i="28"/>
  <c r="N37" i="28" s="1"/>
  <c r="O37" i="28" s="1"/>
  <c r="D35" i="28"/>
  <c r="N35" i="28" s="1"/>
  <c r="O35" i="28" s="1"/>
  <c r="D38" i="28"/>
  <c r="N38" i="28" s="1"/>
  <c r="O38" i="28" s="1"/>
  <c r="N47" i="30"/>
  <c r="O47" i="30" s="1"/>
  <c r="J47" i="30"/>
  <c r="J48" i="32"/>
  <c r="D52" i="30"/>
  <c r="N52" i="30" s="1"/>
  <c r="O52" i="30" s="1"/>
  <c r="D50" i="30"/>
  <c r="N50" i="30" s="1"/>
  <c r="O50" i="30" s="1"/>
  <c r="D32" i="30"/>
  <c r="N32" i="30" s="1"/>
  <c r="O32" i="30" s="1"/>
  <c r="D30" i="30"/>
  <c r="N30" i="30" s="1"/>
  <c r="O30" i="30" s="1"/>
  <c r="D28" i="30"/>
  <c r="N28" i="30" s="1"/>
  <c r="O28" i="30" s="1"/>
  <c r="D45" i="30"/>
  <c r="O45" i="30" s="1"/>
  <c r="D22" i="30"/>
  <c r="N22" i="30" s="1"/>
  <c r="O22" i="30" s="1"/>
  <c r="D29" i="30"/>
  <c r="N29" i="30" s="1"/>
  <c r="O29" i="30" s="1"/>
  <c r="D53" i="30"/>
  <c r="N53" i="30" s="1"/>
  <c r="O53" i="30" s="1"/>
  <c r="N22" i="31"/>
  <c r="O22" i="31" s="1"/>
  <c r="J41" i="25"/>
  <c r="D39" i="31"/>
  <c r="M39" i="31" s="1"/>
  <c r="O22" i="18" l="1"/>
  <c r="O23" i="18" s="1"/>
  <c r="N23" i="18"/>
  <c r="M54" i="12"/>
  <c r="M56" i="12" s="1"/>
  <c r="O36" i="12"/>
  <c r="M56" i="15"/>
  <c r="M58" i="15" s="1"/>
  <c r="O39" i="15"/>
  <c r="M56" i="32"/>
  <c r="M58" i="32" s="1"/>
  <c r="O39" i="32"/>
  <c r="N23" i="31"/>
  <c r="O21" i="31"/>
  <c r="D44" i="7"/>
  <c r="N44" i="7" s="1"/>
  <c r="O44" i="7" s="1"/>
  <c r="O69" i="7"/>
  <c r="D43" i="7"/>
  <c r="M43" i="7" s="1"/>
  <c r="D45" i="7"/>
  <c r="N45" i="7" s="1"/>
  <c r="O45" i="7" s="1"/>
  <c r="D34" i="7"/>
  <c r="N34" i="7" s="1"/>
  <c r="O34" i="7" s="1"/>
  <c r="D49" i="7"/>
  <c r="O49" i="7" s="1"/>
  <c r="D33" i="7"/>
  <c r="N33" i="7" s="1"/>
  <c r="O33" i="7" s="1"/>
  <c r="D36" i="7"/>
  <c r="N36" i="7" s="1"/>
  <c r="O36" i="7" s="1"/>
  <c r="D35" i="7"/>
  <c r="N35" i="7" s="1"/>
  <c r="O35" i="7" s="1"/>
  <c r="D54" i="7"/>
  <c r="N54" i="7" s="1"/>
  <c r="O54" i="7" s="1"/>
  <c r="D37" i="7"/>
  <c r="N37" i="7" s="1"/>
  <c r="O37" i="7" s="1"/>
  <c r="D32" i="7"/>
  <c r="N32" i="7" s="1"/>
  <c r="M56" i="26"/>
  <c r="M58" i="26" s="1"/>
  <c r="O39" i="26"/>
  <c r="N31" i="14"/>
  <c r="O31" i="14" s="1"/>
  <c r="D33" i="14"/>
  <c r="N33" i="14" s="1"/>
  <c r="O33" i="14" s="1"/>
  <c r="D19" i="20"/>
  <c r="D19" i="19"/>
  <c r="O24" i="4"/>
  <c r="N23" i="16"/>
  <c r="D43" i="29"/>
  <c r="N43" i="29" s="1"/>
  <c r="O43" i="29" s="1"/>
  <c r="D41" i="29"/>
  <c r="M41" i="29" s="1"/>
  <c r="O41" i="29" s="1"/>
  <c r="I25" i="29"/>
  <c r="N29" i="14"/>
  <c r="D44" i="14"/>
  <c r="O44" i="14" s="1"/>
  <c r="O21" i="8"/>
  <c r="O55" i="8" s="1"/>
  <c r="M56" i="13"/>
  <c r="M58" i="13" s="1"/>
  <c r="O39" i="13"/>
  <c r="O23" i="32"/>
  <c r="O25" i="7"/>
  <c r="N28" i="7"/>
  <c r="O34" i="19"/>
  <c r="L63" i="19"/>
  <c r="L65" i="19" s="1"/>
  <c r="O23" i="16"/>
  <c r="D19" i="27"/>
  <c r="D14" i="27"/>
  <c r="D16" i="27"/>
  <c r="D39" i="25"/>
  <c r="N39" i="25" s="1"/>
  <c r="O39" i="25" s="1"/>
  <c r="O51" i="25" s="1"/>
  <c r="O56" i="25" s="1"/>
  <c r="D42" i="25"/>
  <c r="N42" i="25" s="1"/>
  <c r="O42" i="25" s="1"/>
  <c r="D34" i="25"/>
  <c r="N34" i="25" s="1"/>
  <c r="O34" i="25" s="1"/>
  <c r="D40" i="25"/>
  <c r="N40" i="25" s="1"/>
  <c r="O40" i="25" s="1"/>
  <c r="L55" i="10"/>
  <c r="L57" i="10" s="1"/>
  <c r="O34" i="10"/>
  <c r="O34" i="13"/>
  <c r="L56" i="13"/>
  <c r="L58" i="13" s="1"/>
  <c r="L63" i="20"/>
  <c r="L65" i="20" s="1"/>
  <c r="O40" i="20"/>
  <c r="O40" i="22"/>
  <c r="M54" i="22"/>
  <c r="M56" i="22" s="1"/>
  <c r="N23" i="13"/>
  <c r="O27" i="13"/>
  <c r="D14" i="21"/>
  <c r="O27" i="32"/>
  <c r="O26" i="22"/>
  <c r="O27" i="22" s="1"/>
  <c r="N27" i="22"/>
  <c r="O34" i="17"/>
  <c r="L56" i="17"/>
  <c r="L58" i="17" s="1"/>
  <c r="O23" i="11"/>
  <c r="O34" i="20"/>
  <c r="O41" i="28"/>
  <c r="M57" i="28"/>
  <c r="M59" i="28" s="1"/>
  <c r="O40" i="29"/>
  <c r="M56" i="29"/>
  <c r="M58" i="29" s="1"/>
  <c r="N23" i="26"/>
  <c r="O22" i="26"/>
  <c r="O23" i="26" s="1"/>
  <c r="M56" i="30"/>
  <c r="M58" i="30" s="1"/>
  <c r="O39" i="30"/>
  <c r="N23" i="30"/>
  <c r="O21" i="30"/>
  <c r="N27" i="12"/>
  <c r="O27" i="12" s="1"/>
  <c r="D29" i="12"/>
  <c r="N29" i="12" s="1"/>
  <c r="O29" i="12" s="1"/>
  <c r="O27" i="30"/>
  <c r="O43" i="21"/>
  <c r="O20" i="4"/>
  <c r="D42" i="28"/>
  <c r="M42" i="28" s="1"/>
  <c r="O42" i="28" s="1"/>
  <c r="D28" i="28"/>
  <c r="D16" i="20"/>
  <c r="O21" i="12"/>
  <c r="D40" i="4"/>
  <c r="N40" i="4" s="1"/>
  <c r="O40" i="4" s="1"/>
  <c r="D30" i="4"/>
  <c r="N30" i="4" s="1"/>
  <c r="O30" i="4" s="1"/>
  <c r="D44" i="4"/>
  <c r="N44" i="4" s="1"/>
  <c r="O44" i="4" s="1"/>
  <c r="D41" i="4"/>
  <c r="N41" i="4" s="1"/>
  <c r="O41" i="4" s="1"/>
  <c r="D17" i="21"/>
  <c r="D15" i="29"/>
  <c r="D27" i="29" s="1"/>
  <c r="N27" i="29" s="1"/>
  <c r="O27" i="29" s="1"/>
  <c r="D17" i="29"/>
  <c r="D18" i="29" s="1"/>
  <c r="D28" i="29" s="1"/>
  <c r="N28" i="29" s="1"/>
  <c r="O28" i="29" s="1"/>
  <c r="D16" i="15"/>
  <c r="M56" i="11"/>
  <c r="M58" i="11" s="1"/>
  <c r="O39" i="11"/>
  <c r="O38" i="3"/>
  <c r="L58" i="3"/>
  <c r="L60" i="3" s="1"/>
  <c r="D15" i="15"/>
  <c r="O27" i="11"/>
  <c r="O23" i="13"/>
  <c r="D38" i="20"/>
  <c r="N38" i="20" s="1"/>
  <c r="O38" i="20" s="1"/>
  <c r="D15" i="20"/>
  <c r="L56" i="16"/>
  <c r="L58" i="16" s="1"/>
  <c r="L53" i="4"/>
  <c r="L55" i="4" s="1"/>
  <c r="N23" i="11"/>
  <c r="N28" i="23"/>
  <c r="O27" i="23"/>
  <c r="O28" i="23" s="1"/>
  <c r="O34" i="24"/>
  <c r="M48" i="24"/>
  <c r="M50" i="24" s="1"/>
  <c r="M56" i="31"/>
  <c r="M58" i="31" s="1"/>
  <c r="O39" i="31"/>
  <c r="M55" i="10"/>
  <c r="M57" i="10" s="1"/>
  <c r="O38" i="10"/>
  <c r="O22" i="17"/>
  <c r="O23" i="17" s="1"/>
  <c r="N23" i="17"/>
  <c r="O26" i="3"/>
  <c r="O27" i="3" s="1"/>
  <c r="N27" i="3"/>
  <c r="D38" i="27"/>
  <c r="N38" i="27" s="1"/>
  <c r="O38" i="27" s="1"/>
  <c r="M56" i="14"/>
  <c r="M58" i="14" s="1"/>
  <c r="O39" i="14"/>
  <c r="N52" i="5"/>
  <c r="N54" i="5" s="1"/>
  <c r="O25" i="5"/>
  <c r="O52" i="5" s="1"/>
  <c r="O54" i="5" s="1"/>
  <c r="N33" i="21"/>
  <c r="D50" i="21"/>
  <c r="O50" i="21" s="1"/>
  <c r="D16" i="14"/>
  <c r="D14" i="14"/>
  <c r="D26" i="29"/>
  <c r="D53" i="29"/>
  <c r="N53" i="29" s="1"/>
  <c r="O53" i="29" s="1"/>
  <c r="D43" i="12"/>
  <c r="O43" i="12" s="1"/>
  <c r="N26" i="12"/>
  <c r="L56" i="32"/>
  <c r="L58" i="32" s="1"/>
  <c r="O34" i="32"/>
  <c r="D16" i="21"/>
  <c r="O32" i="9"/>
  <c r="D45" i="10"/>
  <c r="N45" i="10" s="1"/>
  <c r="O45" i="10" s="1"/>
  <c r="D42" i="10"/>
  <c r="N42" i="10" s="1"/>
  <c r="O42" i="10" s="1"/>
  <c r="D33" i="10"/>
  <c r="N33" i="10" s="1"/>
  <c r="O33" i="10" s="1"/>
  <c r="O55" i="10" s="1"/>
  <c r="D41" i="10"/>
  <c r="N41" i="10" s="1"/>
  <c r="O41" i="10" s="1"/>
  <c r="L56" i="18"/>
  <c r="L58" i="18" s="1"/>
  <c r="O34" i="18"/>
  <c r="D52" i="20"/>
  <c r="O52" i="20" s="1"/>
  <c r="N35" i="20"/>
  <c r="O35" i="20" s="1"/>
  <c r="N53" i="8"/>
  <c r="N55" i="8" s="1"/>
  <c r="L54" i="12"/>
  <c r="L56" i="12" s="1"/>
  <c r="D38" i="24"/>
  <c r="N38" i="24" s="1"/>
  <c r="O38" i="24" s="1"/>
  <c r="D30" i="24"/>
  <c r="N30" i="24" s="1"/>
  <c r="O30" i="24" s="1"/>
  <c r="O48" i="24" s="1"/>
  <c r="O50" i="24" s="1"/>
  <c r="D37" i="24"/>
  <c r="N37" i="24" s="1"/>
  <c r="O37" i="24" s="1"/>
  <c r="D32" i="24"/>
  <c r="N32" i="24" s="1"/>
  <c r="O32" i="24" s="1"/>
  <c r="D40" i="24"/>
  <c r="N40" i="24" s="1"/>
  <c r="O40" i="24" s="1"/>
  <c r="O34" i="27"/>
  <c r="D45" i="15"/>
  <c r="O45" i="15" s="1"/>
  <c r="N30" i="15"/>
  <c r="N28" i="9"/>
  <c r="O26" i="9"/>
  <c r="O28" i="9" s="1"/>
  <c r="D33" i="15"/>
  <c r="N33" i="15" s="1"/>
  <c r="O33" i="15" s="1"/>
  <c r="O44" i="20"/>
  <c r="D14" i="20"/>
  <c r="D14" i="19"/>
  <c r="D17" i="19"/>
  <c r="D16" i="19"/>
  <c r="O24" i="25"/>
  <c r="N27" i="6"/>
  <c r="O26" i="6"/>
  <c r="O27" i="6" s="1"/>
  <c r="N23" i="32"/>
  <c r="O39" i="18"/>
  <c r="M56" i="18"/>
  <c r="M58" i="18" s="1"/>
  <c r="D15" i="14"/>
  <c r="O33" i="29"/>
  <c r="D54" i="23"/>
  <c r="N54" i="23" s="1"/>
  <c r="O54" i="23" s="1"/>
  <c r="D45" i="23"/>
  <c r="N45" i="23" s="1"/>
  <c r="O45" i="23" s="1"/>
  <c r="D43" i="23"/>
  <c r="M43" i="23" s="1"/>
  <c r="D37" i="23"/>
  <c r="N37" i="23" s="1"/>
  <c r="O37" i="23" s="1"/>
  <c r="O69" i="23"/>
  <c r="D36" i="23"/>
  <c r="N36" i="23" s="1"/>
  <c r="O36" i="23" s="1"/>
  <c r="D32" i="23"/>
  <c r="N32" i="23" s="1"/>
  <c r="D49" i="23"/>
  <c r="O49" i="23" s="1"/>
  <c r="D33" i="23"/>
  <c r="N33" i="23" s="1"/>
  <c r="O33" i="23" s="1"/>
  <c r="D34" i="23"/>
  <c r="N34" i="23" s="1"/>
  <c r="O34" i="23" s="1"/>
  <c r="D44" i="23"/>
  <c r="N44" i="23" s="1"/>
  <c r="O44" i="23" s="1"/>
  <c r="D35" i="23"/>
  <c r="N35" i="23" s="1"/>
  <c r="O35" i="23" s="1"/>
  <c r="N21" i="12"/>
  <c r="O60" i="10" l="1"/>
  <c r="O57" i="10"/>
  <c r="O52" i="24"/>
  <c r="O54" i="24" s="1"/>
  <c r="O56" i="5"/>
  <c r="O58" i="5" s="1"/>
  <c r="D42" i="11"/>
  <c r="N42" i="11" s="1"/>
  <c r="O42" i="11" s="1"/>
  <c r="D33" i="11"/>
  <c r="N33" i="11" s="1"/>
  <c r="D43" i="11"/>
  <c r="N43" i="11" s="1"/>
  <c r="O43" i="11" s="1"/>
  <c r="D46" i="11"/>
  <c r="N46" i="11" s="1"/>
  <c r="O46" i="11" s="1"/>
  <c r="O55" i="4"/>
  <c r="D46" i="26"/>
  <c r="N46" i="26" s="1"/>
  <c r="O46" i="26" s="1"/>
  <c r="D43" i="26"/>
  <c r="N43" i="26" s="1"/>
  <c r="O43" i="26" s="1"/>
  <c r="D42" i="26"/>
  <c r="N42" i="26" s="1"/>
  <c r="O42" i="26" s="1"/>
  <c r="D33" i="26"/>
  <c r="N33" i="26" s="1"/>
  <c r="O23" i="31"/>
  <c r="D53" i="14"/>
  <c r="N53" i="14" s="1"/>
  <c r="O53" i="14" s="1"/>
  <c r="D24" i="14"/>
  <c r="N24" i="14" s="1"/>
  <c r="D27" i="27"/>
  <c r="D54" i="27"/>
  <c r="N54" i="27" s="1"/>
  <c r="O54" i="27" s="1"/>
  <c r="D46" i="31"/>
  <c r="N46" i="31" s="1"/>
  <c r="O46" i="31" s="1"/>
  <c r="D43" i="31"/>
  <c r="N43" i="31" s="1"/>
  <c r="O43" i="31" s="1"/>
  <c r="D33" i="31"/>
  <c r="N33" i="31" s="1"/>
  <c r="D42" i="31"/>
  <c r="N42" i="31" s="1"/>
  <c r="O42" i="31" s="1"/>
  <c r="D42" i="32"/>
  <c r="N42" i="32" s="1"/>
  <c r="O42" i="32" s="1"/>
  <c r="D33" i="32"/>
  <c r="N33" i="32" s="1"/>
  <c r="D46" i="32"/>
  <c r="N46" i="32" s="1"/>
  <c r="O46" i="32" s="1"/>
  <c r="D43" i="32"/>
  <c r="N43" i="32" s="1"/>
  <c r="O43" i="32" s="1"/>
  <c r="D43" i="22"/>
  <c r="N43" i="22" s="1"/>
  <c r="O43" i="22" s="1"/>
  <c r="D38" i="22"/>
  <c r="N38" i="22" s="1"/>
  <c r="O38" i="22" s="1"/>
  <c r="D36" i="22"/>
  <c r="N36" i="22" s="1"/>
  <c r="D46" i="22"/>
  <c r="N46" i="22" s="1"/>
  <c r="O46" i="22" s="1"/>
  <c r="D44" i="22"/>
  <c r="N44" i="22" s="1"/>
  <c r="O44" i="22" s="1"/>
  <c r="N48" i="24"/>
  <c r="N50" i="24" s="1"/>
  <c r="D42" i="27"/>
  <c r="M42" i="27" s="1"/>
  <c r="D28" i="27"/>
  <c r="D43" i="16"/>
  <c r="N43" i="16" s="1"/>
  <c r="O43" i="16" s="1"/>
  <c r="D46" i="16"/>
  <c r="N46" i="16" s="1"/>
  <c r="O46" i="16" s="1"/>
  <c r="D33" i="16"/>
  <c r="N33" i="16" s="1"/>
  <c r="D42" i="16"/>
  <c r="N42" i="16" s="1"/>
  <c r="O42" i="16" s="1"/>
  <c r="O33" i="21"/>
  <c r="O53" i="4"/>
  <c r="D30" i="12"/>
  <c r="N30" i="12" s="1"/>
  <c r="O30" i="12" s="1"/>
  <c r="D40" i="12"/>
  <c r="N40" i="12" s="1"/>
  <c r="O40" i="12" s="1"/>
  <c r="D44" i="12"/>
  <c r="N44" i="12" s="1"/>
  <c r="O44" i="12" s="1"/>
  <c r="D39" i="12"/>
  <c r="N39" i="12" s="1"/>
  <c r="O39" i="12" s="1"/>
  <c r="D47" i="6"/>
  <c r="N47" i="6" s="1"/>
  <c r="O47" i="6" s="1"/>
  <c r="D50" i="6"/>
  <c r="N50" i="6" s="1"/>
  <c r="O50" i="6" s="1"/>
  <c r="D46" i="6"/>
  <c r="N46" i="6" s="1"/>
  <c r="O46" i="6" s="1"/>
  <c r="D37" i="6"/>
  <c r="N37" i="6" s="1"/>
  <c r="O58" i="8"/>
  <c r="O60" i="8" s="1"/>
  <c r="O53" i="25"/>
  <c r="O58" i="25" s="1"/>
  <c r="D27" i="21"/>
  <c r="D44" i="21"/>
  <c r="M44" i="21" s="1"/>
  <c r="I25" i="21"/>
  <c r="O23" i="30"/>
  <c r="O26" i="12"/>
  <c r="D47" i="23"/>
  <c r="N47" i="23" s="1"/>
  <c r="O47" i="23" s="1"/>
  <c r="D50" i="23"/>
  <c r="N50" i="23" s="1"/>
  <c r="O50" i="23" s="1"/>
  <c r="D46" i="23"/>
  <c r="N46" i="23" s="1"/>
  <c r="O46" i="23" s="1"/>
  <c r="D38" i="23"/>
  <c r="N38" i="23" s="1"/>
  <c r="O38" i="23" s="1"/>
  <c r="N55" i="10"/>
  <c r="N57" i="10" s="1"/>
  <c r="D18" i="21"/>
  <c r="D28" i="21" s="1"/>
  <c r="N28" i="21" s="1"/>
  <c r="O28" i="21" s="1"/>
  <c r="N28" i="28"/>
  <c r="D44" i="28"/>
  <c r="N44" i="28" s="1"/>
  <c r="O44" i="28" s="1"/>
  <c r="D43" i="30"/>
  <c r="N43" i="30" s="1"/>
  <c r="O43" i="30" s="1"/>
  <c r="D46" i="30"/>
  <c r="N46" i="30" s="1"/>
  <c r="O46" i="30" s="1"/>
  <c r="D42" i="30"/>
  <c r="N42" i="30" s="1"/>
  <c r="O42" i="30" s="1"/>
  <c r="D33" i="30"/>
  <c r="N33" i="30" s="1"/>
  <c r="O29" i="14"/>
  <c r="M59" i="7"/>
  <c r="M61" i="7" s="1"/>
  <c r="O43" i="7"/>
  <c r="D28" i="19"/>
  <c r="D45" i="19"/>
  <c r="M45" i="19" s="1"/>
  <c r="D46" i="3"/>
  <c r="N46" i="3" s="1"/>
  <c r="O46" i="3" s="1"/>
  <c r="D49" i="3"/>
  <c r="N49" i="3" s="1"/>
  <c r="O49" i="3" s="1"/>
  <c r="D45" i="3"/>
  <c r="N45" i="3" s="1"/>
  <c r="O45" i="3" s="1"/>
  <c r="D37" i="3"/>
  <c r="N37" i="3" s="1"/>
  <c r="D42" i="13"/>
  <c r="N42" i="13" s="1"/>
  <c r="O42" i="13" s="1"/>
  <c r="D46" i="13"/>
  <c r="N46" i="13" s="1"/>
  <c r="O46" i="13" s="1"/>
  <c r="D43" i="13"/>
  <c r="N43" i="13" s="1"/>
  <c r="O43" i="13" s="1"/>
  <c r="D33" i="13"/>
  <c r="N33" i="13" s="1"/>
  <c r="N25" i="29"/>
  <c r="J25" i="29"/>
  <c r="M59" i="23"/>
  <c r="M61" i="23" s="1"/>
  <c r="O43" i="23"/>
  <c r="D38" i="9"/>
  <c r="N38" i="9" s="1"/>
  <c r="D46" i="9"/>
  <c r="N46" i="9" s="1"/>
  <c r="O46" i="9" s="1"/>
  <c r="D47" i="9"/>
  <c r="N47" i="9" s="1"/>
  <c r="O47" i="9" s="1"/>
  <c r="D50" i="9"/>
  <c r="N50" i="9" s="1"/>
  <c r="O50" i="9" s="1"/>
  <c r="N53" i="4"/>
  <c r="N55" i="4" s="1"/>
  <c r="O30" i="15"/>
  <c r="D53" i="15"/>
  <c r="N53" i="15" s="1"/>
  <c r="O53" i="15" s="1"/>
  <c r="D24" i="15"/>
  <c r="N24" i="15" s="1"/>
  <c r="D60" i="19"/>
  <c r="N60" i="19" s="1"/>
  <c r="O60" i="19" s="1"/>
  <c r="D27" i="19"/>
  <c r="D27" i="20"/>
  <c r="D60" i="20"/>
  <c r="N60" i="20" s="1"/>
  <c r="O60" i="20" s="1"/>
  <c r="D45" i="20"/>
  <c r="M45" i="20" s="1"/>
  <c r="D28" i="20"/>
  <c r="D46" i="7"/>
  <c r="N46" i="7" s="1"/>
  <c r="O46" i="7" s="1"/>
  <c r="D50" i="7"/>
  <c r="N50" i="7" s="1"/>
  <c r="O50" i="7" s="1"/>
  <c r="D47" i="7"/>
  <c r="N47" i="7" s="1"/>
  <c r="O47" i="7" s="1"/>
  <c r="D38" i="7"/>
  <c r="N38" i="7" s="1"/>
  <c r="O38" i="7" s="1"/>
  <c r="D43" i="18"/>
  <c r="N43" i="18" s="1"/>
  <c r="O43" i="18" s="1"/>
  <c r="D33" i="18"/>
  <c r="N33" i="18" s="1"/>
  <c r="D46" i="18"/>
  <c r="N46" i="18" s="1"/>
  <c r="O46" i="18" s="1"/>
  <c r="D42" i="18"/>
  <c r="N42" i="18" s="1"/>
  <c r="O42" i="18" s="1"/>
  <c r="D59" i="21"/>
  <c r="N59" i="21" s="1"/>
  <c r="O59" i="21" s="1"/>
  <c r="D26" i="21"/>
  <c r="O32" i="23"/>
  <c r="D46" i="17"/>
  <c r="N46" i="17" s="1"/>
  <c r="O46" i="17" s="1"/>
  <c r="D43" i="17"/>
  <c r="N43" i="17" s="1"/>
  <c r="O43" i="17" s="1"/>
  <c r="D33" i="17"/>
  <c r="N33" i="17" s="1"/>
  <c r="D42" i="17"/>
  <c r="N42" i="17" s="1"/>
  <c r="O42" i="17" s="1"/>
  <c r="N51" i="25"/>
  <c r="N53" i="25" s="1"/>
  <c r="O28" i="7"/>
  <c r="O64" i="7"/>
  <c r="O32" i="7"/>
  <c r="O59" i="7" s="1"/>
  <c r="N59" i="7"/>
  <c r="N61" i="7" s="1"/>
  <c r="O45" i="20" l="1"/>
  <c r="M63" i="20"/>
  <c r="M65" i="20" s="1"/>
  <c r="O57" i="4"/>
  <c r="O59" i="4" s="1"/>
  <c r="O59" i="23"/>
  <c r="O61" i="23" s="1"/>
  <c r="O66" i="23" s="1"/>
  <c r="O33" i="16"/>
  <c r="O56" i="16" s="1"/>
  <c r="N56" i="16"/>
  <c r="N58" i="16" s="1"/>
  <c r="O33" i="18"/>
  <c r="O56" i="18" s="1"/>
  <c r="N56" i="18"/>
  <c r="N58" i="18" s="1"/>
  <c r="O33" i="30"/>
  <c r="O56" i="30" s="1"/>
  <c r="O61" i="30" s="1"/>
  <c r="N56" i="30"/>
  <c r="N58" i="30" s="1"/>
  <c r="N54" i="12"/>
  <c r="N56" i="12" s="1"/>
  <c r="D44" i="27"/>
  <c r="N44" i="27" s="1"/>
  <c r="O44" i="27" s="1"/>
  <c r="N28" i="27"/>
  <c r="O42" i="27"/>
  <c r="M57" i="27"/>
  <c r="M59" i="27" s="1"/>
  <c r="D47" i="19"/>
  <c r="N47" i="19" s="1"/>
  <c r="N28" i="19"/>
  <c r="O33" i="13"/>
  <c r="O56" i="13" s="1"/>
  <c r="N56" i="13"/>
  <c r="N58" i="13" s="1"/>
  <c r="O28" i="28"/>
  <c r="N30" i="28"/>
  <c r="O58" i="30"/>
  <c r="O63" i="30" s="1"/>
  <c r="O37" i="6"/>
  <c r="O59" i="6" s="1"/>
  <c r="O61" i="6" s="1"/>
  <c r="O66" i="6" s="1"/>
  <c r="N59" i="6"/>
  <c r="N61" i="6" s="1"/>
  <c r="O33" i="31"/>
  <c r="O56" i="31" s="1"/>
  <c r="O61" i="31" s="1"/>
  <c r="N56" i="31"/>
  <c r="N58" i="31" s="1"/>
  <c r="O38" i="9"/>
  <c r="O59" i="9" s="1"/>
  <c r="O61" i="9" s="1"/>
  <c r="O66" i="9" s="1"/>
  <c r="N59" i="9"/>
  <c r="N61" i="9" s="1"/>
  <c r="D46" i="21"/>
  <c r="N46" i="21" s="1"/>
  <c r="O46" i="21" s="1"/>
  <c r="N27" i="21"/>
  <c r="O27" i="21" s="1"/>
  <c r="O33" i="11"/>
  <c r="O56" i="11" s="1"/>
  <c r="N56" i="11"/>
  <c r="N58" i="11" s="1"/>
  <c r="O61" i="7"/>
  <c r="O66" i="7" s="1"/>
  <c r="O24" i="15"/>
  <c r="O25" i="15" s="1"/>
  <c r="N25" i="15"/>
  <c r="O33" i="32"/>
  <c r="O56" i="32" s="1"/>
  <c r="N56" i="32"/>
  <c r="N58" i="32" s="1"/>
  <c r="O54" i="12"/>
  <c r="O45" i="19"/>
  <c r="M63" i="19"/>
  <c r="M65" i="19" s="1"/>
  <c r="O33" i="26"/>
  <c r="O56" i="26" s="1"/>
  <c r="N56" i="26"/>
  <c r="N58" i="26" s="1"/>
  <c r="O33" i="17"/>
  <c r="O56" i="17" s="1"/>
  <c r="N56" i="17"/>
  <c r="N58" i="17" s="1"/>
  <c r="O36" i="22"/>
  <c r="O54" i="22" s="1"/>
  <c r="O56" i="22" s="1"/>
  <c r="O61" i="22" s="1"/>
  <c r="N54" i="22"/>
  <c r="N56" i="22" s="1"/>
  <c r="O62" i="10"/>
  <c r="J25" i="21"/>
  <c r="N25" i="21"/>
  <c r="O44" i="21"/>
  <c r="M62" i="21"/>
  <c r="M64" i="21" s="1"/>
  <c r="N59" i="23"/>
  <c r="N61" i="23" s="1"/>
  <c r="O37" i="3"/>
  <c r="O58" i="3" s="1"/>
  <c r="O60" i="3" s="1"/>
  <c r="O65" i="3" s="1"/>
  <c r="N58" i="3"/>
  <c r="N60" i="3" s="1"/>
  <c r="O24" i="14"/>
  <c r="O25" i="14" s="1"/>
  <c r="N25" i="14"/>
  <c r="O58" i="31"/>
  <c r="O63" i="31" s="1"/>
  <c r="O25" i="29"/>
  <c r="N29" i="29"/>
  <c r="D47" i="20"/>
  <c r="N47" i="20" s="1"/>
  <c r="O47" i="20" s="1"/>
  <c r="N28" i="20"/>
  <c r="N41" i="14" l="1"/>
  <c r="O41" i="14" s="1"/>
  <c r="N46" i="14"/>
  <c r="O46" i="14" s="1"/>
  <c r="D46" i="14"/>
  <c r="N42" i="14"/>
  <c r="O42" i="14" s="1"/>
  <c r="D41" i="14"/>
  <c r="D34" i="14"/>
  <c r="N34" i="14" s="1"/>
  <c r="D42" i="14"/>
  <c r="O61" i="11"/>
  <c r="O58" i="11"/>
  <c r="O63" i="11" s="1"/>
  <c r="O61" i="13"/>
  <c r="O58" i="13"/>
  <c r="O47" i="19"/>
  <c r="O28" i="20"/>
  <c r="N30" i="20"/>
  <c r="O25" i="21"/>
  <c r="N29" i="21"/>
  <c r="D45" i="29"/>
  <c r="D47" i="29"/>
  <c r="D44" i="29"/>
  <c r="N45" i="29"/>
  <c r="O45" i="29" s="1"/>
  <c r="N44" i="29"/>
  <c r="O44" i="29" s="1"/>
  <c r="D38" i="29"/>
  <c r="N38" i="29" s="1"/>
  <c r="N47" i="29"/>
  <c r="O47" i="29" s="1"/>
  <c r="O61" i="32"/>
  <c r="O58" i="32"/>
  <c r="O63" i="32" s="1"/>
  <c r="D45" i="28"/>
  <c r="D39" i="28"/>
  <c r="N39" i="28" s="1"/>
  <c r="D46" i="28"/>
  <c r="N46" i="28"/>
  <c r="O46" i="28" s="1"/>
  <c r="N48" i="28"/>
  <c r="O48" i="28" s="1"/>
  <c r="N45" i="28"/>
  <c r="O45" i="28" s="1"/>
  <c r="D48" i="28"/>
  <c r="O30" i="28"/>
  <c r="O61" i="26"/>
  <c r="O58" i="26"/>
  <c r="O63" i="26" s="1"/>
  <c r="O59" i="12"/>
  <c r="O56" i="12"/>
  <c r="O61" i="12" s="1"/>
  <c r="O29" i="29"/>
  <c r="N46" i="15"/>
  <c r="O46" i="15" s="1"/>
  <c r="N41" i="15"/>
  <c r="O41" i="15" s="1"/>
  <c r="N42" i="15"/>
  <c r="O42" i="15" s="1"/>
  <c r="D42" i="15"/>
  <c r="D34" i="15"/>
  <c r="N34" i="15" s="1"/>
  <c r="D41" i="15"/>
  <c r="D46" i="15"/>
  <c r="N30" i="27"/>
  <c r="O28" i="27"/>
  <c r="O61" i="17"/>
  <c r="O58" i="17"/>
  <c r="O63" i="17" s="1"/>
  <c r="O61" i="18"/>
  <c r="O58" i="18"/>
  <c r="O63" i="18" s="1"/>
  <c r="O28" i="19"/>
  <c r="N30" i="19"/>
  <c r="O61" i="16"/>
  <c r="O58" i="16"/>
  <c r="O63" i="16" s="1"/>
  <c r="O29" i="21" l="1"/>
  <c r="O30" i="20"/>
  <c r="O34" i="15"/>
  <c r="O56" i="15" s="1"/>
  <c r="N56" i="15"/>
  <c r="N58" i="15" s="1"/>
  <c r="O38" i="29"/>
  <c r="O56" i="29" s="1"/>
  <c r="O60" i="29" s="1"/>
  <c r="N56" i="29"/>
  <c r="N58" i="29" s="1"/>
  <c r="O30" i="27"/>
  <c r="N48" i="21"/>
  <c r="O48" i="21" s="1"/>
  <c r="D52" i="21"/>
  <c r="D48" i="21"/>
  <c r="D47" i="21"/>
  <c r="D38" i="21"/>
  <c r="N38" i="21" s="1"/>
  <c r="N52" i="21"/>
  <c r="O52" i="21" s="1"/>
  <c r="N47" i="21"/>
  <c r="O47" i="21" s="1"/>
  <c r="D46" i="27"/>
  <c r="D48" i="27"/>
  <c r="N46" i="27"/>
  <c r="O46" i="27" s="1"/>
  <c r="D45" i="27"/>
  <c r="D39" i="27"/>
  <c r="N39" i="27" s="1"/>
  <c r="N48" i="27"/>
  <c r="O48" i="27" s="1"/>
  <c r="N45" i="27"/>
  <c r="O45" i="27" s="1"/>
  <c r="D49" i="20"/>
  <c r="D39" i="20"/>
  <c r="N39" i="20" s="1"/>
  <c r="N49" i="20"/>
  <c r="O49" i="20" s="1"/>
  <c r="D53" i="20"/>
  <c r="N53" i="20"/>
  <c r="O53" i="20" s="1"/>
  <c r="D48" i="20"/>
  <c r="N48" i="20"/>
  <c r="O48" i="20" s="1"/>
  <c r="N53" i="19"/>
  <c r="O53" i="19" s="1"/>
  <c r="D39" i="19"/>
  <c r="D53" i="19"/>
  <c r="D49" i="19"/>
  <c r="N48" i="19"/>
  <c r="N49" i="19"/>
  <c r="O49" i="19" s="1"/>
  <c r="D48" i="19"/>
  <c r="O58" i="29"/>
  <c r="O62" i="29" s="1"/>
  <c r="O39" i="28"/>
  <c r="O57" i="28" s="1"/>
  <c r="O61" i="28" s="1"/>
  <c r="N57" i="28"/>
  <c r="N59" i="28" s="1"/>
  <c r="O34" i="14"/>
  <c r="O56" i="14" s="1"/>
  <c r="N56" i="14"/>
  <c r="N58" i="14" s="1"/>
  <c r="O30" i="19"/>
  <c r="O63" i="13"/>
  <c r="O60" i="14" l="1"/>
  <c r="O58" i="14"/>
  <c r="O62" i="14" s="1"/>
  <c r="O38" i="21"/>
  <c r="O62" i="21" s="1"/>
  <c r="O66" i="21" s="1"/>
  <c r="N62" i="21"/>
  <c r="N64" i="21" s="1"/>
  <c r="O60" i="15"/>
  <c r="O58" i="15"/>
  <c r="O62" i="15" s="1"/>
  <c r="O39" i="27"/>
  <c r="O57" i="27" s="1"/>
  <c r="O61" i="27" s="1"/>
  <c r="N57" i="27"/>
  <c r="N59" i="27" s="1"/>
  <c r="O59" i="27"/>
  <c r="O63" i="27" s="1"/>
  <c r="O59" i="28"/>
  <c r="O63" i="28" s="1"/>
  <c r="O39" i="20"/>
  <c r="O63" i="20" s="1"/>
  <c r="O67" i="20" s="1"/>
  <c r="N63" i="20"/>
  <c r="N65" i="20" s="1"/>
  <c r="O64" i="21"/>
  <c r="O68" i="21" s="1"/>
  <c r="O48" i="19"/>
  <c r="O63" i="19" s="1"/>
  <c r="O67" i="19" s="1"/>
  <c r="N63" i="19"/>
  <c r="N65" i="19" s="1"/>
  <c r="O65" i="19" l="1"/>
  <c r="O69" i="19" s="1"/>
  <c r="O65" i="20"/>
  <c r="O6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<sst xmlns="http://schemas.openxmlformats.org/spreadsheetml/2006/main" count="4913" uniqueCount="322">
  <si>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</si>
  <si>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</si>
  <si>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</si>
  <si>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</si>
  <si>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</si>
  <si>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</si>
  <si>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</si>
  <si>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</si>
  <si>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</si>
  <si>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</si>
  <si>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</si>
  <si>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</si>
  <si>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</si>
  <si>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</si>
  <si>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</si>
  <si>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</si>
  <si>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</si>
  <si>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</si>
  <si>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</si>
  <si>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</si>
  <si>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</si>
  <si>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</si>
  <si>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</si>
  <si>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</si>
  <si>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</si>
  <si>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</si>
  <si>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</si>
  <si>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</si>
  <si>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</si>
  <si>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</si>
  <si>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</si>
  <si>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</si>
  <si>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t>Revised 12/31/2024</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</si>
  <si>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</si>
  <si>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</si>
  <si>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</si>
  <si>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</si>
  <si>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</si>
  <si>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</si>
  <si>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</si>
  <si>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</si>
  <si>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</si>
  <si>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</si>
  <si>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</si>
  <si>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</si>
  <si>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</si>
  <si>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</si>
  <si>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</si>
  <si>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</si>
  <si>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</si>
  <si>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Smart City Rider - </t>
    </r>
    <r>
      <rPr>
        <sz val="9"/>
        <rFont val="Arial"/>
        <family val="2"/>
      </rPr>
      <t>This rider allows the Company to recover costs associated with Smart City technologies.</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</si>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</sst>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79">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0" fontId="3" fillId="0" borderId="0" xfId="0" applyNumberFormat="1" applyFont="1" applyAlignment="1">
      <alignment horizontal="center"/>
    </xf>
    <xf numFmtId="174" fontId="3" fillId="0" borderId="0" xfId="3" applyNumberFormat="1" applyFont="1" applyBorder="1" applyAlignment="1">
      <alignment horizontal="center"/>
    </xf>
    <xf numFmtId="0" fontId="47" fillId="0" borderId="0" xfId="0" applyFont="1" applyAlignment="1">
      <alignment horizontal="center"/>
    </xf>
    <xf numFmtId="171" fontId="3" fillId="0" borderId="0" xfId="8" applyNumberFormat="1" applyFill="1" applyBorder="1"/>
    <xf numFmtId="171" fontId="3" fillId="0" borderId="0" xfId="8" applyNumberFormat="1" applyFont="1" applyFill="1" applyBorder="1"/>
    <xf numFmtId="184" fontId="0" fillId="0" borderId="0" xfId="2" applyNumberFormat="1" applyFont="1" applyFill="1" applyBorder="1"/>
    <xf numFmtId="171" fontId="3" fillId="0" borderId="4" xfId="2" applyNumberFormat="1" applyFont="1" applyFill="1" applyBorder="1" applyAlignment="1">
      <alignment horizontal="center"/>
    </xf>
    <xf numFmtId="44" fontId="3" fillId="0" borderId="4" xfId="2" applyFont="1" applyFill="1" applyBorder="1" applyAlignment="1">
      <alignment horizontal="center" vertical="center"/>
    </xf>
    <xf numFmtId="44" fontId="0" fillId="0" borderId="4" xfId="2" applyFont="1" applyFill="1" applyBorder="1" applyAlignment="1">
      <alignment horizontal="center" vertical="center"/>
    </xf>
    <xf numFmtId="44" fontId="0" fillId="0" borderId="4" xfId="0" applyNumberFormat="1" applyBorder="1" applyAlignment="1">
      <alignment horizontal="center" vertical="center"/>
    </xf>
    <xf numFmtId="14" fontId="0" fillId="0" borderId="0" xfId="0" applyNumberFormat="1" applyAlignment="1">
      <alignment horizontal="center" vertical="center"/>
    </xf>
    <xf numFmtId="171" fontId="0" fillId="0" borderId="0" xfId="0" applyNumberFormat="1" applyAlignment="1">
      <alignment horizontal="center" vertical="center"/>
    </xf>
    <xf numFmtId="171" fontId="3" fillId="0" borderId="0" xfId="2" applyNumberFormat="1" applyFont="1" applyFill="1" applyBorder="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171" fontId="0" fillId="0" borderId="0" xfId="2" applyNumberFormat="1" applyFont="1" applyBorder="1"/>
    <xf numFmtId="44" fontId="3" fillId="0" borderId="0" xfId="2" applyFill="1" applyBorder="1"/>
    <xf numFmtId="0" fontId="37" fillId="0" borderId="0" xfId="0" applyFont="1" applyAlignment="1">
      <alignment horizontal="center"/>
    </xf>
    <xf numFmtId="170" fontId="3" fillId="0" borderId="0" xfId="9" applyNumberFormat="1" applyFill="1" applyBorder="1"/>
    <xf numFmtId="170" fontId="3" fillId="0" borderId="0" xfId="3" applyNumberFormat="1" applyFont="1" applyFill="1" applyBorder="1"/>
    <xf numFmtId="14" fontId="3" fillId="0" borderId="0" xfId="0" applyNumberFormat="1" applyFont="1" applyAlignment="1">
      <alignment horizontal="right"/>
    </xf>
    <xf numFmtId="170" fontId="3" fillId="0" borderId="0" xfId="3" applyNumberFormat="1" applyFill="1" applyBorder="1"/>
    <xf numFmtId="171" fontId="3" fillId="0" borderId="0" xfId="2" applyNumberFormat="1" applyBorder="1"/>
    <xf numFmtId="170" fontId="3" fillId="0" borderId="0" xfId="3" applyNumberFormat="1" applyFont="1" applyFill="1" applyBorder="1" applyAlignment="1">
      <alignment horizontal="center"/>
    </xf>
    <xf numFmtId="14" fontId="3" fillId="0" borderId="0" xfId="0" applyNumberFormat="1" applyFont="1"/>
    <xf numFmtId="171" fontId="0" fillId="0" borderId="0" xfId="2" applyNumberFormat="1" applyFont="1" applyBorder="1" applyAlignment="1">
      <alignment horizontal="center"/>
    </xf>
    <xf numFmtId="7" fontId="3" fillId="0" borderId="0" xfId="0" applyNumberFormat="1" applyFont="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0" fillId="4" borderId="0" xfId="5" applyFont="1" applyFill="1" applyAlignment="1">
      <alignment horizontal="center"/>
    </xf>
    <xf numFmtId="0" fontId="31" fillId="0" borderId="0" xfId="5" applyFont="1" applyAlignment="1">
      <alignment horizontal="center"/>
    </xf>
    <xf numFmtId="0" fontId="30" fillId="0" borderId="0" xfId="5" applyFont="1" applyAlignment="1">
      <alignment horizontal="center"/>
    </xf>
    <xf numFmtId="0" fontId="3" fillId="0" borderId="0" xfId="0" applyFont="1" applyAlignment="1">
      <alignment horizontal="center"/>
    </xf>
    <xf numFmtId="0" fontId="0" fillId="0" borderId="0" xfId="0" applyAlignment="1">
      <alignment horizontal="center"/>
    </xf>
    <xf numFmtId="0" fontId="0" fillId="0" borderId="6" xfId="0" applyBorder="1"/>
    <xf numFmtId="0" fontId="0" fillId="0" borderId="0" xfId="0" applyBorder="1"/>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31</xdr:row>
          <xdr:rowOff>106680</xdr:rowOff>
        </xdr:from>
        <xdr:to>
          <xdr:col>1</xdr:col>
          <xdr:colOff>457200</xdr:colOff>
          <xdr:row>33</xdr:row>
          <xdr:rowOff>30480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106680</xdr:rowOff>
        </xdr:from>
        <xdr:to>
          <xdr:col>5</xdr:col>
          <xdr:colOff>678180</xdr:colOff>
          <xdr:row>15</xdr:row>
          <xdr:rowOff>30480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30480</xdr:rowOff>
        </xdr:from>
        <xdr:to>
          <xdr:col>5</xdr:col>
          <xdr:colOff>678180</xdr:colOff>
          <xdr:row>16</xdr:row>
          <xdr:rowOff>68580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68580</xdr:rowOff>
        </xdr:from>
        <xdr:to>
          <xdr:col>5</xdr:col>
          <xdr:colOff>678180</xdr:colOff>
          <xdr:row>17</xdr:row>
          <xdr:rowOff>106680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68580</xdr:rowOff>
        </xdr:from>
        <xdr:to>
          <xdr:col>5</xdr:col>
          <xdr:colOff>678180</xdr:colOff>
          <xdr:row>18</xdr:row>
          <xdr:rowOff>7620</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32</xdr:row>
          <xdr:rowOff>68580</xdr:rowOff>
        </xdr:from>
        <xdr:to>
          <xdr:col>2</xdr:col>
          <xdr:colOff>106680</xdr:colOff>
          <xdr:row>34</xdr:row>
          <xdr:rowOff>45720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xdr:row>
          <xdr:rowOff>83820</xdr:rowOff>
        </xdr:from>
        <xdr:to>
          <xdr:col>1</xdr:col>
          <xdr:colOff>601980</xdr:colOff>
          <xdr:row>35</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373380</xdr:colOff>
          <xdr:row>77</xdr:row>
          <xdr:rowOff>7620</xdr:rowOff>
        </xdr:from>
        <xdr:to>
          <xdr:col>14</xdr:col>
          <xdr:colOff>723900</xdr:colOff>
          <xdr:row>78</xdr:row>
          <xdr:rowOff>68580</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106680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2</xdr:row>
          <xdr:rowOff>30480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89</xdr:row>
          <xdr:rowOff>45720</xdr:rowOff>
        </xdr:from>
        <xdr:to>
          <xdr:col>16</xdr:col>
          <xdr:colOff>30480</xdr:colOff>
          <xdr:row>90</xdr:row>
          <xdr:rowOff>106680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89</xdr:row>
          <xdr:rowOff>45720</xdr:rowOff>
        </xdr:from>
        <xdr:to>
          <xdr:col>16</xdr:col>
          <xdr:colOff>30480</xdr:colOff>
          <xdr:row>90</xdr:row>
          <xdr:rowOff>83820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86</xdr:row>
          <xdr:rowOff>38100</xdr:rowOff>
        </xdr:from>
        <xdr:to>
          <xdr:col>30</xdr:col>
          <xdr:colOff>160020</xdr:colOff>
          <xdr:row>87</xdr:row>
          <xdr:rowOff>83820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88</xdr:row>
          <xdr:rowOff>45720</xdr:rowOff>
        </xdr:from>
        <xdr:to>
          <xdr:col>16</xdr:col>
          <xdr:colOff>30480</xdr:colOff>
          <xdr:row>89</xdr:row>
          <xdr:rowOff>83820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82</xdr:row>
          <xdr:rowOff>38100</xdr:rowOff>
        </xdr:from>
        <xdr:to>
          <xdr:col>30</xdr:col>
          <xdr:colOff>160020</xdr:colOff>
          <xdr:row>83</xdr:row>
          <xdr:rowOff>83820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83</xdr:row>
          <xdr:rowOff>38100</xdr:rowOff>
        </xdr:from>
        <xdr:to>
          <xdr:col>30</xdr:col>
          <xdr:colOff>160020</xdr:colOff>
          <xdr:row>84</xdr:row>
          <xdr:rowOff>83820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411480</xdr:colOff>
          <xdr:row>1</xdr:row>
          <xdr:rowOff>45720</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68</xdr:row>
          <xdr:rowOff>45720</xdr:rowOff>
        </xdr:from>
        <xdr:to>
          <xdr:col>15</xdr:col>
          <xdr:colOff>541020</xdr:colOff>
          <xdr:row>69</xdr:row>
          <xdr:rowOff>106680</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83</xdr:row>
          <xdr:rowOff>45720</xdr:rowOff>
        </xdr:from>
        <xdr:to>
          <xdr:col>16</xdr:col>
          <xdr:colOff>30480</xdr:colOff>
          <xdr:row>84</xdr:row>
          <xdr:rowOff>83820</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A00-00001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A00-00001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A00-00001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A00-00001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A00-00001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A00-00001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A00-00001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A00-00001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A00-00001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A00-00001B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A00-00001C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A00-00001D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A00-00001E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A00-00001F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A00-000020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A00-00002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A00-00002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A00-00002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A00-00002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A00-00002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A00-00002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A00-00002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A00-00002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A00-00002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A00-00002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A00-00002B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A00-00002C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A00-00002D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A00-00002E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A00-00002F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A00-000030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A00-00003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A00-00003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A00-00003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A00-00003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A00-00003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A00-00003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A00-00003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A00-00003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A00-00003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A00-00003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83</xdr:row>
          <xdr:rowOff>45720</xdr:rowOff>
        </xdr:from>
        <xdr:to>
          <xdr:col>16</xdr:col>
          <xdr:colOff>30480</xdr:colOff>
          <xdr:row>84</xdr:row>
          <xdr:rowOff>83820</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B00-00001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B00-00001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B00-00001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B00-00001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B00-00001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B00-00001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B00-00001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B00-00001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B00-00001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B00-00001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B00-00001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B00-00001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B00-00001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B00-00001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B00-00002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B00-00002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B00-00002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B00-00002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B00-00002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B00-00002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B00-00002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B00-00002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B00-00002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B00-00002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B00-00002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B00-00002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B00-00002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B00-00002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B00-00002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B00-00002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B00-00003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B00-00003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B00-00003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B00-00003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B00-00003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B00-00003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B00-00003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B00-00003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B00-00003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B00-00003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B00-00003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C00-00001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C00-00001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C00-00001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C00-00001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C00-00001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C00-00001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C00-00001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C00-00001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C00-00001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C00-00001B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C00-00001C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C00-00001D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C00-00001E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C00-00001F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C00-000020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C00-00002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C00-00002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C00-00002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C00-00002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C00-00002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C00-00002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C00-00002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C00-00002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C00-00002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C00-00002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C00-00002B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C00-00002C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C00-00002D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C00-00002E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C00-00002F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C00-000030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C00-00003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C00-00003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C00-00003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C00-00003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C00-00003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C00-00003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C00-00003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C00-00003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C00-00003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C00-00003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106680</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2</xdr:row>
          <xdr:rowOff>30480</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83</xdr:row>
          <xdr:rowOff>38100</xdr:rowOff>
        </xdr:from>
        <xdr:to>
          <xdr:col>30</xdr:col>
          <xdr:colOff>160020</xdr:colOff>
          <xdr:row>84</xdr:row>
          <xdr:rowOff>83820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411480</xdr:colOff>
          <xdr:row>1</xdr:row>
          <xdr:rowOff>45720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411480</xdr:colOff>
          <xdr:row>78</xdr:row>
          <xdr:rowOff>30480</xdr:rowOff>
        </xdr:from>
        <xdr:to>
          <xdr:col>14</xdr:col>
          <xdr:colOff>754380</xdr:colOff>
          <xdr:row>79</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22" sqref="B22"/>
    </sheetView>
  </sheetViews>
  <sheetFormatPr defaultRowHeight="13.2" x14ac:dyDescent="0.25"/>
  <cols>
    <col min="1" max="1" width="32.109375" customWidth="1"/>
    <col min="2" max="2" width="15.44140625" customWidth="1"/>
    <col min="3" max="4" width="11.5546875" customWidth="1"/>
    <col min="5" max="5" width="16.5546875" customWidth="1"/>
    <col min="6" max="6" width="23.44140625" customWidth="1"/>
    <col min="7" max="12" width="5.5546875" customWidth="1"/>
    <col min="13" max="13" width="13.5546875" customWidth="1"/>
    <col min="14" max="14" width="5.5546875" customWidth="1"/>
    <col min="15" max="15" width="5.44140625" customWidth="1"/>
  </cols>
  <sheetData>
    <row r="1" spans="1:15" ht="15.6" x14ac:dyDescent="0.3">
      <c r="A1" s="422" t="s">
        <v>0</v>
      </c>
      <c r="B1" s="423"/>
      <c r="C1" s="423"/>
      <c r="D1" s="423"/>
      <c r="E1" s="423"/>
      <c r="F1" s="423"/>
      <c r="G1" s="1"/>
      <c r="H1" s="1"/>
      <c r="I1" s="1"/>
      <c r="J1" s="1"/>
      <c r="K1" s="1"/>
      <c r="L1" s="1"/>
      <c r="M1" s="1"/>
      <c r="N1" s="1"/>
      <c r="O1" s="1"/>
    </row>
    <row r="2" spans="1:15" x14ac:dyDescent="0.25">
      <c r="A2" s="424" t="s">
        <v>1</v>
      </c>
      <c r="B2" s="425"/>
      <c r="C2" s="425"/>
      <c r="D2" s="425"/>
      <c r="E2" s="425"/>
      <c r="F2" s="425"/>
      <c r="G2" s="1" t="s">
        <v>2</v>
      </c>
      <c r="H2" s="1"/>
      <c r="I2" s="1"/>
      <c r="J2" s="1"/>
      <c r="K2" s="1"/>
      <c r="L2" s="1"/>
      <c r="M2" s="1" t="s">
        <v>2</v>
      </c>
      <c r="N2" s="1" t="s">
        <v>2</v>
      </c>
      <c r="O2" s="1" t="s">
        <v>2</v>
      </c>
    </row>
    <row r="3" spans="1:15" x14ac:dyDescent="0.25">
      <c r="A3" s="426" t="s">
        <v>3</v>
      </c>
      <c r="B3" s="426"/>
      <c r="C3" s="426"/>
      <c r="D3" s="426"/>
      <c r="E3" s="426"/>
      <c r="F3" s="426"/>
    </row>
    <row r="4" spans="1:15" x14ac:dyDescent="0.25">
      <c r="A4" s="2"/>
      <c r="B4" s="2"/>
      <c r="C4" s="2"/>
      <c r="D4" s="2"/>
      <c r="E4" s="2"/>
      <c r="F4" s="2"/>
    </row>
    <row r="5" spans="1:15" ht="65.25" customHeight="1" x14ac:dyDescent="0.25">
      <c r="A5" s="427" t="s">
        <v>4</v>
      </c>
      <c r="B5" s="427"/>
      <c r="C5" s="427"/>
      <c r="D5" s="427"/>
      <c r="E5" s="427"/>
      <c r="F5" s="427"/>
    </row>
    <row r="6" spans="1:15" x14ac:dyDescent="0.25">
      <c r="A6" s="2"/>
      <c r="B6" s="2"/>
      <c r="C6" s="2"/>
      <c r="D6" s="2"/>
      <c r="E6" s="2"/>
      <c r="F6" s="3"/>
      <c r="O6" t="s">
        <v>2</v>
      </c>
    </row>
    <row r="7" spans="1:15" x14ac:dyDescent="0.25">
      <c r="A7" s="2" t="s">
        <v>5</v>
      </c>
      <c r="B7" s="428"/>
      <c r="C7" s="429"/>
      <c r="D7" s="429"/>
      <c r="E7" s="430"/>
      <c r="F7" s="3"/>
      <c r="G7" s="4"/>
      <c r="H7" s="4"/>
      <c r="I7" s="4"/>
      <c r="J7" s="4"/>
      <c r="K7" s="4"/>
      <c r="L7" s="4"/>
    </row>
    <row r="8" spans="1:15" x14ac:dyDescent="0.25">
      <c r="A8" s="5" t="s">
        <v>6</v>
      </c>
      <c r="B8" s="431"/>
      <c r="C8" s="431"/>
      <c r="D8" s="6"/>
      <c r="E8" s="6"/>
      <c r="F8" s="6"/>
      <c r="G8" s="4"/>
      <c r="H8" s="4"/>
      <c r="I8" s="4"/>
      <c r="J8" s="4"/>
      <c r="K8" s="4"/>
      <c r="L8" s="4"/>
    </row>
    <row r="9" spans="1:15" x14ac:dyDescent="0.25">
      <c r="A9" s="5" t="s">
        <v>7</v>
      </c>
      <c r="B9" s="7">
        <v>1</v>
      </c>
      <c r="C9" s="7">
        <v>2025</v>
      </c>
      <c r="D9" s="6"/>
      <c r="E9" s="6"/>
      <c r="F9" s="6"/>
    </row>
    <row r="10" spans="1:15" x14ac:dyDescent="0.25">
      <c r="A10" s="5"/>
      <c r="B10" s="6"/>
      <c r="C10" s="6"/>
      <c r="D10" s="6"/>
      <c r="E10" s="6"/>
      <c r="F10" s="6"/>
    </row>
    <row r="11" spans="1:15" x14ac:dyDescent="0.25">
      <c r="A11" s="2"/>
      <c r="B11" s="8" t="s">
        <v>8</v>
      </c>
      <c r="C11" s="9" t="s">
        <v>9</v>
      </c>
      <c r="D11" s="10"/>
      <c r="E11" s="11"/>
      <c r="F11" s="6"/>
    </row>
    <row r="12" spans="1:15" x14ac:dyDescent="0.25">
      <c r="A12" s="2" t="s">
        <v>10</v>
      </c>
      <c r="B12" s="418" t="s">
        <v>11</v>
      </c>
      <c r="C12" s="419"/>
      <c r="D12" s="419"/>
      <c r="E12" s="419"/>
      <c r="F12" s="420"/>
    </row>
    <row r="13" spans="1:15" x14ac:dyDescent="0.25">
      <c r="A13" s="2"/>
      <c r="B13" s="2"/>
      <c r="C13" s="2"/>
      <c r="D13" s="2"/>
      <c r="E13" s="2"/>
      <c r="F13" s="2"/>
    </row>
    <row r="14" spans="1:15" x14ac:dyDescent="0.25">
      <c r="A14" s="2"/>
      <c r="B14" s="2"/>
      <c r="C14" s="2"/>
      <c r="D14" s="2"/>
      <c r="E14" s="2"/>
      <c r="F14" s="6"/>
    </row>
    <row r="15" spans="1:15" x14ac:dyDescent="0.25">
      <c r="A15" s="5" t="s">
        <v>12</v>
      </c>
      <c r="B15" s="12">
        <v>0</v>
      </c>
      <c r="C15" s="13" t="s">
        <v>13</v>
      </c>
      <c r="D15" s="3"/>
      <c r="E15" s="14"/>
      <c r="F15" s="3" t="s">
        <v>2</v>
      </c>
    </row>
    <row r="16" spans="1:15" x14ac:dyDescent="0.25">
      <c r="A16" s="5" t="s">
        <v>14</v>
      </c>
      <c r="B16" s="12">
        <v>0</v>
      </c>
      <c r="C16" s="13" t="s">
        <v>13</v>
      </c>
      <c r="D16" s="15"/>
      <c r="E16" s="16">
        <v>3</v>
      </c>
      <c r="F16" s="14" t="s">
        <v>2</v>
      </c>
      <c r="G16" s="17"/>
      <c r="H16" s="17"/>
      <c r="I16" s="17"/>
      <c r="J16" s="17"/>
      <c r="K16" s="17"/>
      <c r="L16" s="17"/>
    </row>
    <row r="17" spans="1:13" x14ac:dyDescent="0.25">
      <c r="A17" s="2" t="s">
        <v>15</v>
      </c>
      <c r="B17" s="18"/>
      <c r="C17" s="13" t="s">
        <v>13</v>
      </c>
      <c r="D17" s="15"/>
      <c r="E17" s="16">
        <v>1</v>
      </c>
      <c r="F17" s="14" t="s">
        <v>2</v>
      </c>
      <c r="G17" s="17"/>
      <c r="H17" s="17"/>
      <c r="I17" s="17"/>
      <c r="J17" s="17"/>
      <c r="K17" s="17"/>
      <c r="L17" s="17"/>
    </row>
    <row r="18" spans="1:13" x14ac:dyDescent="0.25">
      <c r="A18" s="2"/>
      <c r="B18" s="14"/>
      <c r="C18" s="14"/>
      <c r="D18" s="14"/>
      <c r="E18" s="16">
        <v>2</v>
      </c>
      <c r="F18" s="14" t="s">
        <v>2</v>
      </c>
      <c r="G18" s="17"/>
      <c r="H18" s="17"/>
      <c r="I18" s="17"/>
      <c r="J18" s="17"/>
      <c r="K18" s="17"/>
      <c r="L18" s="17"/>
    </row>
    <row r="19" spans="1:13" x14ac:dyDescent="0.25">
      <c r="A19" s="2" t="s">
        <v>16</v>
      </c>
      <c r="B19" s="19"/>
      <c r="C19" s="14"/>
      <c r="D19" s="14"/>
      <c r="E19" s="20">
        <f>IF(E17=1,1,IF(E17=2,0.98,1.01))</f>
        <v>1</v>
      </c>
      <c r="F19" s="21"/>
      <c r="G19" s="17"/>
      <c r="H19" s="17"/>
      <c r="I19" s="17"/>
      <c r="J19" s="17"/>
      <c r="K19" s="17"/>
      <c r="L19" s="17"/>
    </row>
    <row r="20" spans="1:13" x14ac:dyDescent="0.25">
      <c r="A20" s="2" t="s">
        <v>17</v>
      </c>
      <c r="B20" s="19"/>
      <c r="C20" s="14"/>
      <c r="D20" s="14"/>
      <c r="E20" s="16"/>
      <c r="F20" s="14"/>
      <c r="G20" s="17"/>
      <c r="H20" s="17"/>
      <c r="I20" s="17"/>
      <c r="J20" s="17"/>
      <c r="K20" s="17"/>
      <c r="L20" s="17"/>
    </row>
    <row r="21" spans="1:13" x14ac:dyDescent="0.25">
      <c r="A21" s="2"/>
      <c r="B21" s="14"/>
      <c r="C21" s="14"/>
      <c r="D21" s="14"/>
      <c r="E21" s="16"/>
      <c r="F21" s="14"/>
      <c r="G21" s="17"/>
      <c r="H21" s="17"/>
      <c r="I21" s="17"/>
      <c r="J21" s="17"/>
      <c r="K21" s="17"/>
      <c r="L21" s="17"/>
    </row>
    <row r="22" spans="1:13" x14ac:dyDescent="0.25">
      <c r="A22" s="2" t="s">
        <v>18</v>
      </c>
      <c r="B22" s="12"/>
      <c r="C22" s="22" t="s">
        <v>19</v>
      </c>
      <c r="D22" s="14"/>
      <c r="E22" s="16"/>
      <c r="F22" s="14"/>
      <c r="G22" s="17"/>
      <c r="H22" s="17"/>
      <c r="I22" s="17"/>
      <c r="J22" s="17"/>
      <c r="K22" s="17"/>
      <c r="L22" s="17"/>
    </row>
    <row r="23" spans="1:13" x14ac:dyDescent="0.25">
      <c r="A23" s="2" t="s">
        <v>20</v>
      </c>
      <c r="B23" s="12"/>
      <c r="C23" s="22" t="s">
        <v>19</v>
      </c>
      <c r="D23" s="14"/>
      <c r="E23" s="16"/>
      <c r="F23" s="14"/>
      <c r="G23" s="17"/>
      <c r="H23" s="17"/>
      <c r="I23" s="17"/>
      <c r="J23" s="17"/>
      <c r="K23" s="17"/>
      <c r="L23" s="17"/>
    </row>
    <row r="24" spans="1:13" x14ac:dyDescent="0.25">
      <c r="A24" s="5" t="s">
        <v>21</v>
      </c>
      <c r="B24" s="12"/>
      <c r="C24" s="22" t="s">
        <v>19</v>
      </c>
      <c r="D24" s="22"/>
      <c r="E24" s="16"/>
      <c r="F24" s="14"/>
      <c r="G24" s="17"/>
      <c r="H24" s="17"/>
      <c r="I24" s="17"/>
      <c r="J24" s="17"/>
      <c r="K24" s="17"/>
      <c r="L24" s="17"/>
    </row>
    <row r="25" spans="1:13" x14ac:dyDescent="0.25">
      <c r="A25" s="2"/>
      <c r="B25" s="14"/>
      <c r="C25" s="14"/>
      <c r="D25" s="22"/>
      <c r="E25" s="5" t="s">
        <v>2</v>
      </c>
      <c r="F25" s="5"/>
      <c r="G25" s="17"/>
      <c r="H25" s="17"/>
      <c r="I25" s="17"/>
      <c r="J25" s="17"/>
      <c r="K25" s="17"/>
      <c r="L25" s="17"/>
      <c r="M25" s="23"/>
    </row>
    <row r="26" spans="1:13" x14ac:dyDescent="0.25">
      <c r="A26" s="2"/>
      <c r="B26" s="14"/>
      <c r="C26" s="14"/>
      <c r="D26" s="22"/>
      <c r="E26" s="24"/>
      <c r="F26" s="5"/>
    </row>
    <row r="27" spans="1:13" x14ac:dyDescent="0.25">
      <c r="A27" s="2" t="s">
        <v>22</v>
      </c>
      <c r="B27" s="25"/>
      <c r="C27" s="22" t="s">
        <v>23</v>
      </c>
      <c r="D27" s="22"/>
      <c r="E27" s="26"/>
      <c r="F27" s="27"/>
      <c r="G27" s="17"/>
      <c r="H27" s="17"/>
      <c r="I27" s="17"/>
      <c r="J27" s="17"/>
      <c r="K27" s="17"/>
      <c r="L27" s="17"/>
    </row>
    <row r="28" spans="1:13" x14ac:dyDescent="0.25">
      <c r="A28" s="2" t="s">
        <v>24</v>
      </c>
      <c r="B28" s="25">
        <v>0</v>
      </c>
      <c r="C28" s="22" t="s">
        <v>25</v>
      </c>
      <c r="D28" s="22"/>
      <c r="E28" s="5"/>
      <c r="F28" s="14" t="s">
        <v>2</v>
      </c>
      <c r="G28" s="17"/>
      <c r="H28" s="17"/>
      <c r="I28" s="17"/>
      <c r="J28" s="17"/>
      <c r="K28" s="17"/>
      <c r="L28" s="17"/>
    </row>
    <row r="29" spans="1:13" x14ac:dyDescent="0.25">
      <c r="A29" s="2"/>
      <c r="B29" s="14"/>
      <c r="C29" s="14"/>
      <c r="D29" s="22"/>
      <c r="E29" s="5"/>
      <c r="F29" s="14" t="s">
        <v>2</v>
      </c>
      <c r="G29" s="17"/>
      <c r="H29" s="17"/>
      <c r="I29" s="17"/>
      <c r="J29" s="17"/>
      <c r="K29" s="17"/>
      <c r="L29" s="17"/>
    </row>
    <row r="30" spans="1:13" x14ac:dyDescent="0.25">
      <c r="A30" s="2" t="s">
        <v>26</v>
      </c>
      <c r="B30" s="28"/>
      <c r="C30" s="29" t="s">
        <v>27</v>
      </c>
      <c r="D30" s="30">
        <f>IF(ISNUMBER(B30),B30,IF(ISNUMBER(B28),(IF(ABS(B22+B23)&gt;0,ROUND(COS(ATAN(B28/(B22+B23))),3),1)),1))</f>
        <v>1</v>
      </c>
      <c r="E30" s="5"/>
      <c r="F30" s="14" t="s">
        <v>2</v>
      </c>
      <c r="G30" s="17"/>
      <c r="H30" s="17"/>
      <c r="I30" s="17"/>
      <c r="J30" s="17"/>
      <c r="K30" s="17"/>
      <c r="L30" s="17"/>
    </row>
    <row r="31" spans="1:13" x14ac:dyDescent="0.25">
      <c r="A31" s="2"/>
      <c r="B31" s="14"/>
      <c r="C31" s="14"/>
      <c r="D31" s="31">
        <f>IF(D30&lt;&gt;0,SIGN(D30)*ROUND(1/D30,3),0)</f>
        <v>1</v>
      </c>
      <c r="E31" s="2"/>
      <c r="F31" s="21"/>
      <c r="G31" s="17"/>
      <c r="H31" s="17"/>
      <c r="I31" s="17"/>
      <c r="J31" s="17"/>
      <c r="K31" s="17"/>
      <c r="L31" s="17"/>
    </row>
    <row r="32" spans="1:13" ht="12" customHeight="1" x14ac:dyDescent="0.25">
      <c r="A32" s="32"/>
      <c r="B32" s="33"/>
      <c r="C32" s="34"/>
      <c r="D32" s="35"/>
      <c r="E32" s="2" t="s">
        <v>2</v>
      </c>
      <c r="F32" s="5"/>
      <c r="G32" s="17"/>
      <c r="H32" s="17"/>
      <c r="I32" s="17"/>
      <c r="J32" s="17"/>
      <c r="K32" s="17"/>
      <c r="L32" s="17"/>
    </row>
    <row r="33" spans="1:6" ht="12.75" customHeight="1" x14ac:dyDescent="0.25">
      <c r="A33" s="36" t="s">
        <v>28</v>
      </c>
      <c r="B33" s="33"/>
      <c r="C33" s="34" t="b">
        <v>0</v>
      </c>
      <c r="D33" s="35"/>
      <c r="E33" s="5"/>
      <c r="F33" s="5"/>
    </row>
    <row r="34" spans="1:6" ht="12" customHeight="1" x14ac:dyDescent="0.25">
      <c r="A34" s="36" t="s">
        <v>29</v>
      </c>
      <c r="B34" s="37"/>
      <c r="C34" s="34" t="b">
        <v>0</v>
      </c>
      <c r="D34" s="35"/>
      <c r="E34" s="5"/>
      <c r="F34" s="5"/>
    </row>
    <row r="35" spans="1:6" x14ac:dyDescent="0.25">
      <c r="A35" s="38" t="s">
        <v>30</v>
      </c>
      <c r="B35" s="37"/>
      <c r="C35" s="39" t="b">
        <v>0</v>
      </c>
      <c r="D35" s="40"/>
      <c r="E35" s="2"/>
      <c r="F35" s="5"/>
    </row>
    <row r="36" spans="1:6" ht="12" customHeight="1" x14ac:dyDescent="0.25">
      <c r="A36" s="36"/>
      <c r="B36" s="41"/>
      <c r="C36" s="40"/>
      <c r="D36" s="40"/>
      <c r="E36" s="2"/>
      <c r="F36" s="5"/>
    </row>
    <row r="37" spans="1:6" x14ac:dyDescent="0.25">
      <c r="A37" s="421" t="s">
        <v>31</v>
      </c>
      <c r="B37" s="421"/>
      <c r="C37" s="421"/>
      <c r="D37" s="42"/>
      <c r="E37" s="5"/>
      <c r="F37" s="43" t="s">
        <v>32</v>
      </c>
    </row>
    <row r="38" spans="1:6" x14ac:dyDescent="0.25">
      <c r="A38" s="2"/>
      <c r="B38" s="2"/>
      <c r="C38" s="2"/>
      <c r="D38" s="2"/>
      <c r="E38" s="2"/>
      <c r="F38" s="43"/>
    </row>
    <row r="40" spans="1:6" x14ac:dyDescent="0.25">
      <c r="B40" s="44"/>
    </row>
  </sheetData>
  <sheetProtection algorithmName="SHA-512" hashValue="5bVkJxCMb5/jYORa3IdLJiav7OyYOut58CYa6FcAR++/KrwjarOnrIHWTsDtTtS63pNYro1+EV0vAK6MMPyacQ==" saltValue="Pt5vaDMsC/rZgxizE2Qpdg=="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7620</xdr:colOff>
                    <xdr:row>31</xdr:row>
                    <xdr:rowOff>106680</xdr:rowOff>
                  </from>
                  <to>
                    <xdr:col>1</xdr:col>
                    <xdr:colOff>457200</xdr:colOff>
                    <xdr:row>33</xdr:row>
                    <xdr:rowOff>30480</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106680</xdr:rowOff>
                  </from>
                  <to>
                    <xdr:col>5</xdr:col>
                    <xdr:colOff>678180</xdr:colOff>
                    <xdr:row>15</xdr:row>
                    <xdr:rowOff>30480</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30480</xdr:rowOff>
                  </from>
                  <to>
                    <xdr:col>5</xdr:col>
                    <xdr:colOff>678180</xdr:colOff>
                    <xdr:row>16</xdr:row>
                    <xdr:rowOff>68580</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68580</xdr:rowOff>
                  </from>
                  <to>
                    <xdr:col>5</xdr:col>
                    <xdr:colOff>678180</xdr:colOff>
                    <xdr:row>17</xdr:row>
                    <xdr:rowOff>106680</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68580</xdr:rowOff>
                  </from>
                  <to>
                    <xdr:col>5</xdr:col>
                    <xdr:colOff>678180</xdr:colOff>
                    <xdr:row>18</xdr:row>
                    <xdr:rowOff>7620</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7620</xdr:colOff>
                    <xdr:row>32</xdr:row>
                    <xdr:rowOff>68580</xdr:rowOff>
                  </from>
                  <to>
                    <xdr:col>2</xdr:col>
                    <xdr:colOff>106680</xdr:colOff>
                    <xdr:row>34</xdr:row>
                    <xdr:rowOff>45720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7620</xdr:colOff>
                    <xdr:row>33</xdr:row>
                    <xdr:rowOff>83820</xdr:rowOff>
                  </from>
                  <to>
                    <xdr:col>1</xdr:col>
                    <xdr:colOff>601980</xdr:colOff>
                    <xdr:row>35</xdr:row>
                    <xdr:rowOff>7620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5"/>
  <sheetViews>
    <sheetView showGridLines="0" topLeftCell="A17" zoomScale="80" zoomScaleNormal="80" workbookViewId="0">
      <selection activeCell="B22" sqref="B22"/>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166</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5"/>
      <c r="B5" s="55"/>
      <c r="C5" s="55"/>
      <c r="D5" s="55"/>
      <c r="E5" s="55"/>
      <c r="F5" s="55"/>
      <c r="G5" s="55"/>
      <c r="H5" s="55"/>
      <c r="I5" s="55"/>
      <c r="J5" s="55"/>
      <c r="K5" s="55"/>
    </row>
    <row r="6" spans="1:30" x14ac:dyDescent="0.25">
      <c r="A6" s="56">
        <f ca="1">TODAY()</f>
        <v>45656</v>
      </c>
      <c r="B6" s="76" t="s">
        <v>167</v>
      </c>
      <c r="C6" s="56"/>
      <c r="D6" s="56"/>
      <c r="E6" s="56"/>
      <c r="F6" s="56"/>
      <c r="G6" s="56"/>
      <c r="H6" s="56"/>
      <c r="I6" s="56"/>
    </row>
    <row r="7" spans="1:30" ht="24.6" x14ac:dyDescent="0.4">
      <c r="A7" s="451"/>
      <c r="B7" s="451"/>
      <c r="C7" s="451"/>
      <c r="D7" s="451"/>
      <c r="E7" s="451"/>
      <c r="F7" s="451"/>
      <c r="G7" s="451"/>
      <c r="H7" s="451"/>
      <c r="I7" s="451"/>
      <c r="J7" s="451"/>
      <c r="K7" s="451"/>
      <c r="L7" s="451"/>
      <c r="M7" s="451"/>
      <c r="N7" s="451"/>
      <c r="O7" s="451"/>
      <c r="P7" s="451"/>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86"/>
      <c r="K12" s="186"/>
      <c r="L12" s="187"/>
      <c r="M12" s="187"/>
      <c r="N12" s="187"/>
      <c r="O12" s="187"/>
      <c r="P12" s="18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62" t="s">
        <v>70</v>
      </c>
      <c r="B13" s="163"/>
      <c r="C13" s="163"/>
      <c r="D13" s="163"/>
      <c r="E13" s="163"/>
      <c r="F13" s="163"/>
      <c r="G13" s="163"/>
      <c r="H13" s="163"/>
      <c r="I13" s="163"/>
      <c r="R13" s="44" t="s">
        <v>145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71</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c r="B16" s="158"/>
      <c r="C16" s="159"/>
      <c r="D16" s="158"/>
      <c r="E16" s="158"/>
      <c r="F16" s="160"/>
      <c r="G16" s="57" t="s">
        <v>2</v>
      </c>
      <c r="H16" s="158"/>
    </row>
    <row r="17" spans="1:221" x14ac:dyDescent="0.25">
      <c r="A17" s="158"/>
      <c r="B17" s="158"/>
      <c r="C17" s="160"/>
      <c r="D17" s="160"/>
      <c r="E17" s="160"/>
      <c r="F17" s="160"/>
      <c r="G17" s="57" t="s">
        <v>2</v>
      </c>
      <c r="H17" s="158"/>
      <c r="I17" s="188" t="s">
        <v>2</v>
      </c>
    </row>
    <row r="19" spans="1:221" x14ac:dyDescent="0.25">
      <c r="A19" s="162" t="s">
        <v>72</v>
      </c>
      <c r="B19" s="163"/>
      <c r="C19" s="163"/>
      <c r="D19" s="163"/>
      <c r="E19" s="163"/>
      <c r="F19" s="163"/>
      <c r="G19" s="445" t="s">
        <v>73</v>
      </c>
      <c r="H19" s="446"/>
      <c r="I19" s="446"/>
      <c r="J19" s="447"/>
      <c r="K19" s="163"/>
      <c r="L19" s="448" t="s">
        <v>74</v>
      </c>
      <c r="M19" s="448"/>
      <c r="N19" s="448"/>
      <c r="O19" s="448"/>
    </row>
    <row r="20" spans="1:221" x14ac:dyDescent="0.25">
      <c r="G20" s="164" t="s">
        <v>75</v>
      </c>
      <c r="H20" s="164" t="s">
        <v>76</v>
      </c>
      <c r="I20" s="164" t="s">
        <v>77</v>
      </c>
      <c r="J20" s="118" t="s">
        <v>78</v>
      </c>
      <c r="L20" s="165" t="s">
        <v>75</v>
      </c>
      <c r="M20" s="165" t="s">
        <v>76</v>
      </c>
      <c r="N20" s="165" t="s">
        <v>77</v>
      </c>
      <c r="O20" s="165" t="s">
        <v>78</v>
      </c>
      <c r="P20" s="166" t="s">
        <v>79</v>
      </c>
    </row>
    <row r="21" spans="1:221" x14ac:dyDescent="0.25">
      <c r="A21" t="s">
        <v>80</v>
      </c>
      <c r="G21" s="189"/>
      <c r="H21" s="189"/>
      <c r="I21" s="189">
        <v>9.4</v>
      </c>
      <c r="J21" s="189">
        <f>SUM(G21:I21)</f>
        <v>9.4</v>
      </c>
      <c r="L21" s="190"/>
      <c r="M21" s="190"/>
      <c r="N21" s="190">
        <f>I21</f>
        <v>9.4</v>
      </c>
      <c r="O21" s="128">
        <f>SUM(L21:N21)</f>
        <v>9.4</v>
      </c>
      <c r="P21" s="92">
        <v>44531</v>
      </c>
    </row>
    <row r="22" spans="1:221" x14ac:dyDescent="0.25">
      <c r="A22" t="s">
        <v>168</v>
      </c>
      <c r="D22" s="4">
        <f>C15</f>
        <v>0</v>
      </c>
      <c r="E22" s="152" t="s">
        <v>19</v>
      </c>
      <c r="F22" s="1" t="s">
        <v>82</v>
      </c>
      <c r="G22" s="191"/>
      <c r="H22" s="191"/>
      <c r="I22" s="191">
        <v>2.05802E-2</v>
      </c>
      <c r="J22" s="191">
        <f>SUM(G22:I22)</f>
        <v>2.05802E-2</v>
      </c>
      <c r="K22" s="154" t="s">
        <v>87</v>
      </c>
      <c r="L22" s="189"/>
      <c r="M22" s="189"/>
      <c r="N22" s="189">
        <f>IF(C15&lt;0,0,ROUND($D22*I22,2))</f>
        <v>0</v>
      </c>
      <c r="O22" s="128">
        <f>SUM(L22:N22)</f>
        <v>0</v>
      </c>
      <c r="P22" s="92">
        <v>45627</v>
      </c>
    </row>
    <row r="23" spans="1:221" x14ac:dyDescent="0.25">
      <c r="A23" s="144" t="s">
        <v>84</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85</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86</v>
      </c>
      <c r="B27" s="110"/>
      <c r="C27" s="110"/>
      <c r="D27" s="111">
        <f>IF($C$15&lt;0,0,IF($C$15&gt;833000,833000,$C$15))</f>
        <v>0</v>
      </c>
      <c r="E27" s="97" t="s">
        <v>19</v>
      </c>
      <c r="F27" s="84" t="s">
        <v>82</v>
      </c>
      <c r="G27" s="100"/>
      <c r="H27" s="100"/>
      <c r="I27" s="100">
        <f>'Rider Rates'!$B$4</f>
        <v>4.6278999999999999E-3</v>
      </c>
      <c r="J27" s="100">
        <f t="shared" ref="J27:J47" si="0">SUM(G27:I27)</f>
        <v>4.6278999999999999E-3</v>
      </c>
      <c r="K27" s="94" t="s">
        <v>87</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4">
        <f>IF($C$15&gt;833000,$C$15-833000,0)</f>
        <v>0</v>
      </c>
      <c r="E28" s="97" t="s">
        <v>19</v>
      </c>
      <c r="F28" s="84" t="s">
        <v>82</v>
      </c>
      <c r="G28" s="100"/>
      <c r="H28" s="100"/>
      <c r="I28" s="100">
        <f>'Rider Rates'!$B$5</f>
        <v>1.7560000000000001E-4</v>
      </c>
      <c r="J28" s="100">
        <f t="shared" si="0"/>
        <v>1.7560000000000001E-4</v>
      </c>
      <c r="K28" s="94" t="s">
        <v>87</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IF('Customer Info'!$C$33=TRUE,0,IF($C$15&lt;0,0,IF($C$15&gt;2000,2000,$C$15)))</f>
        <v>0</v>
      </c>
      <c r="E29" s="97" t="s">
        <v>19</v>
      </c>
      <c r="F29" s="84" t="s">
        <v>82</v>
      </c>
      <c r="G29" s="100"/>
      <c r="H29" s="100"/>
      <c r="I29" s="112">
        <f>'Rider Rates'!$B$8</f>
        <v>4.6499999999999996E-3</v>
      </c>
      <c r="J29" s="112">
        <f t="shared" si="0"/>
        <v>4.6499999999999996E-3</v>
      </c>
      <c r="K29" s="94" t="s">
        <v>87</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90</v>
      </c>
      <c r="B30" s="72"/>
      <c r="C30" s="72"/>
      <c r="D30" s="111">
        <f>IF('Customer Info'!$C$33=TRUE,0,IF($C$15&lt;=2000,0,IF($C$15=0,0,IF($C$15-2000&gt;13000,13000,$C$15-2000))))</f>
        <v>0</v>
      </c>
      <c r="E30" s="97" t="s">
        <v>19</v>
      </c>
      <c r="F30" s="84" t="s">
        <v>82</v>
      </c>
      <c r="G30" s="100"/>
      <c r="H30" s="100"/>
      <c r="I30" s="112">
        <f>'Rider Rates'!$B$9</f>
        <v>4.1900000000000001E-3</v>
      </c>
      <c r="J30" s="112">
        <f t="shared" si="0"/>
        <v>4.1900000000000001E-3</v>
      </c>
      <c r="K30" s="94" t="s">
        <v>87</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91</v>
      </c>
      <c r="B31" s="72"/>
      <c r="C31" s="72"/>
      <c r="D31" s="111">
        <f>IF('Customer Info'!$C$33=TRUE,0,IF($C$15=0,0,IF($C$15-15000&gt;=0,$C$15-15000,0)))</f>
        <v>0</v>
      </c>
      <c r="E31" s="97" t="s">
        <v>19</v>
      </c>
      <c r="F31" s="84" t="s">
        <v>82</v>
      </c>
      <c r="G31" s="100"/>
      <c r="H31" s="100"/>
      <c r="I31" s="112">
        <f>'Rider Rates'!$B$10</f>
        <v>3.63E-3</v>
      </c>
      <c r="J31" s="112">
        <f t="shared" si="0"/>
        <v>3.63E-3</v>
      </c>
      <c r="K31" s="94" t="s">
        <v>87</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92</v>
      </c>
      <c r="B32" s="72"/>
      <c r="C32" s="72"/>
      <c r="D32" s="111">
        <f>IF($C$15&lt;0,0,$C$15)</f>
        <v>0</v>
      </c>
      <c r="E32" s="97" t="s">
        <v>19</v>
      </c>
      <c r="F32" s="84" t="s">
        <v>82</v>
      </c>
      <c r="G32" s="100"/>
      <c r="H32" s="100"/>
      <c r="I32" s="100">
        <f>'Rider Rates'!$B$16</f>
        <v>0</v>
      </c>
      <c r="J32" s="100">
        <f>SUM(G32:I32)</f>
        <v>0</v>
      </c>
      <c r="K32" s="94" t="s">
        <v>87</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93</v>
      </c>
      <c r="B33" s="72"/>
      <c r="C33" s="72"/>
      <c r="D33" s="113">
        <f>$N$23</f>
        <v>9.4</v>
      </c>
      <c r="E33" s="97" t="s">
        <v>94</v>
      </c>
      <c r="F33" s="84" t="s">
        <v>82</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95</v>
      </c>
      <c r="B34" s="72"/>
      <c r="C34" s="72"/>
      <c r="D34" s="111">
        <f>'Customer Info'!$B$22+'Customer Info'!$B$23-'Customer Info'!$B$24</f>
        <v>0</v>
      </c>
      <c r="E34" s="97" t="s">
        <v>19</v>
      </c>
      <c r="F34" s="84" t="s">
        <v>82</v>
      </c>
      <c r="G34" s="100">
        <f>'Rider Rates'!B22</f>
        <v>7.0209999999999995E-2</v>
      </c>
      <c r="H34" s="100"/>
      <c r="I34" s="100"/>
      <c r="J34" s="115">
        <f>SUM(G34:H34)</f>
        <v>7.0209999999999995E-2</v>
      </c>
      <c r="K34" s="94" t="s">
        <v>87</v>
      </c>
      <c r="L34" s="89">
        <f>ROUND(D34*G34,2)</f>
        <v>0</v>
      </c>
      <c r="M34" s="89"/>
      <c r="N34" s="89"/>
      <c r="O34" s="89">
        <f t="shared" si="3"/>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96</v>
      </c>
      <c r="B35" s="72"/>
      <c r="C35" s="72"/>
      <c r="D35" s="111">
        <f>'Customer Info'!$B$22+'Customer Info'!$B$23-'Customer Info'!$B$24</f>
        <v>0</v>
      </c>
      <c r="E35" s="97" t="s">
        <v>19</v>
      </c>
      <c r="F35" s="84" t="s">
        <v>82</v>
      </c>
      <c r="G35" s="100">
        <f>'Rider Rates'!$B$36</f>
        <v>2.7299999999999998E-3</v>
      </c>
      <c r="H35" s="100"/>
      <c r="I35" s="100"/>
      <c r="J35" s="115">
        <f>SUM(G35:H35)</f>
        <v>2.7299999999999998E-3</v>
      </c>
      <c r="K35" s="94" t="s">
        <v>87</v>
      </c>
      <c r="L35" s="89">
        <f>ROUND(D35*G35,2)</f>
        <v>0</v>
      </c>
      <c r="M35" s="89"/>
      <c r="N35" s="89"/>
      <c r="O35" s="89">
        <f t="shared" si="3"/>
        <v>0</v>
      </c>
      <c r="P35" s="92">
        <f>'Rider Rates'!$D$36</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97</v>
      </c>
      <c r="B36" s="72"/>
      <c r="C36" s="72"/>
      <c r="D36" s="111">
        <f>'Customer Info'!$B$22+'Customer Info'!$B$23-'Customer Info'!$B$24</f>
        <v>0</v>
      </c>
      <c r="E36" s="97" t="s">
        <v>19</v>
      </c>
      <c r="F36" s="84" t="s">
        <v>82</v>
      </c>
      <c r="G36" s="100">
        <f>'Rider Rates'!$B$49</f>
        <v>4.5009999999999999E-4</v>
      </c>
      <c r="H36" s="100"/>
      <c r="I36" s="100"/>
      <c r="J36" s="115">
        <f>SUM(G36:H36)</f>
        <v>4.5009999999999999E-4</v>
      </c>
      <c r="K36" s="94" t="s">
        <v>87</v>
      </c>
      <c r="L36" s="89">
        <f>ROUND(D36*G36,2)</f>
        <v>0</v>
      </c>
      <c r="M36" s="89"/>
      <c r="N36" s="89"/>
      <c r="O36" s="89">
        <f t="shared" si="3"/>
        <v>0</v>
      </c>
      <c r="P36" s="92">
        <f>'Rider Rates'!$D$49</f>
        <v>45657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2" t="s">
        <v>98</v>
      </c>
      <c r="B37" s="72"/>
      <c r="C37" s="72"/>
      <c r="D37" s="111">
        <f>IF($C$15&lt;0,0,IF($C$15&gt;833000,833000,$C$15))</f>
        <v>0</v>
      </c>
      <c r="E37" s="97" t="s">
        <v>19</v>
      </c>
      <c r="F37" s="84" t="s">
        <v>82</v>
      </c>
      <c r="G37" s="100"/>
      <c r="H37" s="100"/>
      <c r="I37" s="100">
        <f>'Rider Rates'!D53</f>
        <v>1.8006999999999999E-3</v>
      </c>
      <c r="J37" s="100">
        <f>SUM(G37:I37)</f>
        <v>1.8006999999999999E-3</v>
      </c>
      <c r="K37" s="94" t="s">
        <v>87</v>
      </c>
      <c r="L37" s="89"/>
      <c r="M37" s="89"/>
      <c r="N37" s="89">
        <f>D37*J37</f>
        <v>0</v>
      </c>
      <c r="O37" s="89">
        <f t="shared" si="3"/>
        <v>0</v>
      </c>
      <c r="P37" s="92">
        <f>'Rider Rates'!E53</f>
        <v>45658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99</v>
      </c>
      <c r="B38" s="72"/>
      <c r="C38" s="72"/>
      <c r="D38" s="111">
        <f>IF($C$15&lt;0,0,$C$15)</f>
        <v>0</v>
      </c>
      <c r="E38" s="97" t="s">
        <v>19</v>
      </c>
      <c r="F38" s="84" t="s">
        <v>82</v>
      </c>
      <c r="G38" s="100"/>
      <c r="H38" s="100">
        <f>'Rider Rates'!$B$60</f>
        <v>2.3467399999999999E-2</v>
      </c>
      <c r="I38" s="100"/>
      <c r="J38" s="100">
        <f>SUM(G38:I38)</f>
        <v>2.3467399999999999E-2</v>
      </c>
      <c r="K38" s="94" t="s">
        <v>87</v>
      </c>
      <c r="L38" s="89"/>
      <c r="M38" s="89">
        <f>ROUND(D38*H38,2)</f>
        <v>0</v>
      </c>
      <c r="N38" s="116"/>
      <c r="O38" s="89">
        <f t="shared" si="3"/>
        <v>0</v>
      </c>
      <c r="P38" s="92">
        <f>'Rider Rates'!$D$60</f>
        <v>45383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101</v>
      </c>
      <c r="B39" s="72"/>
      <c r="C39" s="72"/>
      <c r="D39" s="111">
        <f>IF('Customer Info'!C35=TRUE,0,IF($C$15&lt;0,0,$C$15))</f>
        <v>0</v>
      </c>
      <c r="E39" s="97" t="s">
        <v>19</v>
      </c>
      <c r="F39" s="84" t="s">
        <v>82</v>
      </c>
      <c r="G39" s="100"/>
      <c r="H39" s="100"/>
      <c r="I39" s="100">
        <f>'Rider Rates'!$B$74+'Rider Rates'!$C$74</f>
        <v>0</v>
      </c>
      <c r="J39" s="100">
        <f t="shared" si="0"/>
        <v>0</v>
      </c>
      <c r="K39" s="94" t="s">
        <v>87</v>
      </c>
      <c r="L39" s="89"/>
      <c r="M39" s="89"/>
      <c r="N39" s="89">
        <f>ROUND($D$39*'Rider Rates'!$B$74,2)+ROUND($D$39*'Rider Rates'!$C$74,2)</f>
        <v>0</v>
      </c>
      <c r="O39" s="89">
        <f t="shared" si="2"/>
        <v>0</v>
      </c>
      <c r="P39" s="92">
        <f>'Rider Rates'!$D$74</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1"/>
      <c r="E40" s="97" t="s">
        <v>57</v>
      </c>
      <c r="F40" s="84"/>
      <c r="G40" s="100"/>
      <c r="H40" s="100"/>
      <c r="I40" s="121">
        <f>'Rider Rates'!$B$81</f>
        <v>0</v>
      </c>
      <c r="J40" s="121">
        <f>IF('Customer Info'!C35=TRUE,0,SUM(G40:I40))</f>
        <v>0</v>
      </c>
      <c r="K40" s="94"/>
      <c r="L40" s="89"/>
      <c r="M40" s="89"/>
      <c r="N40" s="89">
        <f>J40</f>
        <v>0</v>
      </c>
      <c r="O40" s="89">
        <f>SUM(L40:N40)</f>
        <v>0</v>
      </c>
      <c r="P40" s="92">
        <f>'Rider Rates'!$D$81</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102</v>
      </c>
      <c r="B41" s="72"/>
      <c r="C41" s="72"/>
      <c r="D41" s="113">
        <f>$N$23</f>
        <v>9.4</v>
      </c>
      <c r="E41" s="97" t="s">
        <v>94</v>
      </c>
      <c r="F41" s="84" t="s">
        <v>82</v>
      </c>
      <c r="G41" s="117"/>
      <c r="H41" s="118"/>
      <c r="I41" s="119">
        <f>'Rider Rates'!$B$89</f>
        <v>4.94232E-2</v>
      </c>
      <c r="J41" s="119">
        <f t="shared" si="0"/>
        <v>4.94232E-2</v>
      </c>
      <c r="K41" s="94"/>
      <c r="L41" s="89"/>
      <c r="M41" s="89"/>
      <c r="N41" s="89">
        <f>ROUND(D41*I41,2)</f>
        <v>0.46</v>
      </c>
      <c r="O41" s="89">
        <f t="shared" si="2"/>
        <v>0.46</v>
      </c>
      <c r="P41" s="92">
        <f>'Rider Rates'!$D$89</f>
        <v>45562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103</v>
      </c>
      <c r="B42" s="72"/>
      <c r="C42" s="72"/>
      <c r="D42" s="113">
        <f>$N$23</f>
        <v>9.4</v>
      </c>
      <c r="E42" s="97" t="s">
        <v>94</v>
      </c>
      <c r="F42" s="84" t="s">
        <v>82</v>
      </c>
      <c r="G42" s="120"/>
      <c r="H42" s="85"/>
      <c r="I42" s="119">
        <f>'Rider Rates'!$B$91</f>
        <v>6.6985699999999995E-2</v>
      </c>
      <c r="J42" s="119">
        <f t="shared" si="0"/>
        <v>6.6985699999999995E-2</v>
      </c>
      <c r="K42" s="94"/>
      <c r="L42" s="89"/>
      <c r="M42" s="89"/>
      <c r="N42" s="89">
        <f>ROUND(D42*I42,2)</f>
        <v>0.63</v>
      </c>
      <c r="O42" s="89">
        <f t="shared" si="2"/>
        <v>0.63</v>
      </c>
      <c r="P42" s="92">
        <f>'Rider Rates'!$D$91</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104</v>
      </c>
      <c r="B43" s="72"/>
      <c r="C43" s="72"/>
      <c r="D43" s="113"/>
      <c r="E43" s="97" t="s">
        <v>57</v>
      </c>
      <c r="F43" s="84"/>
      <c r="G43" s="120"/>
      <c r="H43" s="85"/>
      <c r="I43" s="121">
        <f>'Rider Rates'!$B$95</f>
        <v>17.53</v>
      </c>
      <c r="J43" s="121">
        <f t="shared" si="0"/>
        <v>17.53</v>
      </c>
      <c r="K43" s="94"/>
      <c r="L43" s="89"/>
      <c r="M43" s="89"/>
      <c r="N43" s="89">
        <f>I43</f>
        <v>17.53</v>
      </c>
      <c r="O43" s="89">
        <f t="shared" si="2"/>
        <v>17.53</v>
      </c>
      <c r="P43" s="92">
        <f>'Rider Rates'!$D$95</f>
        <v>45657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105</v>
      </c>
      <c r="B44" s="72"/>
      <c r="C44" s="72"/>
      <c r="D44" s="111">
        <f>IF($C$15&lt;0,0,$C$15)</f>
        <v>0</v>
      </c>
      <c r="E44" s="97" t="s">
        <v>19</v>
      </c>
      <c r="F44" s="84" t="s">
        <v>82</v>
      </c>
      <c r="G44" s="100"/>
      <c r="H44" s="100"/>
      <c r="I44" s="100"/>
      <c r="J44" s="100">
        <f>'Rider Rates'!$B$99</f>
        <v>0</v>
      </c>
      <c r="K44" s="94" t="s">
        <v>87</v>
      </c>
      <c r="L44" s="89"/>
      <c r="M44" s="89"/>
      <c r="N44" s="89"/>
      <c r="O44" s="89">
        <f>ROUND($D44*('Rider Rates'!B$99),2)</f>
        <v>0</v>
      </c>
      <c r="P44" s="92">
        <f>'Rider Rates'!$D$99</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106</v>
      </c>
      <c r="B45" s="72"/>
      <c r="C45" s="72"/>
      <c r="D45" s="113">
        <f>$N$23</f>
        <v>9.4</v>
      </c>
      <c r="E45" s="97" t="s">
        <v>94</v>
      </c>
      <c r="F45" s="84" t="s">
        <v>82</v>
      </c>
      <c r="G45" s="120"/>
      <c r="H45" s="85"/>
      <c r="I45" s="119">
        <f>'Rider Rates'!$B$109</f>
        <v>0.2363101</v>
      </c>
      <c r="J45" s="119">
        <f t="shared" si="0"/>
        <v>0.2363101</v>
      </c>
      <c r="K45" s="94"/>
      <c r="L45" s="89"/>
      <c r="M45" s="89"/>
      <c r="N45" s="89">
        <f>ROUND(D45*I45,2)</f>
        <v>2.2200000000000002</v>
      </c>
      <c r="O45" s="89">
        <f t="shared" si="2"/>
        <v>2.2200000000000002</v>
      </c>
      <c r="P45" s="92">
        <f>'Rider Rates'!$D$109</f>
        <v>45622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107</v>
      </c>
      <c r="B46" s="72"/>
      <c r="C46" s="72"/>
      <c r="D46" s="113"/>
      <c r="E46" s="97" t="s">
        <v>57</v>
      </c>
      <c r="F46" s="84"/>
      <c r="G46" s="120"/>
      <c r="H46" s="85"/>
      <c r="I46" s="121">
        <f>'Rider Rates'!$B$113</f>
        <v>0</v>
      </c>
      <c r="J46" s="121">
        <f t="shared" si="0"/>
        <v>0</v>
      </c>
      <c r="K46" s="94"/>
      <c r="L46" s="89"/>
      <c r="M46" s="89"/>
      <c r="N46" s="89">
        <f>I46</f>
        <v>0</v>
      </c>
      <c r="O46" s="89">
        <f t="shared" si="2"/>
        <v>0</v>
      </c>
      <c r="P46" s="92">
        <f>'Rider Rates'!$D$113</f>
        <v>44894</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108</v>
      </c>
      <c r="B47" s="72"/>
      <c r="C47" s="72"/>
      <c r="D47" s="113"/>
      <c r="E47" s="97" t="s">
        <v>57</v>
      </c>
      <c r="F47" s="84"/>
      <c r="G47" s="120"/>
      <c r="H47" s="85"/>
      <c r="I47" s="123">
        <f>'Rider Rates'!B126</f>
        <v>4.84</v>
      </c>
      <c r="J47" s="121">
        <f t="shared" si="0"/>
        <v>4.84</v>
      </c>
      <c r="K47" s="94"/>
      <c r="L47" s="89"/>
      <c r="M47" s="89"/>
      <c r="N47" s="125">
        <f>I47</f>
        <v>4.84</v>
      </c>
      <c r="O47" s="89">
        <f t="shared" si="2"/>
        <v>4.84</v>
      </c>
      <c r="P47" s="92">
        <f>'Rider Rates'!D126</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109</v>
      </c>
      <c r="B48" s="72"/>
      <c r="C48" s="72"/>
      <c r="D48" s="111">
        <f>'Customer Info'!$B$22+'Customer Info'!$B$23-'Customer Info'!$B$24</f>
        <v>0</v>
      </c>
      <c r="E48" s="97" t="s">
        <v>19</v>
      </c>
      <c r="F48" s="84" t="s">
        <v>82</v>
      </c>
      <c r="G48" s="100">
        <f>'Rider Rates'!$B$116</f>
        <v>3.8972999999999998E-3</v>
      </c>
      <c r="H48" s="100"/>
      <c r="I48" s="119"/>
      <c r="J48" s="115">
        <f>SUM(G48:H48)</f>
        <v>3.8972999999999998E-3</v>
      </c>
      <c r="K48" s="94" t="s">
        <v>87</v>
      </c>
      <c r="L48" s="89">
        <f>ROUND(D48*G48,2)</f>
        <v>0</v>
      </c>
      <c r="M48" s="89"/>
      <c r="N48" s="89"/>
      <c r="O48" s="89">
        <f t="shared" si="2"/>
        <v>0</v>
      </c>
      <c r="P48" s="92">
        <f>'Rider Rates'!$D$116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110</v>
      </c>
      <c r="B49" s="72"/>
      <c r="C49" s="72"/>
      <c r="D49" s="111">
        <f>IF($C$15&lt;1,0,$C$15)</f>
        <v>0</v>
      </c>
      <c r="E49" s="97" t="s">
        <v>19</v>
      </c>
      <c r="F49" s="126" t="s">
        <v>82</v>
      </c>
      <c r="G49" s="99"/>
      <c r="H49" s="99"/>
      <c r="I49" s="183">
        <f>'Rider Rates'!B122</f>
        <v>0</v>
      </c>
      <c r="J49" s="183">
        <f>SUM(G49:I49)</f>
        <v>0</v>
      </c>
      <c r="K49" s="94" t="s">
        <v>87</v>
      </c>
      <c r="L49" s="89"/>
      <c r="M49" s="89"/>
      <c r="N49" s="89">
        <f>D49*J49</f>
        <v>0</v>
      </c>
      <c r="O49" s="89">
        <f>SUM(L49:N49)</f>
        <v>0</v>
      </c>
      <c r="P49" s="92">
        <f>'Rider Rates'!D122</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169</v>
      </c>
      <c r="B50" s="72"/>
      <c r="C50" s="72"/>
      <c r="D50" s="111">
        <f>IF(C15&lt;0,0,IF(C15&gt;833000,833000,C15))</f>
        <v>0</v>
      </c>
      <c r="E50" s="97" t="s">
        <v>19</v>
      </c>
      <c r="F50" s="84" t="s">
        <v>82</v>
      </c>
      <c r="G50" s="195"/>
      <c r="H50" s="195"/>
      <c r="I50" s="195">
        <f>'Rider Rates'!B130</f>
        <v>2.9050000000000001E-4</v>
      </c>
      <c r="J50" s="195">
        <f>SUM(G50:I50)</f>
        <v>2.9050000000000001E-4</v>
      </c>
      <c r="K50" s="94" t="s">
        <v>87</v>
      </c>
      <c r="L50" s="196"/>
      <c r="M50" s="196"/>
      <c r="N50" s="196">
        <f>IF(D50*J50&gt;'Rider Rates'!$C$130,'Rider Rates'!$C$130,D50*J50)</f>
        <v>0</v>
      </c>
      <c r="O50" s="196">
        <f>SUM(L50:N50)</f>
        <v>0</v>
      </c>
      <c r="P50" s="129">
        <f>'Rider Rates'!$E$130</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170</v>
      </c>
      <c r="B51" s="72"/>
      <c r="C51" s="72"/>
      <c r="D51" s="4">
        <f>IF(C15&gt;833000,C15-833000,0)</f>
        <v>0</v>
      </c>
      <c r="E51" s="97" t="s">
        <v>19</v>
      </c>
      <c r="F51" s="84" t="s">
        <v>82</v>
      </c>
      <c r="G51" s="195"/>
      <c r="H51" s="195"/>
      <c r="I51" s="195">
        <f>'Rider Rates'!B131</f>
        <v>0</v>
      </c>
      <c r="J51" s="195">
        <f>SUM(G51:I51)</f>
        <v>0</v>
      </c>
      <c r="K51" s="94" t="s">
        <v>87</v>
      </c>
      <c r="L51" s="196"/>
      <c r="M51" s="196"/>
      <c r="N51" s="196">
        <f>D51*J51</f>
        <v>0</v>
      </c>
      <c r="O51" s="196">
        <f>SUM(L51:N51)</f>
        <v>0</v>
      </c>
      <c r="P51" s="129">
        <f>'Rider Rates'!$E$131</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112</v>
      </c>
      <c r="B52" s="72"/>
      <c r="C52" s="72"/>
      <c r="D52" s="111">
        <f>C15</f>
        <v>0</v>
      </c>
      <c r="E52" s="97" t="s">
        <v>19</v>
      </c>
      <c r="F52" s="126" t="s">
        <v>82</v>
      </c>
      <c r="G52" s="100"/>
      <c r="H52" s="100"/>
      <c r="I52" s="100">
        <f>'Rider Rates'!$B$135</f>
        <v>0</v>
      </c>
      <c r="J52" s="115">
        <f>SUM(G52:I52)</f>
        <v>0</v>
      </c>
      <c r="K52" s="94" t="s">
        <v>87</v>
      </c>
      <c r="L52" s="89"/>
      <c r="M52" s="89"/>
      <c r="N52" s="89">
        <f>D52*J52</f>
        <v>0</v>
      </c>
      <c r="O52" s="89">
        <f>SUM(L52:N52)</f>
        <v>0</v>
      </c>
      <c r="P52" s="92">
        <f>'Rider Rates'!$D$135</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113</v>
      </c>
      <c r="B53" s="72"/>
      <c r="C53" s="72"/>
      <c r="D53" s="111"/>
      <c r="E53" s="97" t="s">
        <v>57</v>
      </c>
      <c r="F53" s="84" t="s">
        <v>82</v>
      </c>
      <c r="G53" s="127"/>
      <c r="H53" s="127"/>
      <c r="I53" s="127">
        <f>'Rider Rates'!$B$142</f>
        <v>0</v>
      </c>
      <c r="J53" s="127">
        <f>SUM(G53:I53)</f>
        <v>0</v>
      </c>
      <c r="K53" s="94"/>
      <c r="L53" s="128"/>
      <c r="M53" s="128"/>
      <c r="N53" s="128">
        <f>J53</f>
        <v>0</v>
      </c>
      <c r="O53" s="128">
        <f>SUM(L53:N53)</f>
        <v>0</v>
      </c>
      <c r="P53" s="129">
        <f>'Rider Rates'!D142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114</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30" t="s">
        <v>115</v>
      </c>
      <c r="B55" s="69"/>
      <c r="C55" s="69"/>
      <c r="D55" s="131"/>
      <c r="E55" s="132"/>
      <c r="F55" s="133"/>
      <c r="G55" s="133"/>
      <c r="H55" s="133"/>
      <c r="I55" s="133"/>
      <c r="J55" s="133"/>
      <c r="K55" s="134"/>
      <c r="L55" s="105">
        <f>SUM(L27:L54)</f>
        <v>0</v>
      </c>
      <c r="M55" s="105">
        <f>SUM(M27:M54)</f>
        <v>0</v>
      </c>
      <c r="N55" s="105">
        <f>SUM(N27:N54)</f>
        <v>25.68</v>
      </c>
      <c r="O55" s="105">
        <f>SUM(O27:O54)</f>
        <v>25.68</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138" t="s">
        <v>116</v>
      </c>
      <c r="B57" s="106"/>
      <c r="C57" s="106"/>
      <c r="D57" s="106"/>
      <c r="E57" s="106"/>
      <c r="F57" s="106"/>
      <c r="G57" s="106"/>
      <c r="H57" s="106"/>
      <c r="I57" s="106"/>
      <c r="J57" s="106"/>
      <c r="K57" s="106"/>
      <c r="L57" s="139">
        <f>L23+L55</f>
        <v>0</v>
      </c>
      <c r="M57" s="139">
        <f>M23+M55</f>
        <v>0</v>
      </c>
      <c r="N57" s="139">
        <f>N23+N55</f>
        <v>35.08</v>
      </c>
      <c r="O57" s="140">
        <f>O23+O55</f>
        <v>35.08</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102" t="s">
        <v>117</v>
      </c>
      <c r="B60" s="72"/>
      <c r="C60" s="72"/>
      <c r="D60" s="72"/>
      <c r="E60" s="72"/>
      <c r="F60" s="72"/>
      <c r="G60" s="72"/>
      <c r="H60" s="72"/>
      <c r="I60" s="72"/>
      <c r="J60" s="72"/>
      <c r="K60" s="72"/>
      <c r="L60" s="72"/>
      <c r="M60" s="72"/>
      <c r="N60" s="72"/>
      <c r="O60" s="95">
        <f>O21+O55</f>
        <v>35.08</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69" t="s">
        <v>118</v>
      </c>
      <c r="B62" s="72"/>
      <c r="C62" s="72"/>
      <c r="D62" s="72"/>
      <c r="E62" s="72"/>
      <c r="F62" s="72"/>
      <c r="G62" s="72"/>
      <c r="H62" s="72"/>
      <c r="I62" s="72"/>
      <c r="J62" s="72"/>
      <c r="K62" s="72"/>
      <c r="L62" s="72"/>
      <c r="M62" s="72"/>
      <c r="N62" s="72"/>
      <c r="O62" s="141">
        <f>IF($D$17&lt;0,O57,IF(O57&gt;O60,O57,O60))</f>
        <v>35.08</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5">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5">
      <c r="A64" s="69"/>
      <c r="B64" s="102"/>
      <c r="C64" s="102"/>
      <c r="D64" s="102"/>
      <c r="E64" s="102"/>
      <c r="F64" s="102"/>
      <c r="G64" s="102"/>
      <c r="H64" s="102"/>
      <c r="I64" s="102" t="s">
        <v>119</v>
      </c>
      <c r="J64" s="102"/>
      <c r="K64" s="102"/>
      <c r="L64" s="143"/>
      <c r="M64" s="143"/>
      <c r="N64" s="143"/>
      <c r="O64" s="143">
        <f>ROUND(IF($C$15&lt;1,0,O57/($C$15*100)*10000),2)</f>
        <v>0</v>
      </c>
      <c r="P64" s="144" t="s">
        <v>120</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5">
      <c r="B65" s="72"/>
      <c r="C65" s="72"/>
      <c r="D65" s="72"/>
      <c r="E65" s="72"/>
      <c r="F65" s="72"/>
      <c r="G65" s="72"/>
      <c r="H65" s="145"/>
      <c r="I65" s="146" t="s">
        <v>121</v>
      </c>
      <c r="J65" s="72"/>
      <c r="K65" s="72"/>
      <c r="L65" s="72"/>
      <c r="M65" s="72"/>
      <c r="N65" s="72"/>
      <c r="O65" s="147">
        <f>ROUND(IF($C$15&lt;1,0,(L57)/($C$15*100)*10000),2)</f>
        <v>0</v>
      </c>
      <c r="P65" s="59" t="s">
        <v>120</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KH7QJTWxJaixvtxvulzOFElVxeih92K3Asbl/lRpkHJju/8AMBqape/hT1kmn/KwWgpBJTRMjct1Www5DqZIoA==" saltValue="j6x7IqoAjSBmze1MmKO/n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6"/>
  <sheetViews>
    <sheetView showGridLines="0" topLeftCell="A27" zoomScale="80" zoomScaleNormal="80" workbookViewId="0">
      <selection activeCell="B22" sqref="B22"/>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166</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5"/>
      <c r="B5" s="55"/>
      <c r="C5" s="55"/>
      <c r="D5" s="55"/>
      <c r="E5" s="55"/>
      <c r="F5" s="55"/>
      <c r="G5" s="55"/>
      <c r="H5" s="55"/>
      <c r="I5" s="55"/>
      <c r="J5" s="55"/>
      <c r="K5" s="55"/>
    </row>
    <row r="6" spans="1:30" x14ac:dyDescent="0.25">
      <c r="A6" s="56">
        <f ca="1">TODAY()</f>
        <v>45656</v>
      </c>
      <c r="B6" s="76" t="s">
        <v>171</v>
      </c>
      <c r="C6" s="56"/>
      <c r="D6" s="56"/>
      <c r="E6" s="56"/>
      <c r="F6" s="56"/>
      <c r="G6" s="56"/>
      <c r="H6" s="56"/>
      <c r="I6" s="56"/>
    </row>
    <row r="7" spans="1:30" ht="24.6" x14ac:dyDescent="0.4">
      <c r="A7" s="451"/>
      <c r="B7" s="451"/>
      <c r="C7" s="451"/>
      <c r="D7" s="451"/>
      <c r="E7" s="451"/>
      <c r="F7" s="451"/>
      <c r="G7" s="451"/>
      <c r="H7" s="451"/>
      <c r="I7" s="451"/>
      <c r="J7" s="451"/>
      <c r="K7" s="451"/>
      <c r="L7" s="451"/>
      <c r="M7" s="451"/>
      <c r="N7" s="451"/>
      <c r="O7" s="451"/>
      <c r="P7" s="451"/>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86"/>
      <c r="K12" s="186"/>
      <c r="L12" s="187"/>
      <c r="M12" s="187"/>
      <c r="N12" s="187"/>
      <c r="O12" s="187"/>
      <c r="P12" s="18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62" t="s">
        <v>70</v>
      </c>
      <c r="B13" s="163"/>
      <c r="C13" s="163"/>
      <c r="D13" s="163"/>
      <c r="E13" s="163"/>
      <c r="F13" s="163"/>
      <c r="G13" s="163"/>
      <c r="H13" s="163"/>
      <c r="I13" s="163"/>
      <c r="R13" s="44" t="s">
        <v>145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71</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t="s">
        <v>172</v>
      </c>
      <c r="B16" s="158"/>
      <c r="C16" s="159">
        <f>'Customer Info'!B22</f>
        <v>0</v>
      </c>
      <c r="D16" s="158" t="s">
        <v>19</v>
      </c>
      <c r="E16" s="158"/>
      <c r="F16" s="160"/>
      <c r="G16" s="57" t="s">
        <v>2</v>
      </c>
      <c r="H16" s="158"/>
    </row>
    <row r="17" spans="1:221" x14ac:dyDescent="0.25">
      <c r="A17" s="158" t="s">
        <v>173</v>
      </c>
      <c r="B17" s="158"/>
      <c r="C17" s="159">
        <f>'Customer Info'!B23</f>
        <v>0</v>
      </c>
      <c r="D17" s="198" t="s">
        <v>19</v>
      </c>
      <c r="E17" s="160"/>
      <c r="F17" s="160"/>
      <c r="G17" s="57" t="s">
        <v>2</v>
      </c>
      <c r="H17" s="158"/>
      <c r="I17" s="188" t="s">
        <v>2</v>
      </c>
    </row>
    <row r="19" spans="1:221" x14ac:dyDescent="0.25">
      <c r="A19" s="162" t="s">
        <v>72</v>
      </c>
      <c r="B19" s="163"/>
      <c r="C19" s="163"/>
      <c r="D19" s="163"/>
      <c r="E19" s="163"/>
      <c r="F19" s="163"/>
      <c r="G19" s="445" t="s">
        <v>73</v>
      </c>
      <c r="H19" s="446"/>
      <c r="I19" s="446"/>
      <c r="J19" s="447"/>
      <c r="K19" s="163"/>
      <c r="L19" s="448" t="s">
        <v>74</v>
      </c>
      <c r="M19" s="448"/>
      <c r="N19" s="448"/>
      <c r="O19" s="448"/>
    </row>
    <row r="20" spans="1:221" x14ac:dyDescent="0.25">
      <c r="G20" s="164" t="s">
        <v>75</v>
      </c>
      <c r="H20" s="164" t="s">
        <v>76</v>
      </c>
      <c r="I20" s="164" t="s">
        <v>77</v>
      </c>
      <c r="J20" s="118" t="s">
        <v>78</v>
      </c>
      <c r="L20" s="165" t="s">
        <v>75</v>
      </c>
      <c r="M20" s="165" t="s">
        <v>76</v>
      </c>
      <c r="N20" s="165" t="s">
        <v>77</v>
      </c>
      <c r="O20" s="165" t="s">
        <v>78</v>
      </c>
      <c r="P20" s="166" t="s">
        <v>79</v>
      </c>
    </row>
    <row r="21" spans="1:221" x14ac:dyDescent="0.25">
      <c r="A21" t="s">
        <v>80</v>
      </c>
      <c r="G21" s="189"/>
      <c r="H21" s="189"/>
      <c r="I21" s="189">
        <v>9.4</v>
      </c>
      <c r="J21" s="189">
        <f>SUM(G21:I21)</f>
        <v>9.4</v>
      </c>
      <c r="L21" s="190"/>
      <c r="M21" s="190"/>
      <c r="N21" s="190">
        <f>I21</f>
        <v>9.4</v>
      </c>
      <c r="O21" s="128">
        <f>SUM(L21:N21)</f>
        <v>9.4</v>
      </c>
      <c r="P21" s="92">
        <v>44531</v>
      </c>
    </row>
    <row r="22" spans="1:221" x14ac:dyDescent="0.25">
      <c r="A22" s="44" t="s">
        <v>174</v>
      </c>
      <c r="D22" s="4">
        <f>C15</f>
        <v>0</v>
      </c>
      <c r="E22" s="152" t="s">
        <v>19</v>
      </c>
      <c r="F22" s="1" t="s">
        <v>82</v>
      </c>
      <c r="G22" s="191"/>
      <c r="H22" s="191"/>
      <c r="I22" s="191">
        <v>2.05802E-2</v>
      </c>
      <c r="J22" s="191">
        <f>SUM(G22:I22)</f>
        <v>2.05802E-2</v>
      </c>
      <c r="K22" s="154" t="s">
        <v>87</v>
      </c>
      <c r="L22" s="189"/>
      <c r="M22" s="189"/>
      <c r="N22" s="189">
        <f>IF(C15&lt;0,0,ROUND($D22*I22,2))</f>
        <v>0</v>
      </c>
      <c r="O22" s="128">
        <f>SUM(L22:N22)</f>
        <v>0</v>
      </c>
      <c r="P22" s="92">
        <v>44531</v>
      </c>
    </row>
    <row r="23" spans="1:221" x14ac:dyDescent="0.25">
      <c r="A23" s="144" t="s">
        <v>84</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85</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86</v>
      </c>
      <c r="B27" s="110"/>
      <c r="C27" s="110"/>
      <c r="D27" s="111">
        <f>IF($C$15&lt;0,0,IF($C$15&gt;833000,833000,$C$15))</f>
        <v>0</v>
      </c>
      <c r="E27" s="97" t="s">
        <v>19</v>
      </c>
      <c r="F27" s="84" t="s">
        <v>82</v>
      </c>
      <c r="G27" s="100"/>
      <c r="H27" s="100"/>
      <c r="I27" s="100">
        <f>'Rider Rates'!$B$4</f>
        <v>4.6278999999999999E-3</v>
      </c>
      <c r="J27" s="100">
        <f t="shared" ref="J27:J48" si="0">SUM(G27:I27)</f>
        <v>4.6278999999999999E-3</v>
      </c>
      <c r="K27" s="94" t="s">
        <v>87</v>
      </c>
      <c r="L27" s="89"/>
      <c r="M27" s="89"/>
      <c r="N27" s="89">
        <f t="shared" ref="N27:N32" si="1">ROUND(D27*I27,2)</f>
        <v>0</v>
      </c>
      <c r="O27" s="89">
        <f t="shared" ref="O27:O49"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4">
        <f>IF($C$15&gt;833000,$C$15-833000,0)</f>
        <v>0</v>
      </c>
      <c r="E28" s="97" t="s">
        <v>19</v>
      </c>
      <c r="F28" s="84" t="s">
        <v>82</v>
      </c>
      <c r="G28" s="100"/>
      <c r="H28" s="100"/>
      <c r="I28" s="100">
        <f>'Rider Rates'!$B$5</f>
        <v>1.7560000000000001E-4</v>
      </c>
      <c r="J28" s="100">
        <f t="shared" si="0"/>
        <v>1.7560000000000001E-4</v>
      </c>
      <c r="K28" s="94" t="s">
        <v>87</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IF('Customer Info'!$C$33=TRUE,0,IF($C$15&lt;0,0,IF($C$15&gt;2000,2000,$C$15)))</f>
        <v>0</v>
      </c>
      <c r="E29" s="97" t="s">
        <v>19</v>
      </c>
      <c r="F29" s="84" t="s">
        <v>82</v>
      </c>
      <c r="G29" s="100"/>
      <c r="H29" s="100"/>
      <c r="I29" s="112">
        <f>'Rider Rates'!$B$8</f>
        <v>4.6499999999999996E-3</v>
      </c>
      <c r="J29" s="112">
        <f t="shared" si="0"/>
        <v>4.6499999999999996E-3</v>
      </c>
      <c r="K29" s="94" t="s">
        <v>87</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90</v>
      </c>
      <c r="B30" s="72"/>
      <c r="C30" s="72"/>
      <c r="D30" s="111">
        <f>IF('Customer Info'!$C$33=TRUE,0,IF($C$15&lt;=2000,0,IF($C$15=0,0,IF($C$15-2000&gt;13000,13000,$C$15-2000))))</f>
        <v>0</v>
      </c>
      <c r="E30" s="97" t="s">
        <v>19</v>
      </c>
      <c r="F30" s="84" t="s">
        <v>82</v>
      </c>
      <c r="G30" s="100"/>
      <c r="H30" s="100"/>
      <c r="I30" s="112">
        <f>'Rider Rates'!$B$9</f>
        <v>4.1900000000000001E-3</v>
      </c>
      <c r="J30" s="112">
        <f t="shared" si="0"/>
        <v>4.1900000000000001E-3</v>
      </c>
      <c r="K30" s="94" t="s">
        <v>87</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91</v>
      </c>
      <c r="B31" s="72"/>
      <c r="C31" s="72"/>
      <c r="D31" s="111">
        <f>IF('Customer Info'!$C$33=TRUE,0,IF($C$15=0,0,IF($C$15-15000&gt;=0,$C$15-15000,0)))</f>
        <v>0</v>
      </c>
      <c r="E31" s="97" t="s">
        <v>19</v>
      </c>
      <c r="F31" s="84" t="s">
        <v>82</v>
      </c>
      <c r="G31" s="100"/>
      <c r="H31" s="100"/>
      <c r="I31" s="112">
        <f>'Rider Rates'!$B$10</f>
        <v>3.63E-3</v>
      </c>
      <c r="J31" s="112">
        <f t="shared" si="0"/>
        <v>3.63E-3</v>
      </c>
      <c r="K31" s="94" t="s">
        <v>87</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92</v>
      </c>
      <c r="B32" s="72"/>
      <c r="C32" s="72"/>
      <c r="D32" s="111">
        <f>IF($C$15&lt;0,0,$C$15)</f>
        <v>0</v>
      </c>
      <c r="E32" s="97" t="s">
        <v>19</v>
      </c>
      <c r="F32" s="84" t="s">
        <v>82</v>
      </c>
      <c r="G32" s="100"/>
      <c r="H32" s="100"/>
      <c r="I32" s="100">
        <f>'Rider Rates'!$B$16</f>
        <v>0</v>
      </c>
      <c r="J32" s="100">
        <f>SUM(G32:I32)</f>
        <v>0</v>
      </c>
      <c r="K32" s="94" t="s">
        <v>87</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93</v>
      </c>
      <c r="B33" s="72"/>
      <c r="C33" s="72"/>
      <c r="D33" s="113">
        <f>$N$23</f>
        <v>9.4</v>
      </c>
      <c r="E33" s="97" t="s">
        <v>94</v>
      </c>
      <c r="F33" s="84" t="s">
        <v>82</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95</v>
      </c>
      <c r="B34" s="72"/>
      <c r="C34" s="72"/>
      <c r="D34" s="111">
        <f>C16+C17</f>
        <v>0</v>
      </c>
      <c r="E34" s="97" t="s">
        <v>19</v>
      </c>
      <c r="F34" s="84" t="s">
        <v>82</v>
      </c>
      <c r="G34" s="100">
        <f>'Rider Rates'!B22</f>
        <v>7.0209999999999995E-2</v>
      </c>
      <c r="H34" s="100"/>
      <c r="I34" s="100"/>
      <c r="J34" s="115">
        <f>SUM(G34:H34)</f>
        <v>7.0209999999999995E-2</v>
      </c>
      <c r="K34" s="94" t="s">
        <v>87</v>
      </c>
      <c r="L34" s="89">
        <f>ROUND(D34*G34,2)</f>
        <v>0</v>
      </c>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148</v>
      </c>
      <c r="B35" s="72"/>
      <c r="C35" s="72"/>
      <c r="D35" s="111">
        <f>C16</f>
        <v>0</v>
      </c>
      <c r="E35" s="97" t="s">
        <v>19</v>
      </c>
      <c r="F35" s="84" t="s">
        <v>82</v>
      </c>
      <c r="G35" s="100">
        <f>'Rider Rates'!B38</f>
        <v>2.28907E-2</v>
      </c>
      <c r="H35" s="100"/>
      <c r="I35" s="100"/>
      <c r="J35" s="115">
        <f>SUM(G35:H35)</f>
        <v>2.28907E-2</v>
      </c>
      <c r="K35" s="94" t="s">
        <v>87</v>
      </c>
      <c r="L35" s="89">
        <f>ROUND(D35*G35,2)</f>
        <v>0</v>
      </c>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149</v>
      </c>
      <c r="B36" s="72"/>
      <c r="C36" s="72"/>
      <c r="D36" s="111">
        <f>C17</f>
        <v>0</v>
      </c>
      <c r="E36" s="97" t="s">
        <v>19</v>
      </c>
      <c r="F36" s="126" t="s">
        <v>82</v>
      </c>
      <c r="G36" s="100">
        <f>'Rider Rates'!B39</f>
        <v>0</v>
      </c>
      <c r="H36" s="100"/>
      <c r="I36" s="100"/>
      <c r="J36" s="115">
        <f>SUM(G36:H36)</f>
        <v>0</v>
      </c>
      <c r="K36" s="94" t="s">
        <v>87</v>
      </c>
      <c r="L36" s="89">
        <f>ROUND(D36*G36,2)</f>
        <v>0</v>
      </c>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97</v>
      </c>
      <c r="B37" s="72"/>
      <c r="C37" s="72"/>
      <c r="D37" s="111">
        <f>C16+C17</f>
        <v>0</v>
      </c>
      <c r="E37" s="97" t="s">
        <v>19</v>
      </c>
      <c r="F37" s="84" t="s">
        <v>82</v>
      </c>
      <c r="G37" s="100">
        <f>'Rider Rates'!$B$49</f>
        <v>4.5009999999999999E-4</v>
      </c>
      <c r="H37" s="100"/>
      <c r="I37" s="100"/>
      <c r="J37" s="115">
        <f>SUM(G37:H37)</f>
        <v>4.5009999999999999E-4</v>
      </c>
      <c r="K37" s="94" t="s">
        <v>87</v>
      </c>
      <c r="L37" s="89">
        <f>ROUND(D37*G37,2)</f>
        <v>0</v>
      </c>
      <c r="M37" s="89"/>
      <c r="N37" s="89"/>
      <c r="O37" s="89">
        <f t="shared" si="2"/>
        <v>0</v>
      </c>
      <c r="P37" s="92">
        <f>'Rider Rates'!$D$49</f>
        <v>45657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98</v>
      </c>
      <c r="B38" s="72"/>
      <c r="C38" s="72"/>
      <c r="D38" s="111">
        <f>IF($C$15&lt;0,0,IF($C$15&gt;833000,833000,$C$15))</f>
        <v>0</v>
      </c>
      <c r="E38" s="97" t="s">
        <v>19</v>
      </c>
      <c r="F38" s="84" t="s">
        <v>82</v>
      </c>
      <c r="G38" s="100"/>
      <c r="H38" s="100"/>
      <c r="I38" s="100">
        <f>'Rider Rates'!D53</f>
        <v>1.8006999999999999E-3</v>
      </c>
      <c r="J38" s="100">
        <f>SUM(G38:I38)</f>
        <v>1.8006999999999999E-3</v>
      </c>
      <c r="K38" s="94" t="s">
        <v>87</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99</v>
      </c>
      <c r="B39" s="72"/>
      <c r="C39" s="72"/>
      <c r="D39" s="111">
        <f>IF($C$15&lt;0,0,$C$15)</f>
        <v>0</v>
      </c>
      <c r="E39" s="97" t="s">
        <v>19</v>
      </c>
      <c r="F39" s="84" t="s">
        <v>82</v>
      </c>
      <c r="G39" s="100"/>
      <c r="H39" s="100">
        <f>'Rider Rates'!$B$60</f>
        <v>2.3467399999999999E-2</v>
      </c>
      <c r="I39" s="100"/>
      <c r="J39" s="100">
        <f>SUM(G39:I39)</f>
        <v>2.3467399999999999E-2</v>
      </c>
      <c r="K39" s="94" t="s">
        <v>87</v>
      </c>
      <c r="L39" s="89"/>
      <c r="M39" s="89">
        <f>ROUND(D39*H39,2)</f>
        <v>0</v>
      </c>
      <c r="N39" s="116"/>
      <c r="O39" s="89">
        <f t="shared" si="2"/>
        <v>0</v>
      </c>
      <c r="P39" s="92">
        <f>'Rider Rates'!$D$60</f>
        <v>45383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1">
        <f>IF('Customer Info'!C35=TRUE,0,IF($C$15&lt;0,0,$C$15))</f>
        <v>0</v>
      </c>
      <c r="E40" s="97" t="s">
        <v>19</v>
      </c>
      <c r="F40" s="84" t="s">
        <v>82</v>
      </c>
      <c r="G40" s="100"/>
      <c r="H40" s="100"/>
      <c r="I40" s="100">
        <f>'Rider Rates'!$B$74+'Rider Rates'!$C$74</f>
        <v>0</v>
      </c>
      <c r="J40" s="100">
        <f t="shared" si="0"/>
        <v>0</v>
      </c>
      <c r="K40" s="94" t="s">
        <v>87</v>
      </c>
      <c r="L40" s="89"/>
      <c r="M40" s="89"/>
      <c r="N40" s="89">
        <f>ROUND($D$40*'Rider Rates'!$B$74,2)+ROUND($D$40*'Rider Rates'!$C$74,2)</f>
        <v>0</v>
      </c>
      <c r="O40" s="89">
        <f t="shared" si="2"/>
        <v>0</v>
      </c>
      <c r="P40" s="92">
        <f>'Rider Rates'!$D$74</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101</v>
      </c>
      <c r="B41" s="72"/>
      <c r="C41" s="72"/>
      <c r="D41" s="111"/>
      <c r="E41" s="97" t="s">
        <v>57</v>
      </c>
      <c r="F41" s="84"/>
      <c r="G41" s="100"/>
      <c r="H41" s="100"/>
      <c r="I41" s="121">
        <f>'Rider Rates'!$B$81</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102</v>
      </c>
      <c r="B42" s="72"/>
      <c r="C42" s="72"/>
      <c r="D42" s="113">
        <f>$N$23</f>
        <v>9.4</v>
      </c>
      <c r="E42" s="97" t="s">
        <v>94</v>
      </c>
      <c r="F42" s="84" t="s">
        <v>82</v>
      </c>
      <c r="G42" s="117"/>
      <c r="H42" s="118"/>
      <c r="I42" s="119">
        <f>'Rider Rates'!$B$89</f>
        <v>4.94232E-2</v>
      </c>
      <c r="J42" s="119">
        <f t="shared" si="0"/>
        <v>4.94232E-2</v>
      </c>
      <c r="K42" s="94"/>
      <c r="L42" s="89"/>
      <c r="M42" s="89"/>
      <c r="N42" s="89">
        <f>ROUND(D42*I42,2)</f>
        <v>0.46</v>
      </c>
      <c r="O42" s="89">
        <f t="shared" si="2"/>
        <v>0.46</v>
      </c>
      <c r="P42" s="92">
        <f>'Rider Rates'!$D$89</f>
        <v>45562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103</v>
      </c>
      <c r="B43" s="72"/>
      <c r="C43" s="72"/>
      <c r="D43" s="113">
        <f>$N$23</f>
        <v>9.4</v>
      </c>
      <c r="E43" s="97" t="s">
        <v>94</v>
      </c>
      <c r="F43" s="84" t="s">
        <v>82</v>
      </c>
      <c r="G43" s="120"/>
      <c r="H43" s="85"/>
      <c r="I43" s="119">
        <f>'Rider Rates'!$B$91</f>
        <v>6.6985699999999995E-2</v>
      </c>
      <c r="J43" s="119">
        <f t="shared" si="0"/>
        <v>6.6985699999999995E-2</v>
      </c>
      <c r="K43" s="94"/>
      <c r="L43" s="89"/>
      <c r="M43" s="89"/>
      <c r="N43" s="89">
        <f>ROUND(D43*I43,2)</f>
        <v>0.63</v>
      </c>
      <c r="O43" s="89">
        <f t="shared" si="2"/>
        <v>0.63</v>
      </c>
      <c r="P43" s="92">
        <f>'Rider Rates'!$D$91</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104</v>
      </c>
      <c r="B44" s="72"/>
      <c r="C44" s="72"/>
      <c r="D44" s="113"/>
      <c r="E44" s="97" t="s">
        <v>57</v>
      </c>
      <c r="F44" s="84"/>
      <c r="G44" s="120"/>
      <c r="H44" s="85"/>
      <c r="I44" s="121">
        <f>'Rider Rates'!$B$95</f>
        <v>17.53</v>
      </c>
      <c r="J44" s="121">
        <f t="shared" si="0"/>
        <v>17.53</v>
      </c>
      <c r="K44" s="94"/>
      <c r="L44" s="89"/>
      <c r="M44" s="89"/>
      <c r="N44" s="89">
        <f>I44</f>
        <v>17.53</v>
      </c>
      <c r="O44" s="89">
        <f t="shared" si="2"/>
        <v>17.53</v>
      </c>
      <c r="P44" s="92">
        <f>'Rider Rates'!$D$95</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105</v>
      </c>
      <c r="B45" s="72"/>
      <c r="C45" s="72"/>
      <c r="D45" s="111">
        <f>IF($C$15&lt;0,0,$C$15)</f>
        <v>0</v>
      </c>
      <c r="E45" s="97" t="s">
        <v>19</v>
      </c>
      <c r="F45" s="84" t="s">
        <v>82</v>
      </c>
      <c r="G45" s="100"/>
      <c r="H45" s="100"/>
      <c r="I45" s="100"/>
      <c r="J45" s="100">
        <f>'Rider Rates'!$B$99</f>
        <v>0</v>
      </c>
      <c r="K45" s="94" t="s">
        <v>87</v>
      </c>
      <c r="L45" s="89"/>
      <c r="M45" s="89"/>
      <c r="N45" s="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3">
        <f>$N$23</f>
        <v>9.4</v>
      </c>
      <c r="E46" s="97" t="s">
        <v>94</v>
      </c>
      <c r="F46" s="84" t="s">
        <v>82</v>
      </c>
      <c r="G46" s="120"/>
      <c r="H46" s="85"/>
      <c r="I46" s="119">
        <f>'Rider Rates'!$B$109</f>
        <v>0.2363101</v>
      </c>
      <c r="J46" s="119">
        <f t="shared" si="0"/>
        <v>0.2363101</v>
      </c>
      <c r="K46" s="94"/>
      <c r="L46" s="89"/>
      <c r="M46" s="89"/>
      <c r="N46" s="89">
        <f>ROUND(D46*I46,2)</f>
        <v>2.2200000000000002</v>
      </c>
      <c r="O46" s="89">
        <f t="shared" si="2"/>
        <v>2.2200000000000002</v>
      </c>
      <c r="P46" s="92">
        <f>'Rider Rates'!$D$109</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3"/>
      <c r="E47" s="97" t="s">
        <v>57</v>
      </c>
      <c r="F47" s="84"/>
      <c r="G47" s="120"/>
      <c r="H47" s="85"/>
      <c r="I47" s="121">
        <f>'Rider Rates'!$B$113</f>
        <v>0</v>
      </c>
      <c r="J47" s="121">
        <f t="shared" si="0"/>
        <v>0</v>
      </c>
      <c r="K47" s="94"/>
      <c r="L47" s="89"/>
      <c r="M47" s="89"/>
      <c r="N47" s="89">
        <f>I47</f>
        <v>0</v>
      </c>
      <c r="O47" s="89">
        <f t="shared" si="2"/>
        <v>0</v>
      </c>
      <c r="P47" s="92">
        <f>'Rider Rates'!$D$113</f>
        <v>44894</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108</v>
      </c>
      <c r="B48" s="72"/>
      <c r="C48" s="72"/>
      <c r="D48" s="113"/>
      <c r="E48" s="97" t="s">
        <v>57</v>
      </c>
      <c r="F48" s="84"/>
      <c r="G48" s="120"/>
      <c r="H48" s="85"/>
      <c r="I48" s="123">
        <f>'Rider Rates'!B126</f>
        <v>4.84</v>
      </c>
      <c r="J48" s="121">
        <f t="shared" si="0"/>
        <v>4.84</v>
      </c>
      <c r="K48" s="94"/>
      <c r="L48" s="89"/>
      <c r="M48" s="89"/>
      <c r="N48" s="125">
        <f>I48</f>
        <v>4.84</v>
      </c>
      <c r="O48" s="89">
        <f t="shared" si="2"/>
        <v>4.84</v>
      </c>
      <c r="P48" s="92">
        <f>'Rider Rates'!D126</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109</v>
      </c>
      <c r="B49" s="72"/>
      <c r="C49" s="72"/>
      <c r="D49" s="111">
        <f>C16+C17</f>
        <v>0</v>
      </c>
      <c r="E49" s="97" t="s">
        <v>19</v>
      </c>
      <c r="F49" s="84" t="s">
        <v>82</v>
      </c>
      <c r="G49" s="100">
        <f>'Rider Rates'!$B$116</f>
        <v>3.8972999999999998E-3</v>
      </c>
      <c r="H49" s="100"/>
      <c r="I49" s="119"/>
      <c r="J49" s="115">
        <f>SUM(G49:H49)</f>
        <v>3.8972999999999998E-3</v>
      </c>
      <c r="K49" s="94" t="s">
        <v>87</v>
      </c>
      <c r="L49" s="89">
        <f>ROUND(D49*G49,2)</f>
        <v>0</v>
      </c>
      <c r="M49" s="89"/>
      <c r="N49" s="89"/>
      <c r="O49" s="89">
        <f t="shared" si="2"/>
        <v>0</v>
      </c>
      <c r="P49" s="92">
        <f>'Rider Rates'!$D$116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6" t="s">
        <v>110</v>
      </c>
      <c r="B50" s="72"/>
      <c r="C50" s="72"/>
      <c r="D50" s="111">
        <f>IF($C$15&lt;1,0,$C$15)</f>
        <v>0</v>
      </c>
      <c r="E50" s="97" t="s">
        <v>19</v>
      </c>
      <c r="F50" s="126" t="s">
        <v>82</v>
      </c>
      <c r="G50" s="99"/>
      <c r="H50" s="99"/>
      <c r="I50" s="183">
        <f>'Rider Rates'!B122</f>
        <v>0</v>
      </c>
      <c r="J50" s="183">
        <f>SUM(G50:I50)</f>
        <v>0</v>
      </c>
      <c r="K50" s="94" t="s">
        <v>87</v>
      </c>
      <c r="L50" s="89"/>
      <c r="M50" s="89"/>
      <c r="N50" s="89">
        <f>D50*J50</f>
        <v>0</v>
      </c>
      <c r="O50" s="89">
        <f>SUM(L50:N50)</f>
        <v>0</v>
      </c>
      <c r="P50" s="92">
        <f>'Rider Rates'!D122</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169</v>
      </c>
      <c r="B51" s="72"/>
      <c r="C51" s="72"/>
      <c r="D51" s="111">
        <f>IF(C15&lt;0,0,IF(C15&gt;833000,833000,C15))</f>
        <v>0</v>
      </c>
      <c r="E51" s="97" t="s">
        <v>19</v>
      </c>
      <c r="F51" s="84" t="s">
        <v>82</v>
      </c>
      <c r="G51" s="195"/>
      <c r="H51" s="195"/>
      <c r="I51" s="195">
        <f>'Rider Rates'!$B$130</f>
        <v>2.9050000000000001E-4</v>
      </c>
      <c r="J51" s="195">
        <f>SUM(G51:I51)</f>
        <v>2.9050000000000001E-4</v>
      </c>
      <c r="K51" s="94" t="s">
        <v>87</v>
      </c>
      <c r="L51" s="196"/>
      <c r="M51" s="196"/>
      <c r="N51" s="196">
        <f>IF(D51*J51&gt;'Rider Rates'!$C$130,'Rider Rates'!$C$130,D51*J51)</f>
        <v>0</v>
      </c>
      <c r="O51" s="196">
        <f>SUM(L51:N51)</f>
        <v>0</v>
      </c>
      <c r="P51" s="129">
        <f>'Rider Rates'!$E$130</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170</v>
      </c>
      <c r="B52" s="72"/>
      <c r="C52" s="72"/>
      <c r="D52" s="4">
        <f>IF(C15&gt;833000,C15-833000,0)</f>
        <v>0</v>
      </c>
      <c r="E52" s="97" t="s">
        <v>19</v>
      </c>
      <c r="F52" s="84" t="s">
        <v>82</v>
      </c>
      <c r="G52" s="195"/>
      <c r="H52" s="195"/>
      <c r="I52" s="195">
        <f>'Rider Rates'!$B$131</f>
        <v>0</v>
      </c>
      <c r="J52" s="195">
        <f>SUM(G52:I52)</f>
        <v>0</v>
      </c>
      <c r="K52" s="94" t="s">
        <v>87</v>
      </c>
      <c r="L52" s="196"/>
      <c r="M52" s="196"/>
      <c r="N52" s="196">
        <f>D52*J52</f>
        <v>0</v>
      </c>
      <c r="O52" s="196">
        <f>SUM(L52:N52)</f>
        <v>0</v>
      </c>
      <c r="P52" s="129">
        <f>'Rider Rates'!$E$131</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112</v>
      </c>
      <c r="B53" s="72"/>
      <c r="C53" s="72"/>
      <c r="D53" s="111">
        <f>C15</f>
        <v>0</v>
      </c>
      <c r="E53" s="97" t="s">
        <v>19</v>
      </c>
      <c r="F53" s="126" t="s">
        <v>82</v>
      </c>
      <c r="G53" s="100"/>
      <c r="H53" s="100"/>
      <c r="I53" s="100">
        <f>'Rider Rates'!$B$135</f>
        <v>0</v>
      </c>
      <c r="J53" s="115">
        <f>SUM(G53:I53)</f>
        <v>0</v>
      </c>
      <c r="K53" s="94" t="s">
        <v>87</v>
      </c>
      <c r="L53" s="89"/>
      <c r="M53" s="89"/>
      <c r="N53" s="89">
        <f>D53*J53</f>
        <v>0</v>
      </c>
      <c r="O53" s="89">
        <f>SUM(L53:N53)</f>
        <v>0</v>
      </c>
      <c r="P53" s="92">
        <f>'Rider Rates'!$D$135</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113</v>
      </c>
      <c r="B54" s="72"/>
      <c r="C54" s="72"/>
      <c r="D54" s="111"/>
      <c r="E54" s="97" t="s">
        <v>57</v>
      </c>
      <c r="F54" s="84" t="s">
        <v>82</v>
      </c>
      <c r="G54" s="127"/>
      <c r="H54" s="127"/>
      <c r="I54" s="127">
        <f>'Rider Rates'!$B$142</f>
        <v>0</v>
      </c>
      <c r="J54" s="127">
        <f>SUM(G54:I54)</f>
        <v>0</v>
      </c>
      <c r="K54" s="94"/>
      <c r="L54" s="128"/>
      <c r="M54" s="128"/>
      <c r="N54" s="128">
        <f>J54</f>
        <v>0</v>
      </c>
      <c r="O54" s="128">
        <f>SUM(L54:N54)</f>
        <v>0</v>
      </c>
      <c r="P54" s="129">
        <f>'Rider Rates'!$D$142</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t="s">
        <v>114</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30" t="s">
        <v>115</v>
      </c>
      <c r="B56" s="69"/>
      <c r="C56" s="69"/>
      <c r="D56" s="131"/>
      <c r="E56" s="132"/>
      <c r="F56" s="133"/>
      <c r="G56" s="133"/>
      <c r="H56" s="133"/>
      <c r="I56" s="133"/>
      <c r="J56" s="133"/>
      <c r="K56" s="134"/>
      <c r="L56" s="105">
        <f>SUM(L27:L55)</f>
        <v>0</v>
      </c>
      <c r="M56" s="105">
        <f>SUM(M27:M55)</f>
        <v>0</v>
      </c>
      <c r="N56" s="105">
        <f>SUM(N27:N55)</f>
        <v>25.68</v>
      </c>
      <c r="O56" s="105">
        <f>SUM(O27:O55)</f>
        <v>25.68</v>
      </c>
      <c r="P56" s="135"/>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72"/>
      <c r="C57" s="72"/>
      <c r="D57" s="111"/>
      <c r="E57" s="97"/>
      <c r="F57" s="84"/>
      <c r="G57" s="84"/>
      <c r="H57" s="84"/>
      <c r="I57" s="84"/>
      <c r="J57" s="101"/>
      <c r="K57" s="94"/>
      <c r="L57" s="84"/>
      <c r="M57" s="84"/>
      <c r="N57" s="84"/>
      <c r="O57" s="84"/>
      <c r="P57" s="137"/>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138" t="s">
        <v>116</v>
      </c>
      <c r="B58" s="106"/>
      <c r="C58" s="106"/>
      <c r="D58" s="106"/>
      <c r="E58" s="106"/>
      <c r="F58" s="106"/>
      <c r="G58" s="106"/>
      <c r="H58" s="106"/>
      <c r="I58" s="106"/>
      <c r="J58" s="106"/>
      <c r="K58" s="106"/>
      <c r="L58" s="139">
        <f>L23+L56</f>
        <v>0</v>
      </c>
      <c r="M58" s="139">
        <f>M23+M56</f>
        <v>0</v>
      </c>
      <c r="N58" s="139">
        <f>N23+N56</f>
        <v>35.08</v>
      </c>
      <c r="O58" s="140">
        <f>O23+O56</f>
        <v>35.08</v>
      </c>
      <c r="P58" s="140"/>
      <c r="Q58" s="84"/>
      <c r="R58" s="197"/>
      <c r="S58" s="94"/>
      <c r="T58" s="95"/>
      <c r="U58" s="72"/>
      <c r="V58" s="94"/>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72"/>
      <c r="B60" s="72"/>
      <c r="C60" s="72"/>
      <c r="D60" s="72"/>
      <c r="E60" s="72"/>
      <c r="F60" s="72"/>
      <c r="G60" s="72"/>
      <c r="H60" s="72"/>
      <c r="I60" s="72"/>
      <c r="J60" s="72"/>
      <c r="K60" s="72"/>
      <c r="L60" s="72"/>
      <c r="M60" s="72"/>
      <c r="N60" s="72"/>
      <c r="O60" s="72"/>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117</v>
      </c>
      <c r="B61" s="72"/>
      <c r="C61" s="72"/>
      <c r="D61" s="72"/>
      <c r="E61" s="72"/>
      <c r="F61" s="72"/>
      <c r="G61" s="72"/>
      <c r="H61" s="72"/>
      <c r="I61" s="72"/>
      <c r="J61" s="72"/>
      <c r="K61" s="72"/>
      <c r="L61" s="72"/>
      <c r="M61" s="72"/>
      <c r="N61" s="72"/>
      <c r="O61" s="95">
        <f>O21+O56</f>
        <v>35.08</v>
      </c>
      <c r="P61" s="72"/>
      <c r="Q61" s="102"/>
      <c r="R61" s="102"/>
      <c r="S61" s="102"/>
      <c r="T61" s="136"/>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102" t="s">
        <v>2</v>
      </c>
      <c r="B62" s="102"/>
      <c r="C62" s="102"/>
      <c r="D62" s="102"/>
      <c r="E62" s="102"/>
      <c r="F62" s="102"/>
      <c r="G62" s="102"/>
      <c r="H62" s="10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x14ac:dyDescent="0.25">
      <c r="A63" s="69" t="s">
        <v>118</v>
      </c>
      <c r="B63" s="72"/>
      <c r="C63" s="72"/>
      <c r="D63" s="72"/>
      <c r="E63" s="72"/>
      <c r="F63" s="72"/>
      <c r="G63" s="72"/>
      <c r="H63" s="72"/>
      <c r="I63" s="72"/>
      <c r="J63" s="72"/>
      <c r="K63" s="72"/>
      <c r="L63" s="72"/>
      <c r="M63" s="72"/>
      <c r="N63" s="72"/>
      <c r="O63" s="141">
        <f>IF($D$17&lt;0,O58,IF(O58&gt;O61,O58,O61))</f>
        <v>35.08</v>
      </c>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36" ht="15" customHeight="1" x14ac:dyDescent="0.25">
      <c r="A64" s="69"/>
      <c r="B64" s="72"/>
      <c r="C64" s="72"/>
      <c r="D64" s="72"/>
      <c r="E64" s="72"/>
      <c r="F64" s="72"/>
      <c r="G64" s="72"/>
      <c r="H64" s="72"/>
      <c r="I64" s="72"/>
      <c r="J64" s="72"/>
      <c r="K64" s="72"/>
      <c r="L64" s="72"/>
      <c r="M64" s="72"/>
      <c r="N64" s="72"/>
      <c r="O64" s="141"/>
      <c r="P64" s="84"/>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c r="HN64" s="72"/>
      <c r="HO64" s="72"/>
      <c r="HP64" s="72"/>
      <c r="HQ64" s="72"/>
      <c r="HR64" s="72"/>
      <c r="HS64" s="72"/>
      <c r="HT64" s="72"/>
      <c r="HU64" s="72"/>
      <c r="HV64" s="72"/>
      <c r="HW64" s="72"/>
      <c r="HX64" s="72"/>
      <c r="HY64" s="72"/>
      <c r="HZ64" s="72"/>
      <c r="IA64" s="72"/>
      <c r="IB64" s="72"/>
    </row>
    <row r="65" spans="1:222" x14ac:dyDescent="0.25">
      <c r="A65" s="69"/>
      <c r="B65" s="102"/>
      <c r="C65" s="102"/>
      <c r="D65" s="102"/>
      <c r="E65" s="102"/>
      <c r="F65" s="102"/>
      <c r="G65" s="102"/>
      <c r="H65" s="102"/>
      <c r="I65" s="102" t="s">
        <v>119</v>
      </c>
      <c r="J65" s="102"/>
      <c r="K65" s="102"/>
      <c r="L65" s="143"/>
      <c r="M65" s="143"/>
      <c r="N65" s="143"/>
      <c r="O65" s="143">
        <f>ROUND(IF($C$15&lt;1,0,O58/($C$15*100)*10000),2)</f>
        <v>0</v>
      </c>
      <c r="P65" s="144" t="s">
        <v>120</v>
      </c>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HE65" s="72"/>
      <c r="HF65" s="72"/>
      <c r="HG65" s="72"/>
      <c r="HH65" s="72"/>
      <c r="HI65" s="72"/>
      <c r="HJ65" s="72"/>
      <c r="HK65" s="72"/>
      <c r="HL65" s="72"/>
      <c r="HM65" s="72"/>
      <c r="HN65" s="72"/>
    </row>
    <row r="66" spans="1:222" x14ac:dyDescent="0.25">
      <c r="B66" s="72"/>
      <c r="C66" s="72"/>
      <c r="D66" s="72"/>
      <c r="E66" s="72"/>
      <c r="F66" s="72"/>
      <c r="G66" s="72"/>
      <c r="H66" s="145"/>
      <c r="I66" s="146" t="s">
        <v>121</v>
      </c>
      <c r="J66" s="72"/>
      <c r="K66" s="72"/>
      <c r="L66" s="72"/>
      <c r="M66" s="72"/>
      <c r="N66" s="72"/>
      <c r="O66" s="147">
        <f>ROUND(IF($C$15&lt;1,0,(L58)/($C$15*100)*10000),2)</f>
        <v>0</v>
      </c>
      <c r="P66" s="59" t="s">
        <v>120</v>
      </c>
      <c r="Q66" s="72"/>
      <c r="R66" s="72"/>
      <c r="S66" s="72"/>
      <c r="T66" s="72"/>
      <c r="U66" s="72"/>
      <c r="V66" s="72"/>
      <c r="W66" s="72"/>
      <c r="X66" s="72"/>
      <c r="Y66" s="72"/>
      <c r="Z66" s="72"/>
      <c r="AA66" s="72"/>
      <c r="AB66" s="72"/>
      <c r="AC66" s="72"/>
      <c r="AD66" s="72"/>
      <c r="AE66" s="72"/>
      <c r="AF66" s="72"/>
      <c r="AG66" s="72"/>
      <c r="AH66" s="72"/>
      <c r="AI66" s="72"/>
      <c r="AJ66" s="72"/>
      <c r="AK66" s="72"/>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1"/>
  <sheetViews>
    <sheetView showGridLines="0" topLeftCell="A24" zoomScale="80" zoomScaleNormal="80" workbookViewId="0">
      <selection activeCell="B22" sqref="B22"/>
    </sheetView>
  </sheetViews>
  <sheetFormatPr defaultRowHeight="13.2" x14ac:dyDescent="0.25"/>
  <cols>
    <col min="1" max="1" width="37.5546875" customWidth="1"/>
    <col min="2" max="2" width="2.109375" customWidth="1"/>
    <col min="3" max="3" width="14.5546875" customWidth="1"/>
    <col min="4" max="4" width="16.44140625" bestFit="1" customWidth="1"/>
    <col min="5" max="5" width="9.88671875" customWidth="1"/>
    <col min="6" max="6" width="5.5546875" customWidth="1"/>
    <col min="7" max="8" width="13.44140625" customWidth="1"/>
    <col min="9" max="9" width="14.5546875" customWidth="1"/>
    <col min="10" max="10" width="13.44140625" customWidth="1"/>
    <col min="11" max="11" width="7" customWidth="1"/>
    <col min="12" max="12" width="15" customWidth="1"/>
    <col min="13" max="13" width="16" customWidth="1"/>
    <col min="14" max="14" width="15.109375" bestFit="1" customWidth="1"/>
    <col min="15" max="15" width="17.44140625" bestFit="1" customWidth="1"/>
    <col min="16" max="16" width="12.88671875" bestFit="1" customWidth="1"/>
    <col min="18" max="18" width="13"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175</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6">
        <f ca="1">TODAY()</f>
        <v>45656</v>
      </c>
      <c r="B5" s="55"/>
      <c r="C5" s="55"/>
      <c r="D5" s="55"/>
      <c r="E5" s="55"/>
      <c r="F5" s="55"/>
      <c r="G5" s="55"/>
      <c r="H5" s="55"/>
      <c r="I5" s="55"/>
      <c r="J5" s="55"/>
      <c r="K5" s="55"/>
      <c r="L5" s="55"/>
      <c r="M5" s="55"/>
      <c r="N5" s="55"/>
      <c r="O5" s="55"/>
      <c r="P5" s="55"/>
    </row>
    <row r="6" spans="1:30" x14ac:dyDescent="0.25">
      <c r="A6" s="452" t="s">
        <v>176</v>
      </c>
      <c r="B6" s="452"/>
      <c r="C6" s="452"/>
      <c r="D6" s="452"/>
      <c r="E6" s="452"/>
      <c r="F6" s="452"/>
      <c r="G6" s="452"/>
      <c r="H6" s="452"/>
      <c r="I6" s="452"/>
      <c r="J6" s="452"/>
      <c r="K6" s="452"/>
      <c r="L6" s="452"/>
      <c r="M6" s="452"/>
      <c r="N6" s="452"/>
      <c r="O6" s="452"/>
      <c r="P6" s="452"/>
      <c r="Q6" s="452"/>
    </row>
    <row r="7" spans="1:30" x14ac:dyDescent="0.25">
      <c r="A7" s="437" t="s">
        <v>2</v>
      </c>
      <c r="B7" s="437"/>
      <c r="C7" s="437"/>
      <c r="D7" s="437"/>
      <c r="E7" s="437"/>
      <c r="F7" s="437"/>
      <c r="G7" s="437"/>
      <c r="H7" s="437"/>
      <c r="I7" s="437"/>
      <c r="J7" s="437"/>
      <c r="K7" s="437"/>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57"/>
      <c r="K12" s="157"/>
      <c r="L12" s="157"/>
      <c r="M12" s="157"/>
      <c r="N12" s="157"/>
      <c r="O12" s="157"/>
      <c r="P12" s="15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55" t="s">
        <v>70</v>
      </c>
      <c r="R13" s="44" t="s">
        <v>145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199"/>
      <c r="T14" s="199"/>
      <c r="U14" s="199"/>
      <c r="V14" s="199"/>
      <c r="W14" s="199"/>
      <c r="X14" s="200"/>
      <c r="Y14" s="200"/>
      <c r="Z14" s="200"/>
      <c r="AA14" s="200"/>
      <c r="AB14" s="199"/>
      <c r="AC14" s="199"/>
      <c r="AD14" s="199"/>
    </row>
    <row r="15" spans="1:30" x14ac:dyDescent="0.25">
      <c r="A15" s="158" t="s">
        <v>137</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5">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5">
      <c r="A17" s="162" t="s">
        <v>177</v>
      </c>
      <c r="B17" s="163"/>
      <c r="C17" s="163"/>
      <c r="D17" s="163"/>
      <c r="E17" s="163"/>
      <c r="F17" s="163"/>
      <c r="G17" s="445" t="s">
        <v>73</v>
      </c>
      <c r="H17" s="446"/>
      <c r="I17" s="446"/>
      <c r="J17" s="447"/>
      <c r="K17" s="163"/>
      <c r="L17" s="448" t="s">
        <v>74</v>
      </c>
      <c r="M17" s="448"/>
      <c r="N17" s="448"/>
      <c r="O17" s="448"/>
    </row>
    <row r="18" spans="1:221" x14ac:dyDescent="0.25">
      <c r="G18" s="164" t="s">
        <v>75</v>
      </c>
      <c r="H18" s="164" t="s">
        <v>76</v>
      </c>
      <c r="I18" s="164" t="s">
        <v>77</v>
      </c>
      <c r="J18" s="118" t="s">
        <v>78</v>
      </c>
      <c r="L18" s="165" t="s">
        <v>75</v>
      </c>
      <c r="M18" s="165" t="s">
        <v>76</v>
      </c>
      <c r="N18" s="165" t="s">
        <v>77</v>
      </c>
      <c r="O18" s="165" t="s">
        <v>78</v>
      </c>
      <c r="P18" s="166" t="s">
        <v>79</v>
      </c>
    </row>
    <row r="19" spans="1:221" x14ac:dyDescent="0.25">
      <c r="A19" t="s">
        <v>80</v>
      </c>
      <c r="G19" s="167"/>
      <c r="H19" s="167"/>
      <c r="I19" s="168">
        <v>9.4</v>
      </c>
      <c r="J19" s="168">
        <f>SUM(G19:I19)</f>
        <v>9.4</v>
      </c>
      <c r="L19" s="168"/>
      <c r="M19" s="168"/>
      <c r="N19" s="168">
        <f>I19</f>
        <v>9.4</v>
      </c>
      <c r="O19" s="89">
        <f>+SUM(L19:N19)</f>
        <v>9.4</v>
      </c>
      <c r="P19" s="92">
        <v>44531</v>
      </c>
    </row>
    <row r="20" spans="1:221" x14ac:dyDescent="0.25">
      <c r="A20" t="s">
        <v>158</v>
      </c>
      <c r="D20" s="4">
        <f>C15</f>
        <v>0</v>
      </c>
      <c r="E20" s="152" t="s">
        <v>19</v>
      </c>
      <c r="F20" s="1" t="s">
        <v>82</v>
      </c>
      <c r="G20" s="169"/>
      <c r="H20" s="181"/>
      <c r="I20" s="181">
        <v>2.05802E-2</v>
      </c>
      <c r="J20" s="181">
        <f>SUM(G20:I20)</f>
        <v>2.05802E-2</v>
      </c>
      <c r="K20" s="154" t="s">
        <v>87</v>
      </c>
      <c r="L20" s="182"/>
      <c r="M20" s="182"/>
      <c r="N20" s="182">
        <f>ROUND($D20*I20,2)</f>
        <v>0</v>
      </c>
      <c r="O20" s="89">
        <f>+SUM(L20:N20)</f>
        <v>0</v>
      </c>
      <c r="P20" s="92">
        <v>44531</v>
      </c>
    </row>
    <row r="21" spans="1:221" x14ac:dyDescent="0.25">
      <c r="A21" s="153" t="s">
        <v>132</v>
      </c>
      <c r="B21" s="144"/>
      <c r="C21" s="144"/>
      <c r="D21" s="170"/>
      <c r="E21" s="170"/>
      <c r="F21" s="144"/>
      <c r="G21" s="144"/>
      <c r="I21" s="171"/>
      <c r="K21" s="172"/>
      <c r="L21" s="173"/>
      <c r="M21" s="174"/>
      <c r="N21" s="173">
        <f>SUM(N19:N20)</f>
        <v>9.4</v>
      </c>
      <c r="O21" s="173">
        <f>SUM(O19:O20)</f>
        <v>9.4</v>
      </c>
    </row>
    <row r="22" spans="1:221" x14ac:dyDescent="0.25">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85</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86</v>
      </c>
      <c r="B25" s="110"/>
      <c r="C25" s="110"/>
      <c r="D25" s="111">
        <f>IF($C$15&lt;0,0,IF($C$15&gt;833000,833000,$C$15))</f>
        <v>0</v>
      </c>
      <c r="E25" s="97" t="s">
        <v>19</v>
      </c>
      <c r="F25" s="84" t="s">
        <v>82</v>
      </c>
      <c r="G25" s="100"/>
      <c r="H25" s="100"/>
      <c r="I25" s="100">
        <f>'Rider Rates'!$B$4</f>
        <v>4.6278999999999999E-3</v>
      </c>
      <c r="J25" s="175">
        <f t="shared" ref="J25:J46" si="0">SUM(G25:I25)</f>
        <v>4.6278999999999999E-3</v>
      </c>
      <c r="K25" s="94" t="s">
        <v>87</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88</v>
      </c>
      <c r="B26" s="72"/>
      <c r="C26" s="72"/>
      <c r="D26" s="4">
        <f>IF($C$15&gt;833000,$C$15-833000,0)</f>
        <v>0</v>
      </c>
      <c r="E26" s="97" t="s">
        <v>19</v>
      </c>
      <c r="F26" s="84" t="s">
        <v>82</v>
      </c>
      <c r="G26" s="100"/>
      <c r="H26" s="100"/>
      <c r="I26" s="100">
        <f>'Rider Rates'!$B$5</f>
        <v>1.7560000000000001E-4</v>
      </c>
      <c r="J26" s="175">
        <f t="shared" si="0"/>
        <v>1.7560000000000001E-4</v>
      </c>
      <c r="K26" s="94" t="s">
        <v>87</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89</v>
      </c>
      <c r="B27" s="72"/>
      <c r="C27" s="72"/>
      <c r="D27" s="4">
        <f>IF('Customer Info'!$C$33=TRUE,0,IF(C15&lt;0,0,IF(C15&gt;2000,2000,C15)))</f>
        <v>0</v>
      </c>
      <c r="E27" s="97" t="s">
        <v>19</v>
      </c>
      <c r="F27" s="84" t="s">
        <v>82</v>
      </c>
      <c r="G27" s="100"/>
      <c r="H27" s="100"/>
      <c r="I27" s="112">
        <f>'Rider Rates'!$B$8</f>
        <v>4.6499999999999996E-3</v>
      </c>
      <c r="J27" s="112">
        <f t="shared" si="0"/>
        <v>4.6499999999999996E-3</v>
      </c>
      <c r="K27" s="94" t="s">
        <v>87</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90</v>
      </c>
      <c r="B28" s="72"/>
      <c r="C28" s="72"/>
      <c r="D28" s="4">
        <f>IF('Customer Info'!$C$33=TRUE,0,IF(C15&gt;15000,13000,IF(C15&gt;2000,C15-2000,0)))</f>
        <v>0</v>
      </c>
      <c r="E28" s="97" t="s">
        <v>19</v>
      </c>
      <c r="F28" s="84" t="s">
        <v>82</v>
      </c>
      <c r="G28" s="100"/>
      <c r="H28" s="100"/>
      <c r="I28" s="112">
        <f>'Rider Rates'!$B$9</f>
        <v>4.1900000000000001E-3</v>
      </c>
      <c r="J28" s="112">
        <f t="shared" si="0"/>
        <v>4.1900000000000001E-3</v>
      </c>
      <c r="K28" s="94" t="s">
        <v>87</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91</v>
      </c>
      <c r="B29" s="72"/>
      <c r="C29" s="72"/>
      <c r="D29" s="4">
        <f>IF('Customer Info'!$C$33=TRUE,0,IF(C15-D27-D28&gt;0,C15-D27-D28,0))</f>
        <v>0</v>
      </c>
      <c r="E29" s="97" t="s">
        <v>19</v>
      </c>
      <c r="F29" s="84" t="s">
        <v>82</v>
      </c>
      <c r="G29" s="100"/>
      <c r="H29" s="100"/>
      <c r="I29" s="112">
        <f>'Rider Rates'!$B$10</f>
        <v>3.63E-3</v>
      </c>
      <c r="J29" s="112">
        <f t="shared" si="0"/>
        <v>3.63E-3</v>
      </c>
      <c r="K29" s="94" t="s">
        <v>87</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93</v>
      </c>
      <c r="B30" s="72"/>
      <c r="C30" s="72"/>
      <c r="D30" s="113">
        <f>$N$21</f>
        <v>9.4</v>
      </c>
      <c r="E30" s="97" t="s">
        <v>94</v>
      </c>
      <c r="F30" s="84" t="s">
        <v>82</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95</v>
      </c>
      <c r="B31" s="72"/>
      <c r="C31" s="72"/>
      <c r="D31" s="111">
        <f>'Customer Info'!$B$22+'Customer Info'!$B$23</f>
        <v>0</v>
      </c>
      <c r="E31" s="97" t="s">
        <v>19</v>
      </c>
      <c r="F31" s="84" t="s">
        <v>82</v>
      </c>
      <c r="G31" s="100">
        <f>'Rider Rates'!B22</f>
        <v>7.0209999999999995E-2</v>
      </c>
      <c r="H31" s="100"/>
      <c r="I31" s="100"/>
      <c r="J31" s="115">
        <f>SUM(G31:H31)</f>
        <v>7.0209999999999995E-2</v>
      </c>
      <c r="K31" s="94" t="s">
        <v>87</v>
      </c>
      <c r="L31" s="89">
        <f>ROUND(D31*G31,2)</f>
        <v>0</v>
      </c>
      <c r="M31" s="89"/>
      <c r="N31" s="89"/>
      <c r="O31" s="89">
        <f t="shared" si="1"/>
        <v>0</v>
      </c>
      <c r="P31" s="92">
        <f>'Rider Rates'!$D$21</f>
        <v>45444</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2" t="s">
        <v>148</v>
      </c>
      <c r="B32" s="72"/>
      <c r="C32" s="72"/>
      <c r="D32" s="4">
        <f>'Customer Info'!B22</f>
        <v>0</v>
      </c>
      <c r="E32" s="97" t="s">
        <v>19</v>
      </c>
      <c r="F32" s="84" t="s">
        <v>82</v>
      </c>
      <c r="G32" s="100">
        <f>'Rider Rates'!$B$40</f>
        <v>8.1709E-3</v>
      </c>
      <c r="H32" s="100"/>
      <c r="I32" s="100"/>
      <c r="J32" s="115">
        <f>SUM(G32:H32)</f>
        <v>8.1709E-3</v>
      </c>
      <c r="K32" s="94" t="s">
        <v>87</v>
      </c>
      <c r="L32" s="89">
        <f>ROUND(D32*G32,2)</f>
        <v>0</v>
      </c>
      <c r="M32" s="89"/>
      <c r="N32" s="89"/>
      <c r="O32" s="89">
        <f t="shared" si="1"/>
        <v>0</v>
      </c>
      <c r="P32" s="92">
        <f>'Rider Rates'!$D$40</f>
        <v>45444</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149</v>
      </c>
      <c r="B33" s="72"/>
      <c r="C33" s="72"/>
      <c r="D33" s="4">
        <f>'Customer Info'!B23</f>
        <v>0</v>
      </c>
      <c r="E33" s="97" t="s">
        <v>19</v>
      </c>
      <c r="F33" s="84" t="s">
        <v>82</v>
      </c>
      <c r="G33" s="100">
        <f>'Rider Rates'!$B$41</f>
        <v>2.7900000000000001E-5</v>
      </c>
      <c r="H33" s="100"/>
      <c r="I33" s="100"/>
      <c r="J33" s="115">
        <f>SUM(G33:H33)</f>
        <v>2.7900000000000001E-5</v>
      </c>
      <c r="K33" s="94" t="s">
        <v>87</v>
      </c>
      <c r="L33" s="89">
        <f>ROUND(D33*G33,2)</f>
        <v>0</v>
      </c>
      <c r="M33" s="89"/>
      <c r="N33" s="89"/>
      <c r="O33" s="89">
        <f t="shared" si="1"/>
        <v>0</v>
      </c>
      <c r="P33" s="92">
        <f>'Rider Rates'!$D$41</f>
        <v>45444</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97</v>
      </c>
      <c r="B34" s="72"/>
      <c r="C34" s="72"/>
      <c r="D34" s="111">
        <f>'Customer Info'!$B$22+'Customer Info'!$B$23</f>
        <v>0</v>
      </c>
      <c r="E34" s="97" t="s">
        <v>19</v>
      </c>
      <c r="F34" s="84" t="s">
        <v>82</v>
      </c>
      <c r="G34" s="100">
        <f>'Rider Rates'!$B$49</f>
        <v>4.5009999999999999E-4</v>
      </c>
      <c r="H34" s="100"/>
      <c r="I34" s="100"/>
      <c r="J34" s="115">
        <f>SUM(G34:H34)</f>
        <v>4.5009999999999999E-4</v>
      </c>
      <c r="K34" s="94" t="s">
        <v>87</v>
      </c>
      <c r="L34" s="89">
        <f>ROUND(D34*G34,2)</f>
        <v>0</v>
      </c>
      <c r="M34" s="89"/>
      <c r="N34" s="89"/>
      <c r="O34" s="89">
        <f t="shared" si="1"/>
        <v>0</v>
      </c>
      <c r="P34" s="92">
        <f>'Rider Rates'!$D$49</f>
        <v>45657</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2" t="s">
        <v>98</v>
      </c>
      <c r="B35" s="72"/>
      <c r="C35" s="72"/>
      <c r="D35" s="111">
        <f>IF($C$15&lt;0,0,IF($C$15&gt;833000,833000,$C$15))</f>
        <v>0</v>
      </c>
      <c r="E35" s="97" t="s">
        <v>19</v>
      </c>
      <c r="F35" s="84" t="s">
        <v>82</v>
      </c>
      <c r="G35" s="100"/>
      <c r="H35" s="100"/>
      <c r="I35" s="100">
        <f>'Rider Rates'!D53</f>
        <v>1.8006999999999999E-3</v>
      </c>
      <c r="J35" s="100">
        <f>SUM(G35:I35)</f>
        <v>1.8006999999999999E-3</v>
      </c>
      <c r="K35" s="94" t="s">
        <v>87</v>
      </c>
      <c r="L35" s="89"/>
      <c r="M35" s="89"/>
      <c r="N35" s="89">
        <f>D35*J35</f>
        <v>0</v>
      </c>
      <c r="O35" s="89">
        <f t="shared" si="1"/>
        <v>0</v>
      </c>
      <c r="P35" s="92">
        <f>'Rider Rates'!E53</f>
        <v>45658</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99</v>
      </c>
      <c r="B36" s="72"/>
      <c r="C36" s="72"/>
      <c r="D36" s="111">
        <f>IF($C$15&lt;0,0,$C$15)</f>
        <v>0</v>
      </c>
      <c r="E36" s="97" t="s">
        <v>19</v>
      </c>
      <c r="F36" s="84" t="s">
        <v>82</v>
      </c>
      <c r="G36" s="100"/>
      <c r="H36" s="100">
        <f>'Rider Rates'!$B$60</f>
        <v>2.3467399999999999E-2</v>
      </c>
      <c r="I36" s="100"/>
      <c r="J36" s="100">
        <f>SUM(G36:I36)</f>
        <v>2.3467399999999999E-2</v>
      </c>
      <c r="K36" s="94" t="s">
        <v>87</v>
      </c>
      <c r="L36" s="89"/>
      <c r="M36" s="89">
        <f>ROUND(D36*H36,2)</f>
        <v>0</v>
      </c>
      <c r="N36" s="116"/>
      <c r="O36" s="89">
        <f t="shared" si="1"/>
        <v>0</v>
      </c>
      <c r="P36" s="92">
        <f>'Rider Rates'!$D$60</f>
        <v>45383</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101</v>
      </c>
      <c r="B37" s="72"/>
      <c r="C37" s="72"/>
      <c r="D37" s="111">
        <f>IF('Customer Info'!C35=TRUE,0,IF($C$15&lt;0,0,$C$15))</f>
        <v>0</v>
      </c>
      <c r="E37" s="97" t="s">
        <v>19</v>
      </c>
      <c r="F37" s="84" t="s">
        <v>82</v>
      </c>
      <c r="G37" s="100"/>
      <c r="H37" s="100"/>
      <c r="I37" s="100">
        <f>'Rider Rates'!$B$76+'Rider Rates'!$C$76</f>
        <v>0</v>
      </c>
      <c r="J37" s="100">
        <f>SUM(G37:I37)</f>
        <v>0</v>
      </c>
      <c r="K37" s="94" t="s">
        <v>87</v>
      </c>
      <c r="L37" s="89"/>
      <c r="M37" s="89"/>
      <c r="N37" s="189">
        <f>ROUND($D$37*'Rider Rates'!$B$76,2)+ROUND($D$37*'Rider Rates'!$C$76,2)</f>
        <v>0</v>
      </c>
      <c r="O37" s="89">
        <f>SUM(L37:N37)</f>
        <v>0</v>
      </c>
      <c r="P37" s="92">
        <f>'Rider Rates'!$D$76</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101</v>
      </c>
      <c r="B38" s="72"/>
      <c r="C38" s="72"/>
      <c r="D38" s="111"/>
      <c r="E38" s="97" t="s">
        <v>57</v>
      </c>
      <c r="F38" s="84"/>
      <c r="G38" s="100"/>
      <c r="H38" s="100"/>
      <c r="I38" s="121">
        <f>'Rider Rates'!$B$82</f>
        <v>0</v>
      </c>
      <c r="J38" s="121">
        <f>IF('Customer Info'!C35=TRUE,0,SUM(G38:I38))</f>
        <v>0</v>
      </c>
      <c r="K38" s="94"/>
      <c r="L38" s="89"/>
      <c r="M38" s="89"/>
      <c r="N38" s="89">
        <f>J38</f>
        <v>0</v>
      </c>
      <c r="O38" s="89">
        <f>SUM(L38:N38)</f>
        <v>0</v>
      </c>
      <c r="P38" s="92">
        <f>'Rider Rates'!$D$82</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102</v>
      </c>
      <c r="B39" s="72"/>
      <c r="C39" s="72"/>
      <c r="D39" s="113">
        <f>$N$21</f>
        <v>9.4</v>
      </c>
      <c r="E39" s="97" t="s">
        <v>94</v>
      </c>
      <c r="F39" s="84" t="s">
        <v>82</v>
      </c>
      <c r="G39" s="117"/>
      <c r="H39" s="118"/>
      <c r="I39" s="119">
        <f>'Rider Rates'!$B$89</f>
        <v>4.94232E-2</v>
      </c>
      <c r="J39" s="119">
        <f t="shared" si="0"/>
        <v>4.94232E-2</v>
      </c>
      <c r="K39" s="94"/>
      <c r="L39" s="89"/>
      <c r="M39" s="89"/>
      <c r="N39" s="89">
        <f>ROUND(D39*I39,2)</f>
        <v>0.46</v>
      </c>
      <c r="O39" s="89">
        <f>SUM(L39:N39)</f>
        <v>0.46</v>
      </c>
      <c r="P39" s="92">
        <f>'Rider Rates'!$D$89</f>
        <v>45562</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103</v>
      </c>
      <c r="B40" s="72"/>
      <c r="C40" s="72"/>
      <c r="D40" s="113">
        <f>$N$21</f>
        <v>9.4</v>
      </c>
      <c r="E40" s="97" t="s">
        <v>94</v>
      </c>
      <c r="F40" s="84" t="s">
        <v>82</v>
      </c>
      <c r="G40" s="120"/>
      <c r="H40" s="85"/>
      <c r="I40" s="119">
        <f>'Rider Rates'!$B$91</f>
        <v>6.6985699999999995E-2</v>
      </c>
      <c r="J40" s="119">
        <f t="shared" si="0"/>
        <v>6.6985699999999995E-2</v>
      </c>
      <c r="K40" s="94"/>
      <c r="L40" s="89"/>
      <c r="M40" s="89"/>
      <c r="N40" s="89">
        <f>ROUND(D40*I40,2)</f>
        <v>0.63</v>
      </c>
      <c r="O40" s="89">
        <f>SUM(L40:N40)</f>
        <v>0.63</v>
      </c>
      <c r="P40" s="92">
        <f>'Rider Rates'!$D$91</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104</v>
      </c>
      <c r="B41" s="72"/>
      <c r="C41" s="72"/>
      <c r="D41" s="113"/>
      <c r="E41" s="97" t="s">
        <v>57</v>
      </c>
      <c r="F41" s="84"/>
      <c r="G41" s="120"/>
      <c r="H41" s="85"/>
      <c r="I41" s="121">
        <f>'Rider Rates'!$B$95</f>
        <v>17.53</v>
      </c>
      <c r="J41" s="121">
        <f t="shared" si="0"/>
        <v>17.53</v>
      </c>
      <c r="K41" s="94"/>
      <c r="L41" s="89"/>
      <c r="M41" s="89"/>
      <c r="N41" s="89">
        <f>I41</f>
        <v>17.53</v>
      </c>
      <c r="O41" s="89">
        <f>SUM(L41:N41)</f>
        <v>17.53</v>
      </c>
      <c r="P41" s="92">
        <f>'Rider Rates'!$D$95</f>
        <v>45657</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178</v>
      </c>
      <c r="B42" s="72"/>
      <c r="C42" s="72"/>
      <c r="D42" s="111">
        <f>$D$25</f>
        <v>0</v>
      </c>
      <c r="E42" s="97" t="s">
        <v>19</v>
      </c>
      <c r="F42" s="84" t="s">
        <v>82</v>
      </c>
      <c r="G42" s="100"/>
      <c r="H42" s="100"/>
      <c r="I42" s="100"/>
      <c r="J42" s="100">
        <f>'Rider Rates'!$B$102</f>
        <v>0</v>
      </c>
      <c r="K42" s="94" t="s">
        <v>87</v>
      </c>
      <c r="L42" s="89"/>
      <c r="M42" s="89"/>
      <c r="N42" s="89"/>
      <c r="O42" s="89">
        <f>ROUND($D42*('Rider Rates'!B$102),2)</f>
        <v>0</v>
      </c>
      <c r="P42" s="92">
        <f>'Rider Rates'!$D$102</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179</v>
      </c>
      <c r="B43" s="72"/>
      <c r="C43" s="72"/>
      <c r="D43" s="111">
        <f>$D$26</f>
        <v>0</v>
      </c>
      <c r="E43" s="97"/>
      <c r="F43" s="84"/>
      <c r="G43" s="100"/>
      <c r="H43" s="100"/>
      <c r="I43" s="100"/>
      <c r="J43" s="100">
        <f>'Rider Rates'!$B$103</f>
        <v>0</v>
      </c>
      <c r="K43" s="94" t="s">
        <v>87</v>
      </c>
      <c r="L43" s="89"/>
      <c r="M43" s="89"/>
      <c r="N43" s="89"/>
      <c r="O43" s="89">
        <f>ROUND($D43*('Rider Rates'!B$103),2)</f>
        <v>0</v>
      </c>
      <c r="P43" s="92">
        <f>'Rider Rates'!$D$103</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106</v>
      </c>
      <c r="B44" s="72"/>
      <c r="C44" s="72"/>
      <c r="D44" s="113">
        <f>$N$21</f>
        <v>9.4</v>
      </c>
      <c r="E44" s="97" t="s">
        <v>94</v>
      </c>
      <c r="F44" s="84" t="s">
        <v>82</v>
      </c>
      <c r="G44" s="120"/>
      <c r="H44" s="85"/>
      <c r="I44" s="119">
        <f>'Rider Rates'!$B$109</f>
        <v>0.2363101</v>
      </c>
      <c r="J44" s="119">
        <f t="shared" si="0"/>
        <v>0.2363101</v>
      </c>
      <c r="K44" s="94"/>
      <c r="L44" s="89"/>
      <c r="M44" s="89"/>
      <c r="N44" s="89">
        <f>ROUND(D44*I44,2)</f>
        <v>2.2200000000000002</v>
      </c>
      <c r="O44" s="89">
        <f t="shared" ref="O44:O50" si="2">SUM(L44:N44)</f>
        <v>2.2200000000000002</v>
      </c>
      <c r="P44" s="92">
        <f>'Rider Rates'!$D$109</f>
        <v>45622</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107</v>
      </c>
      <c r="B45" s="72"/>
      <c r="C45" s="72"/>
      <c r="D45" s="113"/>
      <c r="E45" s="97" t="s">
        <v>57</v>
      </c>
      <c r="F45" s="84"/>
      <c r="G45" s="120"/>
      <c r="H45" s="85"/>
      <c r="I45" s="121">
        <f>'Rider Rates'!$B$113</f>
        <v>0</v>
      </c>
      <c r="J45" s="121">
        <f t="shared" si="0"/>
        <v>0</v>
      </c>
      <c r="K45" s="94"/>
      <c r="L45" s="89"/>
      <c r="M45" s="89"/>
      <c r="N45" s="89">
        <f>I45</f>
        <v>0</v>
      </c>
      <c r="O45" s="89">
        <f t="shared" si="2"/>
        <v>0</v>
      </c>
      <c r="P45" s="92">
        <f>'Rider Rates'!$D$113</f>
        <v>44894</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180</v>
      </c>
      <c r="B46" s="72"/>
      <c r="C46" s="72"/>
      <c r="D46" s="113"/>
      <c r="E46" s="97" t="s">
        <v>57</v>
      </c>
      <c r="F46" s="84"/>
      <c r="G46" s="120"/>
      <c r="H46" s="85"/>
      <c r="I46" s="123">
        <f>'Rider Rates'!B126</f>
        <v>4.84</v>
      </c>
      <c r="J46" s="121">
        <f t="shared" si="0"/>
        <v>4.84</v>
      </c>
      <c r="K46" s="94"/>
      <c r="L46" s="89"/>
      <c r="M46" s="89"/>
      <c r="N46" s="125">
        <f>'Rider Rates'!B126</f>
        <v>4.84</v>
      </c>
      <c r="O46" s="89">
        <f t="shared" si="2"/>
        <v>4.84</v>
      </c>
      <c r="P46" s="92">
        <f>'Rider Rates'!D126</f>
        <v>45593</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109</v>
      </c>
      <c r="B47" s="72"/>
      <c r="C47" s="72"/>
      <c r="D47" s="111">
        <f>'Customer Info'!$B$22+'Customer Info'!$B$23</f>
        <v>0</v>
      </c>
      <c r="E47" s="97" t="s">
        <v>19</v>
      </c>
      <c r="F47" s="84" t="s">
        <v>82</v>
      </c>
      <c r="G47" s="100">
        <f>'Rider Rates'!$B$116</f>
        <v>3.8972999999999998E-3</v>
      </c>
      <c r="H47" s="100"/>
      <c r="I47" s="119"/>
      <c r="J47" s="115">
        <f>SUM(G47:H47)</f>
        <v>3.8972999999999998E-3</v>
      </c>
      <c r="K47" s="94" t="s">
        <v>87</v>
      </c>
      <c r="L47" s="89">
        <f>ROUND(D47*G47,2)</f>
        <v>0</v>
      </c>
      <c r="M47" s="89"/>
      <c r="N47" s="89"/>
      <c r="O47" s="89">
        <f t="shared" si="2"/>
        <v>0</v>
      </c>
      <c r="P47" s="92">
        <f>'Rider Rates'!$D$116</f>
        <v>44531</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110</v>
      </c>
      <c r="B48" s="72"/>
      <c r="C48" s="72"/>
      <c r="D48" s="111">
        <f>IF($C$15&lt;1,0,$C$15)</f>
        <v>0</v>
      </c>
      <c r="E48" s="97" t="s">
        <v>19</v>
      </c>
      <c r="F48" s="126" t="s">
        <v>82</v>
      </c>
      <c r="G48" s="99"/>
      <c r="H48" s="99"/>
      <c r="I48" s="183">
        <f>'Rider Rates'!B122</f>
        <v>0</v>
      </c>
      <c r="J48" s="183">
        <f>SUM(G48:I48)</f>
        <v>0</v>
      </c>
      <c r="K48" s="94" t="s">
        <v>87</v>
      </c>
      <c r="L48" s="89"/>
      <c r="M48" s="89"/>
      <c r="N48" s="89">
        <f>D48*J48</f>
        <v>0</v>
      </c>
      <c r="O48" s="89">
        <f t="shared" si="2"/>
        <v>0</v>
      </c>
      <c r="P48" s="92">
        <f>'Rider Rates'!D122</f>
        <v>45657</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2" t="s">
        <v>169</v>
      </c>
      <c r="B49" s="72"/>
      <c r="C49" s="72"/>
      <c r="D49" s="111">
        <f>IF(C15&lt;0,0,IF(C15&gt;833000,833000,C15))</f>
        <v>0</v>
      </c>
      <c r="E49" s="97" t="s">
        <v>19</v>
      </c>
      <c r="F49" s="84" t="s">
        <v>82</v>
      </c>
      <c r="G49" s="195"/>
      <c r="H49" s="195"/>
      <c r="I49" s="195">
        <f>'Rider Rates'!$B$130</f>
        <v>2.9050000000000001E-4</v>
      </c>
      <c r="J49" s="195">
        <f>SUM(G49:I49)</f>
        <v>2.9050000000000001E-4</v>
      </c>
      <c r="K49" s="94" t="s">
        <v>87</v>
      </c>
      <c r="L49" s="196"/>
      <c r="M49" s="196"/>
      <c r="N49" s="196">
        <f>IF(D49*J49&gt;'Rider Rates'!$C$130,'Rider Rates'!$C$130,D49*J49)</f>
        <v>0</v>
      </c>
      <c r="O49" s="196">
        <f t="shared" si="2"/>
        <v>0</v>
      </c>
      <c r="P49" s="129">
        <f>'Rider Rates'!$E$130</f>
        <v>45658</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170</v>
      </c>
      <c r="B50" s="72"/>
      <c r="C50" s="72"/>
      <c r="D50" s="4">
        <f>IF(C15&gt;833000,C15-833000,0)</f>
        <v>0</v>
      </c>
      <c r="E50" s="97" t="s">
        <v>19</v>
      </c>
      <c r="F50" s="84" t="s">
        <v>82</v>
      </c>
      <c r="G50" s="195"/>
      <c r="H50" s="195"/>
      <c r="I50" s="195">
        <f>'Rider Rates'!$B$131</f>
        <v>0</v>
      </c>
      <c r="J50" s="195">
        <f>SUM(G50:I50)</f>
        <v>0</v>
      </c>
      <c r="K50" s="94" t="s">
        <v>87</v>
      </c>
      <c r="L50" s="196"/>
      <c r="M50" s="196"/>
      <c r="N50" s="196">
        <f>D50*J50</f>
        <v>0</v>
      </c>
      <c r="O50" s="196">
        <f t="shared" si="2"/>
        <v>0</v>
      </c>
      <c r="P50" s="129">
        <f>'Rider Rates'!$E$131</f>
        <v>45658</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112</v>
      </c>
      <c r="B51" s="72"/>
      <c r="C51" s="72"/>
      <c r="D51" s="111">
        <f>C14</f>
        <v>0</v>
      </c>
      <c r="E51" s="97" t="s">
        <v>19</v>
      </c>
      <c r="F51" s="126" t="s">
        <v>82</v>
      </c>
      <c r="G51" s="100"/>
      <c r="H51" s="100"/>
      <c r="I51" s="100">
        <f>'Rider Rates'!$B$135</f>
        <v>0</v>
      </c>
      <c r="J51" s="115">
        <f>SUM(G51:I51)</f>
        <v>0</v>
      </c>
      <c r="K51" s="94" t="s">
        <v>87</v>
      </c>
      <c r="L51" s="89"/>
      <c r="M51" s="89"/>
      <c r="N51" s="89">
        <f>D51*J51</f>
        <v>0</v>
      </c>
      <c r="O51" s="89">
        <f>SUM(L51:N51)</f>
        <v>0</v>
      </c>
      <c r="P51" s="92">
        <f>'Rider Rates'!$D$135</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113</v>
      </c>
      <c r="B52" s="72"/>
      <c r="C52" s="72"/>
      <c r="D52" s="111"/>
      <c r="E52" s="97" t="s">
        <v>57</v>
      </c>
      <c r="F52" s="84" t="s">
        <v>82</v>
      </c>
      <c r="G52" s="127"/>
      <c r="H52" s="127"/>
      <c r="I52" s="127">
        <f>'Rider Rates'!$B$142</f>
        <v>0</v>
      </c>
      <c r="J52" s="127">
        <f>SUM(G52:I52)</f>
        <v>0</v>
      </c>
      <c r="K52" s="94"/>
      <c r="L52" s="128"/>
      <c r="M52" s="128"/>
      <c r="N52" s="128">
        <f>J52</f>
        <v>0</v>
      </c>
      <c r="O52" s="128">
        <f>SUM(L52:N52)</f>
        <v>0</v>
      </c>
      <c r="P52" s="129">
        <f>'Rider Rates'!$D$142</f>
        <v>44531</v>
      </c>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114</v>
      </c>
      <c r="B53" s="72"/>
      <c r="C53" s="72"/>
      <c r="D53" s="111"/>
      <c r="E53" s="97"/>
      <c r="F53" s="84"/>
      <c r="G53" s="127"/>
      <c r="H53" s="127"/>
      <c r="I53" s="127"/>
      <c r="J53" s="127"/>
      <c r="K53" s="94"/>
      <c r="L53" s="128"/>
      <c r="M53" s="128"/>
      <c r="N53" s="128"/>
      <c r="O53" s="128"/>
      <c r="P53" s="129"/>
      <c r="Q53" s="203"/>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130" t="s">
        <v>115</v>
      </c>
      <c r="B54" s="69"/>
      <c r="C54" s="69"/>
      <c r="D54" s="131"/>
      <c r="E54" s="132"/>
      <c r="F54" s="133"/>
      <c r="G54" s="133"/>
      <c r="H54" s="133"/>
      <c r="I54" s="133"/>
      <c r="J54" s="133"/>
      <c r="K54" s="134"/>
      <c r="L54" s="105">
        <f>SUM(L25:L53)</f>
        <v>0</v>
      </c>
      <c r="M54" s="105">
        <f>SUM(M25:M53)</f>
        <v>0</v>
      </c>
      <c r="N54" s="105">
        <f>SUM(N25:N53)</f>
        <v>25.68</v>
      </c>
      <c r="O54" s="105">
        <f>SUM(O25:O53)</f>
        <v>25.68</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c r="B55" s="72"/>
      <c r="C55" s="72"/>
      <c r="D55" s="111"/>
      <c r="E55" s="97"/>
      <c r="F55" s="84"/>
      <c r="G55" s="84"/>
      <c r="H55" s="84"/>
      <c r="I55" s="84"/>
      <c r="J55" s="101"/>
      <c r="K55" s="94"/>
      <c r="L55" s="84"/>
      <c r="M55" s="105"/>
      <c r="N55" s="84"/>
      <c r="O55" s="84"/>
      <c r="P55" s="137"/>
      <c r="Q55" s="84"/>
      <c r="R55" s="197"/>
      <c r="S55" s="94"/>
      <c r="T55" s="95"/>
      <c r="U55" s="72"/>
      <c r="V55" s="94"/>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204" t="s">
        <v>181</v>
      </c>
      <c r="B56" s="106"/>
      <c r="C56" s="106"/>
      <c r="D56" s="106"/>
      <c r="E56" s="106"/>
      <c r="F56" s="106"/>
      <c r="G56" s="106"/>
      <c r="H56" s="106"/>
      <c r="I56" s="106"/>
      <c r="J56" s="106"/>
      <c r="K56" s="106"/>
      <c r="L56" s="139">
        <f>L21+L54</f>
        <v>0</v>
      </c>
      <c r="M56" s="139">
        <f>M21+M54</f>
        <v>0</v>
      </c>
      <c r="N56" s="139">
        <f>N21+N54</f>
        <v>35.08</v>
      </c>
      <c r="O56" s="140">
        <f>O21+O54</f>
        <v>35.08</v>
      </c>
      <c r="P56" s="140"/>
      <c r="Q56" s="84"/>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84"/>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85"/>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02" t="s">
        <v>117</v>
      </c>
      <c r="B59" s="72"/>
      <c r="C59" s="72"/>
      <c r="D59" s="102"/>
      <c r="E59" s="72"/>
      <c r="F59" s="72"/>
      <c r="G59" s="72"/>
      <c r="H59" s="72"/>
      <c r="I59" s="72"/>
      <c r="J59" s="72"/>
      <c r="K59" s="72"/>
      <c r="L59" s="72"/>
      <c r="M59" s="72"/>
      <c r="N59" s="72"/>
      <c r="O59" s="95">
        <f>O19+O54</f>
        <v>35.08</v>
      </c>
      <c r="P59" s="72"/>
      <c r="Q59" s="10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85"/>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69" t="s">
        <v>118</v>
      </c>
      <c r="B61" s="72"/>
      <c r="C61" s="72"/>
      <c r="D61" s="72"/>
      <c r="E61" s="72"/>
      <c r="F61" s="72"/>
      <c r="G61" s="72"/>
      <c r="H61" s="72"/>
      <c r="I61" s="72"/>
      <c r="J61" s="72"/>
      <c r="K61" s="72"/>
      <c r="L61" s="72"/>
      <c r="M61" s="72"/>
      <c r="N61" s="72"/>
      <c r="O61" s="141">
        <f>IF($C$15&lt;0,O56,IF(O56&gt;O59,O56,O59))</f>
        <v>35.08</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185"/>
    </row>
    <row r="63" spans="1:221" x14ac:dyDescent="0.25">
      <c r="A63" s="185"/>
      <c r="I63" s="102" t="s">
        <v>119</v>
      </c>
      <c r="J63" s="102"/>
      <c r="K63" s="102"/>
      <c r="L63" s="143"/>
      <c r="M63" s="143"/>
      <c r="N63" s="143"/>
      <c r="O63" s="143">
        <f>ROUND(IF($C$15&lt;1,0,O56/($C$15*100)*10000),2)</f>
        <v>0</v>
      </c>
      <c r="P63" s="144" t="s">
        <v>120</v>
      </c>
    </row>
    <row r="64" spans="1:221" x14ac:dyDescent="0.25">
      <c r="A64" s="185"/>
      <c r="I64" s="146"/>
      <c r="J64" s="72"/>
      <c r="K64" s="72"/>
      <c r="L64" s="72"/>
      <c r="M64" s="72"/>
      <c r="N64" s="72"/>
      <c r="O64" s="147"/>
      <c r="P64" s="59"/>
    </row>
    <row r="65" spans="1:1" x14ac:dyDescent="0.25">
      <c r="A65" s="185"/>
    </row>
    <row r="66" spans="1:1" x14ac:dyDescent="0.25">
      <c r="A66" s="185"/>
    </row>
    <row r="67" spans="1:1" x14ac:dyDescent="0.25">
      <c r="A67" s="185"/>
    </row>
    <row r="68" spans="1:1" x14ac:dyDescent="0.25">
      <c r="A68" s="185"/>
    </row>
    <row r="69" spans="1:1" x14ac:dyDescent="0.25">
      <c r="A69" s="185"/>
    </row>
    <row r="70" spans="1:1" x14ac:dyDescent="0.25">
      <c r="A70" s="185"/>
    </row>
    <row r="71" spans="1:1" x14ac:dyDescent="0.25">
      <c r="A71" s="185"/>
    </row>
  </sheetData>
  <sheetProtection algorithmName="SHA-512" hashValue="lyQ1KjAqdu6UF7v8HZ7dOsxDCiTbBulGNb7U+XbXe8Z81rsGEHHzGPUbTfIsjP2/y4MbHX9pKlsAj/qyh3OELw==" saltValue="a0Uv7wP+40HjkEml0DNQDg=="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373380</xdr:colOff>
                    <xdr:row>77</xdr:row>
                    <xdr:rowOff>7620</xdr:rowOff>
                  </from>
                  <to>
                    <xdr:col>14</xdr:col>
                    <xdr:colOff>723900</xdr:colOff>
                    <xdr:row>78</xdr:row>
                    <xdr:rowOff>68580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6"/>
  <sheetViews>
    <sheetView showGridLines="0" topLeftCell="A20" zoomScale="80" zoomScaleNormal="80" workbookViewId="0">
      <selection activeCell="B22" sqref="B22"/>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166</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5"/>
      <c r="B5" s="55"/>
      <c r="C5" s="55"/>
      <c r="D5" s="55"/>
      <c r="E5" s="55"/>
      <c r="F5" s="55"/>
      <c r="G5" s="55"/>
      <c r="H5" s="55"/>
      <c r="I5" s="55"/>
      <c r="J5" s="55"/>
      <c r="K5" s="55"/>
    </row>
    <row r="6" spans="1:30" x14ac:dyDescent="0.25">
      <c r="A6" s="56">
        <f ca="1">TODAY()</f>
        <v>45656</v>
      </c>
      <c r="B6" s="76" t="s">
        <v>171</v>
      </c>
      <c r="C6" s="56"/>
      <c r="D6" s="56"/>
      <c r="E6" s="56"/>
      <c r="F6" s="56"/>
      <c r="G6" s="56"/>
      <c r="H6" s="56"/>
      <c r="I6" s="56"/>
    </row>
    <row r="7" spans="1:30" ht="24.6" x14ac:dyDescent="0.4">
      <c r="A7" s="451"/>
      <c r="B7" s="451"/>
      <c r="C7" s="451"/>
      <c r="D7" s="451"/>
      <c r="E7" s="451"/>
      <c r="F7" s="451"/>
      <c r="G7" s="451"/>
      <c r="H7" s="451"/>
      <c r="I7" s="451"/>
      <c r="J7" s="451"/>
      <c r="K7" s="451"/>
      <c r="L7" s="451"/>
      <c r="M7" s="451"/>
      <c r="N7" s="451"/>
      <c r="O7" s="451"/>
      <c r="P7" s="451"/>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86"/>
      <c r="K12" s="186"/>
      <c r="L12" s="187"/>
      <c r="M12" s="187"/>
      <c r="N12" s="187"/>
      <c r="O12" s="187"/>
      <c r="P12" s="18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62" t="s">
        <v>70</v>
      </c>
      <c r="B13" s="163"/>
      <c r="C13" s="163"/>
      <c r="D13" s="163"/>
      <c r="E13" s="163"/>
      <c r="F13" s="163"/>
      <c r="G13" s="163"/>
      <c r="H13" s="163"/>
      <c r="I13" s="163"/>
      <c r="R13" s="44" t="s">
        <v>145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71</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t="s">
        <v>172</v>
      </c>
      <c r="B16" s="158"/>
      <c r="C16" s="159">
        <f>'Customer Info'!B22</f>
        <v>0</v>
      </c>
      <c r="D16" s="158" t="s">
        <v>19</v>
      </c>
      <c r="E16" s="158"/>
      <c r="F16" s="160"/>
      <c r="G16" s="57" t="s">
        <v>2</v>
      </c>
      <c r="H16" s="158"/>
    </row>
    <row r="17" spans="1:221" x14ac:dyDescent="0.25">
      <c r="A17" s="158" t="s">
        <v>173</v>
      </c>
      <c r="B17" s="158"/>
      <c r="C17" s="159">
        <f>'Customer Info'!B23</f>
        <v>0</v>
      </c>
      <c r="D17" s="198" t="s">
        <v>19</v>
      </c>
      <c r="E17" s="160"/>
      <c r="F17" s="160"/>
      <c r="G17" s="57" t="s">
        <v>2</v>
      </c>
      <c r="H17" s="158"/>
      <c r="I17" s="188" t="s">
        <v>2</v>
      </c>
    </row>
    <row r="19" spans="1:221" x14ac:dyDescent="0.25">
      <c r="A19" s="162" t="s">
        <v>72</v>
      </c>
      <c r="B19" s="163"/>
      <c r="C19" s="163"/>
      <c r="D19" s="163"/>
      <c r="E19" s="163"/>
      <c r="F19" s="163"/>
      <c r="G19" s="445" t="s">
        <v>73</v>
      </c>
      <c r="H19" s="446"/>
      <c r="I19" s="446"/>
      <c r="J19" s="447"/>
      <c r="K19" s="163"/>
      <c r="L19" s="448" t="s">
        <v>74</v>
      </c>
      <c r="M19" s="448"/>
      <c r="N19" s="448"/>
      <c r="O19" s="448"/>
    </row>
    <row r="20" spans="1:221" x14ac:dyDescent="0.25">
      <c r="G20" s="164" t="s">
        <v>75</v>
      </c>
      <c r="H20" s="164" t="s">
        <v>76</v>
      </c>
      <c r="I20" s="164" t="s">
        <v>77</v>
      </c>
      <c r="J20" s="118" t="s">
        <v>78</v>
      </c>
      <c r="L20" s="165" t="s">
        <v>75</v>
      </c>
      <c r="M20" s="165" t="s">
        <v>76</v>
      </c>
      <c r="N20" s="165" t="s">
        <v>77</v>
      </c>
      <c r="O20" s="165" t="s">
        <v>78</v>
      </c>
      <c r="P20" s="166" t="s">
        <v>79</v>
      </c>
    </row>
    <row r="21" spans="1:221" x14ac:dyDescent="0.25">
      <c r="A21" t="s">
        <v>80</v>
      </c>
      <c r="G21" s="189"/>
      <c r="H21" s="189"/>
      <c r="I21" s="189">
        <v>9.4</v>
      </c>
      <c r="J21" s="189">
        <f>SUM(G21:I21)</f>
        <v>9.4</v>
      </c>
      <c r="L21" s="190"/>
      <c r="M21" s="190"/>
      <c r="N21" s="190">
        <f>I21</f>
        <v>9.4</v>
      </c>
      <c r="O21" s="128">
        <f>SUM(L21:N21)</f>
        <v>9.4</v>
      </c>
      <c r="P21" s="92">
        <v>44531</v>
      </c>
    </row>
    <row r="22" spans="1:221" x14ac:dyDescent="0.25">
      <c r="A22" s="44" t="s">
        <v>174</v>
      </c>
      <c r="D22" s="4">
        <f>C15</f>
        <v>0</v>
      </c>
      <c r="E22" s="152" t="s">
        <v>19</v>
      </c>
      <c r="F22" s="1" t="s">
        <v>82</v>
      </c>
      <c r="G22" s="191"/>
      <c r="H22" s="191"/>
      <c r="I22" s="191">
        <v>2.05802E-2</v>
      </c>
      <c r="J22" s="191">
        <f>SUM(G22:I22)</f>
        <v>2.05802E-2</v>
      </c>
      <c r="K22" s="154" t="s">
        <v>87</v>
      </c>
      <c r="L22" s="189"/>
      <c r="M22" s="189"/>
      <c r="N22" s="189">
        <f>IF(C15&lt;0,0,ROUND($D22*I22,2))</f>
        <v>0</v>
      </c>
      <c r="O22" s="128">
        <f>SUM(L22:N22)</f>
        <v>0</v>
      </c>
      <c r="P22" s="92">
        <v>44531</v>
      </c>
    </row>
    <row r="23" spans="1:221" x14ac:dyDescent="0.25">
      <c r="A23" s="144" t="s">
        <v>84</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85</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86</v>
      </c>
      <c r="B27" s="110"/>
      <c r="C27" s="110"/>
      <c r="D27" s="111">
        <f>IF($C$15&lt;0,0,IF($C$15&gt;833000,833000,$C$15))</f>
        <v>0</v>
      </c>
      <c r="E27" s="97" t="s">
        <v>19</v>
      </c>
      <c r="F27" s="84" t="s">
        <v>82</v>
      </c>
      <c r="G27" s="100"/>
      <c r="H27" s="100"/>
      <c r="I27" s="100">
        <f>'Rider Rates'!$B$4</f>
        <v>4.6278999999999999E-3</v>
      </c>
      <c r="J27" s="100">
        <f t="shared" ref="J27:J48" si="0">SUM(G27:I27)</f>
        <v>4.6278999999999999E-3</v>
      </c>
      <c r="K27" s="94" t="s">
        <v>87</v>
      </c>
      <c r="L27" s="89"/>
      <c r="M27" s="89"/>
      <c r="N27" s="89">
        <f t="shared" ref="N27:N32" si="1">ROUND(D27*I27,2)</f>
        <v>0</v>
      </c>
      <c r="O27" s="89">
        <f t="shared" ref="O27:O49"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4">
        <f>IF($C$15&gt;833000,$C$15-833000,0)</f>
        <v>0</v>
      </c>
      <c r="E28" s="97" t="s">
        <v>19</v>
      </c>
      <c r="F28" s="84" t="s">
        <v>82</v>
      </c>
      <c r="G28" s="100"/>
      <c r="H28" s="100"/>
      <c r="I28" s="100">
        <f>'Rider Rates'!$B$5</f>
        <v>1.7560000000000001E-4</v>
      </c>
      <c r="J28" s="100">
        <f t="shared" si="0"/>
        <v>1.7560000000000001E-4</v>
      </c>
      <c r="K28" s="94" t="s">
        <v>87</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IF('Customer Info'!$C$33=TRUE,0,IF($C$15&lt;0,0,IF($C$15&gt;2000,2000,$C$15)))</f>
        <v>0</v>
      </c>
      <c r="E29" s="97" t="s">
        <v>19</v>
      </c>
      <c r="F29" s="84" t="s">
        <v>82</v>
      </c>
      <c r="G29" s="100"/>
      <c r="H29" s="100"/>
      <c r="I29" s="112">
        <f>'Rider Rates'!$B$8</f>
        <v>4.6499999999999996E-3</v>
      </c>
      <c r="J29" s="112">
        <f t="shared" si="0"/>
        <v>4.6499999999999996E-3</v>
      </c>
      <c r="K29" s="94" t="s">
        <v>87</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90</v>
      </c>
      <c r="B30" s="72"/>
      <c r="C30" s="72"/>
      <c r="D30" s="111">
        <f>IF('Customer Info'!$C$33=TRUE,0,IF($C$15&lt;=2000,0,IF($C$15=0,0,IF($C$15-2000&gt;13000,13000,$C$15-2000))))</f>
        <v>0</v>
      </c>
      <c r="E30" s="97" t="s">
        <v>19</v>
      </c>
      <c r="F30" s="84" t="s">
        <v>82</v>
      </c>
      <c r="G30" s="100"/>
      <c r="H30" s="100"/>
      <c r="I30" s="112">
        <f>'Rider Rates'!$B$9</f>
        <v>4.1900000000000001E-3</v>
      </c>
      <c r="J30" s="112">
        <f t="shared" si="0"/>
        <v>4.1900000000000001E-3</v>
      </c>
      <c r="K30" s="94" t="s">
        <v>87</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91</v>
      </c>
      <c r="B31" s="72"/>
      <c r="C31" s="72"/>
      <c r="D31" s="111">
        <f>IF('Customer Info'!$C$33=TRUE,0,IF($C$15=0,0,IF($C$15-15000&gt;=0,$C$15-15000,0)))</f>
        <v>0</v>
      </c>
      <c r="E31" s="97" t="s">
        <v>19</v>
      </c>
      <c r="F31" s="84" t="s">
        <v>82</v>
      </c>
      <c r="G31" s="100"/>
      <c r="H31" s="100"/>
      <c r="I31" s="112">
        <f>'Rider Rates'!$B$10</f>
        <v>3.63E-3</v>
      </c>
      <c r="J31" s="112">
        <f t="shared" si="0"/>
        <v>3.63E-3</v>
      </c>
      <c r="K31" s="94" t="s">
        <v>87</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92</v>
      </c>
      <c r="B32" s="72"/>
      <c r="C32" s="72"/>
      <c r="D32" s="111">
        <f>IF($C$15&lt;0,0,$C$15)</f>
        <v>0</v>
      </c>
      <c r="E32" s="97" t="s">
        <v>19</v>
      </c>
      <c r="F32" s="84" t="s">
        <v>82</v>
      </c>
      <c r="G32" s="100"/>
      <c r="H32" s="100"/>
      <c r="I32" s="100">
        <f>'Rider Rates'!$B$16</f>
        <v>0</v>
      </c>
      <c r="J32" s="100">
        <f>SUM(G32:I32)</f>
        <v>0</v>
      </c>
      <c r="K32" s="94" t="s">
        <v>87</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93</v>
      </c>
      <c r="B33" s="72"/>
      <c r="C33" s="72"/>
      <c r="D33" s="113">
        <f>$N$23</f>
        <v>9.4</v>
      </c>
      <c r="E33" s="97" t="s">
        <v>94</v>
      </c>
      <c r="F33" s="84" t="s">
        <v>82</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95</v>
      </c>
      <c r="B34" s="72"/>
      <c r="C34" s="72"/>
      <c r="D34" s="111">
        <f>C16+C17</f>
        <v>0</v>
      </c>
      <c r="E34" s="97" t="s">
        <v>19</v>
      </c>
      <c r="F34" s="84" t="s">
        <v>82</v>
      </c>
      <c r="G34" s="100">
        <f>'Rider Rates'!B22</f>
        <v>7.0209999999999995E-2</v>
      </c>
      <c r="H34" s="100"/>
      <c r="I34" s="100"/>
      <c r="J34" s="115">
        <f>SUM(G34:H34)</f>
        <v>7.0209999999999995E-2</v>
      </c>
      <c r="K34" s="94" t="s">
        <v>87</v>
      </c>
      <c r="L34" s="89">
        <f>ROUND(D34*G34,2)</f>
        <v>0</v>
      </c>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148</v>
      </c>
      <c r="B35" s="72"/>
      <c r="C35" s="72"/>
      <c r="D35" s="111">
        <f>C16</f>
        <v>0</v>
      </c>
      <c r="E35" s="97" t="s">
        <v>19</v>
      </c>
      <c r="F35" s="84" t="s">
        <v>82</v>
      </c>
      <c r="G35" s="100">
        <f>'Rider Rates'!B38</f>
        <v>2.28907E-2</v>
      </c>
      <c r="H35" s="100"/>
      <c r="I35" s="100"/>
      <c r="J35" s="115">
        <f>SUM(G35:H35)</f>
        <v>2.28907E-2</v>
      </c>
      <c r="K35" s="94" t="s">
        <v>87</v>
      </c>
      <c r="L35" s="89">
        <f>ROUND(D35*G35,2)</f>
        <v>0</v>
      </c>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149</v>
      </c>
      <c r="B36" s="72"/>
      <c r="C36" s="72"/>
      <c r="D36" s="111">
        <f>C17</f>
        <v>0</v>
      </c>
      <c r="E36" s="97" t="s">
        <v>19</v>
      </c>
      <c r="F36" s="126" t="s">
        <v>82</v>
      </c>
      <c r="G36" s="100">
        <f>'Rider Rates'!B39</f>
        <v>0</v>
      </c>
      <c r="H36" s="100"/>
      <c r="I36" s="100"/>
      <c r="J36" s="115">
        <f>SUM(G36:H36)</f>
        <v>0</v>
      </c>
      <c r="K36" s="94" t="s">
        <v>87</v>
      </c>
      <c r="L36" s="89">
        <f>ROUND(D36*G36,2)</f>
        <v>0</v>
      </c>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97</v>
      </c>
      <c r="B37" s="72"/>
      <c r="C37" s="72"/>
      <c r="D37" s="111">
        <f>C16+C17</f>
        <v>0</v>
      </c>
      <c r="E37" s="97" t="s">
        <v>19</v>
      </c>
      <c r="F37" s="84" t="s">
        <v>82</v>
      </c>
      <c r="G37" s="100">
        <f>'Rider Rates'!$B$49</f>
        <v>4.5009999999999999E-4</v>
      </c>
      <c r="H37" s="100"/>
      <c r="I37" s="100"/>
      <c r="J37" s="115">
        <f>SUM(G37:H37)</f>
        <v>4.5009999999999999E-4</v>
      </c>
      <c r="K37" s="94" t="s">
        <v>87</v>
      </c>
      <c r="L37" s="89">
        <f>ROUND(D37*G37,2)</f>
        <v>0</v>
      </c>
      <c r="M37" s="89"/>
      <c r="N37" s="89"/>
      <c r="O37" s="89">
        <f t="shared" si="2"/>
        <v>0</v>
      </c>
      <c r="P37" s="92">
        <f>'Rider Rates'!$D$49</f>
        <v>45657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98</v>
      </c>
      <c r="B38" s="72"/>
      <c r="C38" s="72"/>
      <c r="D38" s="111">
        <f>IF($C$15&lt;0,0,IF($C$15&gt;833000,833000,$C$15))</f>
        <v>0</v>
      </c>
      <c r="E38" s="97" t="s">
        <v>19</v>
      </c>
      <c r="F38" s="84" t="s">
        <v>82</v>
      </c>
      <c r="G38" s="100"/>
      <c r="H38" s="100"/>
      <c r="I38" s="100">
        <f>'Rider Rates'!D53</f>
        <v>1.8006999999999999E-3</v>
      </c>
      <c r="J38" s="100">
        <f>SUM(G38:I38)</f>
        <v>1.8006999999999999E-3</v>
      </c>
      <c r="K38" s="94" t="s">
        <v>87</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99</v>
      </c>
      <c r="B39" s="72"/>
      <c r="C39" s="72"/>
      <c r="D39" s="111">
        <f>IF($C$15&lt;0,0,$C$15)</f>
        <v>0</v>
      </c>
      <c r="E39" s="97" t="s">
        <v>19</v>
      </c>
      <c r="F39" s="84" t="s">
        <v>82</v>
      </c>
      <c r="G39" s="100"/>
      <c r="H39" s="100">
        <f>'Rider Rates'!$B$60</f>
        <v>2.3467399999999999E-2</v>
      </c>
      <c r="I39" s="100"/>
      <c r="J39" s="100">
        <f>SUM(G39:I39)</f>
        <v>2.3467399999999999E-2</v>
      </c>
      <c r="K39" s="94" t="s">
        <v>87</v>
      </c>
      <c r="L39" s="89"/>
      <c r="M39" s="89">
        <f>ROUND(D39*H39,2)</f>
        <v>0</v>
      </c>
      <c r="N39" s="116"/>
      <c r="O39" s="89">
        <f t="shared" si="2"/>
        <v>0</v>
      </c>
      <c r="P39" s="92">
        <f>'Rider Rates'!$D$60</f>
        <v>45383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1">
        <f>IF('Customer Info'!C35=TRUE,0,IF($C$15&lt;0,0,$C$15))</f>
        <v>0</v>
      </c>
      <c r="E40" s="97" t="s">
        <v>19</v>
      </c>
      <c r="F40" s="84" t="s">
        <v>82</v>
      </c>
      <c r="G40" s="100"/>
      <c r="H40" s="100"/>
      <c r="I40" s="100">
        <f>'Rider Rates'!$B$74+'Rider Rates'!$C$74</f>
        <v>0</v>
      </c>
      <c r="J40" s="100">
        <f t="shared" si="0"/>
        <v>0</v>
      </c>
      <c r="K40" s="94" t="s">
        <v>87</v>
      </c>
      <c r="L40" s="89"/>
      <c r="M40" s="89"/>
      <c r="N40" s="89">
        <f>ROUND($D$40*'Rider Rates'!$B$74,2)+ROUND($D$40*'Rider Rates'!$C$74,2)</f>
        <v>0</v>
      </c>
      <c r="O40" s="89">
        <f t="shared" si="2"/>
        <v>0</v>
      </c>
      <c r="P40" s="92">
        <f>'Rider Rates'!$D$74</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101</v>
      </c>
      <c r="B41" s="72"/>
      <c r="C41" s="72"/>
      <c r="D41" s="111"/>
      <c r="E41" s="97" t="s">
        <v>57</v>
      </c>
      <c r="F41" s="84"/>
      <c r="G41" s="100"/>
      <c r="H41" s="100"/>
      <c r="I41" s="121">
        <f>'Rider Rates'!$B$81</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102</v>
      </c>
      <c r="B42" s="72"/>
      <c r="C42" s="72"/>
      <c r="D42" s="113">
        <f>$N$23</f>
        <v>9.4</v>
      </c>
      <c r="E42" s="97" t="s">
        <v>94</v>
      </c>
      <c r="F42" s="84" t="s">
        <v>82</v>
      </c>
      <c r="G42" s="117"/>
      <c r="H42" s="118"/>
      <c r="I42" s="119">
        <f>'Rider Rates'!$B$89</f>
        <v>4.94232E-2</v>
      </c>
      <c r="J42" s="119">
        <f t="shared" si="0"/>
        <v>4.94232E-2</v>
      </c>
      <c r="K42" s="94"/>
      <c r="L42" s="89"/>
      <c r="M42" s="89"/>
      <c r="N42" s="89">
        <f>ROUND(D42*I42,2)</f>
        <v>0.46</v>
      </c>
      <c r="O42" s="89">
        <f t="shared" si="2"/>
        <v>0.46</v>
      </c>
      <c r="P42" s="92">
        <f>'Rider Rates'!$D$89</f>
        <v>45562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103</v>
      </c>
      <c r="B43" s="72"/>
      <c r="C43" s="72"/>
      <c r="D43" s="113">
        <f>$N$23</f>
        <v>9.4</v>
      </c>
      <c r="E43" s="97" t="s">
        <v>94</v>
      </c>
      <c r="F43" s="84" t="s">
        <v>82</v>
      </c>
      <c r="G43" s="120"/>
      <c r="H43" s="85"/>
      <c r="I43" s="119">
        <f>'Rider Rates'!$B$91</f>
        <v>6.6985699999999995E-2</v>
      </c>
      <c r="J43" s="119">
        <f t="shared" si="0"/>
        <v>6.6985699999999995E-2</v>
      </c>
      <c r="K43" s="94"/>
      <c r="L43" s="89"/>
      <c r="M43" s="89"/>
      <c r="N43" s="89">
        <f>ROUND(D43*I43,2)</f>
        <v>0.63</v>
      </c>
      <c r="O43" s="89">
        <f t="shared" si="2"/>
        <v>0.63</v>
      </c>
      <c r="P43" s="92">
        <f>'Rider Rates'!$D$91</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104</v>
      </c>
      <c r="B44" s="72"/>
      <c r="C44" s="72"/>
      <c r="D44" s="113"/>
      <c r="E44" s="97" t="s">
        <v>57</v>
      </c>
      <c r="F44" s="84"/>
      <c r="G44" s="120"/>
      <c r="H44" s="85"/>
      <c r="I44" s="121">
        <f>'Rider Rates'!$B$95</f>
        <v>17.53</v>
      </c>
      <c r="J44" s="121">
        <f t="shared" si="0"/>
        <v>17.53</v>
      </c>
      <c r="K44" s="94"/>
      <c r="L44" s="89"/>
      <c r="M44" s="89"/>
      <c r="N44" s="89">
        <f>I44</f>
        <v>17.53</v>
      </c>
      <c r="O44" s="89">
        <f t="shared" si="2"/>
        <v>17.53</v>
      </c>
      <c r="P44" s="92">
        <f>'Rider Rates'!$D$95</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105</v>
      </c>
      <c r="B45" s="72"/>
      <c r="C45" s="72"/>
      <c r="D45" s="111">
        <f>IF($C$15&lt;0,0,$C$15)</f>
        <v>0</v>
      </c>
      <c r="E45" s="97" t="s">
        <v>19</v>
      </c>
      <c r="F45" s="84" t="s">
        <v>82</v>
      </c>
      <c r="G45" s="100"/>
      <c r="H45" s="100"/>
      <c r="I45" s="100"/>
      <c r="J45" s="100">
        <f>'Rider Rates'!$B$99</f>
        <v>0</v>
      </c>
      <c r="K45" s="94" t="s">
        <v>87</v>
      </c>
      <c r="L45" s="89"/>
      <c r="M45" s="89"/>
      <c r="N45" s="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3">
        <f>$N$23</f>
        <v>9.4</v>
      </c>
      <c r="E46" s="97" t="s">
        <v>94</v>
      </c>
      <c r="F46" s="84" t="s">
        <v>82</v>
      </c>
      <c r="G46" s="120"/>
      <c r="H46" s="85"/>
      <c r="I46" s="119">
        <f>'Rider Rates'!$B$109</f>
        <v>0.2363101</v>
      </c>
      <c r="J46" s="119">
        <f t="shared" si="0"/>
        <v>0.2363101</v>
      </c>
      <c r="K46" s="94"/>
      <c r="L46" s="89"/>
      <c r="M46" s="89"/>
      <c r="N46" s="89">
        <f>ROUND(D46*I46,2)</f>
        <v>2.2200000000000002</v>
      </c>
      <c r="O46" s="89">
        <f t="shared" si="2"/>
        <v>2.2200000000000002</v>
      </c>
      <c r="P46" s="92">
        <f>'Rider Rates'!$D$109</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3"/>
      <c r="E47" s="97" t="s">
        <v>57</v>
      </c>
      <c r="F47" s="84"/>
      <c r="G47" s="120"/>
      <c r="H47" s="85"/>
      <c r="I47" s="121">
        <f>'Rider Rates'!$B$113</f>
        <v>0</v>
      </c>
      <c r="J47" s="121">
        <f t="shared" si="0"/>
        <v>0</v>
      </c>
      <c r="K47" s="94"/>
      <c r="L47" s="89"/>
      <c r="M47" s="89"/>
      <c r="N47" s="89">
        <f>I47</f>
        <v>0</v>
      </c>
      <c r="O47" s="89">
        <f t="shared" si="2"/>
        <v>0</v>
      </c>
      <c r="P47" s="92">
        <f>'Rider Rates'!$D$113</f>
        <v>44894</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108</v>
      </c>
      <c r="B48" s="72"/>
      <c r="C48" s="72"/>
      <c r="D48" s="113"/>
      <c r="E48" s="97" t="s">
        <v>57</v>
      </c>
      <c r="F48" s="84"/>
      <c r="G48" s="120"/>
      <c r="H48" s="85"/>
      <c r="I48" s="123">
        <f>'Rider Rates'!B126</f>
        <v>4.84</v>
      </c>
      <c r="J48" s="121">
        <f t="shared" si="0"/>
        <v>4.84</v>
      </c>
      <c r="K48" s="94"/>
      <c r="L48" s="89"/>
      <c r="M48" s="89"/>
      <c r="N48" s="125">
        <f>I48</f>
        <v>4.84</v>
      </c>
      <c r="O48" s="89">
        <f t="shared" si="2"/>
        <v>4.84</v>
      </c>
      <c r="P48" s="92">
        <f>'Rider Rates'!D126</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109</v>
      </c>
      <c r="B49" s="72"/>
      <c r="C49" s="72"/>
      <c r="D49" s="111">
        <f>C16+C17</f>
        <v>0</v>
      </c>
      <c r="E49" s="97" t="s">
        <v>19</v>
      </c>
      <c r="F49" s="84" t="s">
        <v>82</v>
      </c>
      <c r="G49" s="100">
        <f>'Rider Rates'!$B$116</f>
        <v>3.8972999999999998E-3</v>
      </c>
      <c r="H49" s="100"/>
      <c r="I49" s="119"/>
      <c r="J49" s="115">
        <f>SUM(G49:H49)</f>
        <v>3.8972999999999998E-3</v>
      </c>
      <c r="K49" s="94" t="s">
        <v>87</v>
      </c>
      <c r="L49" s="89">
        <f>ROUND(D49*G49,2)</f>
        <v>0</v>
      </c>
      <c r="M49" s="89"/>
      <c r="N49" s="89"/>
      <c r="O49" s="89">
        <f t="shared" si="2"/>
        <v>0</v>
      </c>
      <c r="P49" s="92">
        <f>'Rider Rates'!$D$116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6" t="s">
        <v>110</v>
      </c>
      <c r="B50" s="72"/>
      <c r="C50" s="72"/>
      <c r="D50" s="111">
        <f>IF($C$15&lt;1,0,$C$15)</f>
        <v>0</v>
      </c>
      <c r="E50" s="97" t="s">
        <v>19</v>
      </c>
      <c r="F50" s="126" t="s">
        <v>82</v>
      </c>
      <c r="G50" s="99"/>
      <c r="H50" s="99"/>
      <c r="I50" s="183">
        <f>'Rider Rates'!B122</f>
        <v>0</v>
      </c>
      <c r="J50" s="183">
        <f>SUM(G50:I50)</f>
        <v>0</v>
      </c>
      <c r="K50" s="94" t="s">
        <v>87</v>
      </c>
      <c r="L50" s="89"/>
      <c r="M50" s="89"/>
      <c r="N50" s="89">
        <f>D50*J50</f>
        <v>0</v>
      </c>
      <c r="O50" s="89">
        <f>SUM(L50:N50)</f>
        <v>0</v>
      </c>
      <c r="P50" s="92">
        <f>'Rider Rates'!D122</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169</v>
      </c>
      <c r="B51" s="72"/>
      <c r="C51" s="72"/>
      <c r="D51" s="111">
        <f>IF(C15&lt;0,0,IF(C15&gt;833000,833000,C15))</f>
        <v>0</v>
      </c>
      <c r="E51" s="97" t="s">
        <v>19</v>
      </c>
      <c r="F51" s="84" t="s">
        <v>82</v>
      </c>
      <c r="G51" s="195"/>
      <c r="H51" s="195"/>
      <c r="I51" s="195">
        <f>'Rider Rates'!$B$130</f>
        <v>2.9050000000000001E-4</v>
      </c>
      <c r="J51" s="195">
        <f>SUM(G51:I51)</f>
        <v>2.9050000000000001E-4</v>
      </c>
      <c r="K51" s="94" t="s">
        <v>87</v>
      </c>
      <c r="L51" s="196"/>
      <c r="M51" s="196"/>
      <c r="N51" s="196">
        <f>IF(D51*J51&gt;'Rider Rates'!$C$130,'Rider Rates'!$C$130,D51*J51)</f>
        <v>0</v>
      </c>
      <c r="O51" s="196">
        <f>SUM(L51:N51)</f>
        <v>0</v>
      </c>
      <c r="P51" s="129">
        <f>'Rider Rates'!$E$130</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170</v>
      </c>
      <c r="B52" s="72"/>
      <c r="C52" s="72"/>
      <c r="D52" s="4">
        <f>IF(C15&gt;833000,C15-833000,0)</f>
        <v>0</v>
      </c>
      <c r="E52" s="97" t="s">
        <v>19</v>
      </c>
      <c r="F52" s="84" t="s">
        <v>82</v>
      </c>
      <c r="G52" s="195"/>
      <c r="H52" s="195"/>
      <c r="I52" s="195">
        <f>'Rider Rates'!$B$131</f>
        <v>0</v>
      </c>
      <c r="J52" s="195">
        <f>SUM(G52:I52)</f>
        <v>0</v>
      </c>
      <c r="K52" s="94" t="s">
        <v>87</v>
      </c>
      <c r="L52" s="196"/>
      <c r="M52" s="196"/>
      <c r="N52" s="196">
        <f>D52*J52</f>
        <v>0</v>
      </c>
      <c r="O52" s="196">
        <f>SUM(L52:N52)</f>
        <v>0</v>
      </c>
      <c r="P52" s="129">
        <f>'Rider Rates'!$E$131</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112</v>
      </c>
      <c r="B53" s="72"/>
      <c r="C53" s="72"/>
      <c r="D53" s="111">
        <f>C15</f>
        <v>0</v>
      </c>
      <c r="E53" s="97" t="s">
        <v>19</v>
      </c>
      <c r="F53" s="126" t="s">
        <v>82</v>
      </c>
      <c r="G53" s="100"/>
      <c r="H53" s="100"/>
      <c r="I53" s="100">
        <f>'Rider Rates'!$B$135</f>
        <v>0</v>
      </c>
      <c r="J53" s="115">
        <f>SUM(G53:I53)</f>
        <v>0</v>
      </c>
      <c r="K53" s="94" t="s">
        <v>87</v>
      </c>
      <c r="L53" s="89"/>
      <c r="M53" s="89"/>
      <c r="N53" s="89">
        <f>D53*J53</f>
        <v>0</v>
      </c>
      <c r="O53" s="89">
        <f>SUM(L53:N53)</f>
        <v>0</v>
      </c>
      <c r="P53" s="92">
        <f>'Rider Rates'!$D$135</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113</v>
      </c>
      <c r="B54" s="72"/>
      <c r="C54" s="72"/>
      <c r="D54" s="111"/>
      <c r="E54" s="97" t="s">
        <v>57</v>
      </c>
      <c r="F54" s="84" t="s">
        <v>82</v>
      </c>
      <c r="G54" s="127"/>
      <c r="H54" s="127"/>
      <c r="I54" s="127">
        <f>'Rider Rates'!$B$142</f>
        <v>0</v>
      </c>
      <c r="J54" s="127">
        <f>SUM(G54:I54)</f>
        <v>0</v>
      </c>
      <c r="K54" s="94"/>
      <c r="L54" s="128"/>
      <c r="M54" s="128"/>
      <c r="N54" s="128">
        <f>J54</f>
        <v>0</v>
      </c>
      <c r="O54" s="128">
        <f>SUM(L54:N54)</f>
        <v>0</v>
      </c>
      <c r="P54" s="129">
        <f>'Rider Rates'!$D$142</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t="s">
        <v>114</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30" t="s">
        <v>115</v>
      </c>
      <c r="B56" s="69"/>
      <c r="C56" s="69"/>
      <c r="D56" s="131"/>
      <c r="E56" s="132"/>
      <c r="F56" s="133"/>
      <c r="G56" s="133"/>
      <c r="H56" s="133"/>
      <c r="I56" s="133"/>
      <c r="J56" s="133"/>
      <c r="K56" s="134"/>
      <c r="L56" s="105">
        <f>SUM(L27:L55)</f>
        <v>0</v>
      </c>
      <c r="M56" s="105">
        <f>SUM(M27:M55)</f>
        <v>0</v>
      </c>
      <c r="N56" s="105">
        <f>SUM(N27:N55)</f>
        <v>25.68</v>
      </c>
      <c r="O56" s="105">
        <f>SUM(O27:O55)</f>
        <v>25.68</v>
      </c>
      <c r="P56" s="135"/>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72"/>
      <c r="C57" s="72"/>
      <c r="D57" s="111"/>
      <c r="E57" s="97"/>
      <c r="F57" s="84"/>
      <c r="G57" s="84"/>
      <c r="H57" s="84"/>
      <c r="I57" s="84"/>
      <c r="J57" s="101"/>
      <c r="K57" s="94"/>
      <c r="L57" s="84"/>
      <c r="M57" s="84"/>
      <c r="N57" s="84"/>
      <c r="O57" s="84"/>
      <c r="P57" s="137"/>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138" t="s">
        <v>116</v>
      </c>
      <c r="B58" s="106"/>
      <c r="C58" s="106"/>
      <c r="D58" s="106"/>
      <c r="E58" s="106"/>
      <c r="F58" s="106"/>
      <c r="G58" s="106"/>
      <c r="H58" s="106"/>
      <c r="I58" s="106"/>
      <c r="J58" s="106"/>
      <c r="K58" s="106"/>
      <c r="L58" s="139">
        <f>L23+L56</f>
        <v>0</v>
      </c>
      <c r="M58" s="139">
        <f>M23+M56</f>
        <v>0</v>
      </c>
      <c r="N58" s="139">
        <f>N23+N56</f>
        <v>35.08</v>
      </c>
      <c r="O58" s="140">
        <f>O23+O56</f>
        <v>35.08</v>
      </c>
      <c r="P58" s="140"/>
      <c r="Q58" s="84"/>
      <c r="R58" s="197"/>
      <c r="S58" s="94"/>
      <c r="T58" s="95"/>
      <c r="U58" s="72"/>
      <c r="V58" s="94"/>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72"/>
      <c r="B60" s="72"/>
      <c r="C60" s="72"/>
      <c r="D60" s="72"/>
      <c r="E60" s="72"/>
      <c r="F60" s="72"/>
      <c r="G60" s="72"/>
      <c r="H60" s="72"/>
      <c r="I60" s="72"/>
      <c r="J60" s="72"/>
      <c r="K60" s="72"/>
      <c r="L60" s="72"/>
      <c r="M60" s="72"/>
      <c r="N60" s="72"/>
      <c r="O60" s="72"/>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117</v>
      </c>
      <c r="B61" s="72"/>
      <c r="C61" s="72"/>
      <c r="D61" s="72"/>
      <c r="E61" s="72"/>
      <c r="F61" s="72"/>
      <c r="G61" s="72"/>
      <c r="H61" s="72"/>
      <c r="I61" s="72"/>
      <c r="J61" s="72"/>
      <c r="K61" s="72"/>
      <c r="L61" s="72"/>
      <c r="M61" s="72"/>
      <c r="N61" s="72"/>
      <c r="O61" s="95">
        <f>O21+O56</f>
        <v>35.08</v>
      </c>
      <c r="P61" s="72"/>
      <c r="Q61" s="102"/>
      <c r="R61" s="102"/>
      <c r="S61" s="102"/>
      <c r="T61" s="136"/>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102" t="s">
        <v>2</v>
      </c>
      <c r="B62" s="102"/>
      <c r="C62" s="102"/>
      <c r="D62" s="102"/>
      <c r="E62" s="102"/>
      <c r="F62" s="102"/>
      <c r="G62" s="102"/>
      <c r="H62" s="10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x14ac:dyDescent="0.25">
      <c r="A63" s="69" t="s">
        <v>118</v>
      </c>
      <c r="B63" s="72"/>
      <c r="C63" s="72"/>
      <c r="D63" s="72"/>
      <c r="E63" s="72"/>
      <c r="F63" s="72"/>
      <c r="G63" s="72"/>
      <c r="H63" s="72"/>
      <c r="I63" s="72"/>
      <c r="J63" s="72"/>
      <c r="K63" s="72"/>
      <c r="L63" s="72"/>
      <c r="M63" s="72"/>
      <c r="N63" s="72"/>
      <c r="O63" s="141">
        <f>IF($D$17&lt;0,O58,IF(O58&gt;O61,O58,O61))</f>
        <v>35.08</v>
      </c>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36" ht="15" customHeight="1" x14ac:dyDescent="0.25">
      <c r="A64" s="69"/>
      <c r="B64" s="72"/>
      <c r="C64" s="72"/>
      <c r="D64" s="72"/>
      <c r="E64" s="72"/>
      <c r="F64" s="72"/>
      <c r="G64" s="72"/>
      <c r="H64" s="72"/>
      <c r="I64" s="72"/>
      <c r="J64" s="72"/>
      <c r="K64" s="72"/>
      <c r="L64" s="72"/>
      <c r="M64" s="72"/>
      <c r="N64" s="72"/>
      <c r="O64" s="141"/>
      <c r="P64" s="84"/>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c r="HN64" s="72"/>
      <c r="HO64" s="72"/>
      <c r="HP64" s="72"/>
      <c r="HQ64" s="72"/>
      <c r="HR64" s="72"/>
      <c r="HS64" s="72"/>
      <c r="HT64" s="72"/>
      <c r="HU64" s="72"/>
      <c r="HV64" s="72"/>
      <c r="HW64" s="72"/>
      <c r="HX64" s="72"/>
      <c r="HY64" s="72"/>
      <c r="HZ64" s="72"/>
      <c r="IA64" s="72"/>
      <c r="IB64" s="72"/>
    </row>
    <row r="65" spans="1:222" x14ac:dyDescent="0.25">
      <c r="A65" s="69"/>
      <c r="B65" s="102"/>
      <c r="C65" s="102"/>
      <c r="D65" s="102"/>
      <c r="E65" s="102"/>
      <c r="F65" s="102"/>
      <c r="G65" s="102"/>
      <c r="H65" s="102"/>
      <c r="I65" s="102" t="s">
        <v>119</v>
      </c>
      <c r="J65" s="102"/>
      <c r="K65" s="102"/>
      <c r="L65" s="143"/>
      <c r="M65" s="143"/>
      <c r="N65" s="143"/>
      <c r="O65" s="143">
        <f>ROUND(IF($C$15&lt;1,0,O58/($C$15*100)*10000),2)</f>
        <v>0</v>
      </c>
      <c r="P65" s="144" t="s">
        <v>120</v>
      </c>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HE65" s="72"/>
      <c r="HF65" s="72"/>
      <c r="HG65" s="72"/>
      <c r="HH65" s="72"/>
      <c r="HI65" s="72"/>
      <c r="HJ65" s="72"/>
      <c r="HK65" s="72"/>
      <c r="HL65" s="72"/>
      <c r="HM65" s="72"/>
      <c r="HN65" s="72"/>
    </row>
    <row r="66" spans="1:222" x14ac:dyDescent="0.25">
      <c r="B66" s="72"/>
      <c r="C66" s="72"/>
      <c r="D66" s="72"/>
      <c r="E66" s="72"/>
      <c r="F66" s="72"/>
      <c r="G66" s="72"/>
      <c r="H66" s="145"/>
      <c r="I66" s="146" t="s">
        <v>121</v>
      </c>
      <c r="J66" s="72"/>
      <c r="K66" s="72"/>
      <c r="L66" s="72"/>
      <c r="M66" s="72"/>
      <c r="N66" s="72"/>
      <c r="O66" s="147">
        <f>ROUND(IF($C$15&lt;1,0,(L58)/($C$15*100)*10000),2)</f>
        <v>0</v>
      </c>
      <c r="P66" s="59" t="s">
        <v>120</v>
      </c>
      <c r="Q66" s="72"/>
      <c r="R66" s="72"/>
      <c r="S66" s="72"/>
      <c r="T66" s="72"/>
      <c r="U66" s="72"/>
      <c r="V66" s="72"/>
      <c r="W66" s="72"/>
      <c r="X66" s="72"/>
      <c r="Y66" s="72"/>
      <c r="Z66" s="72"/>
      <c r="AA66" s="72"/>
      <c r="AB66" s="72"/>
      <c r="AC66" s="72"/>
      <c r="AD66" s="72"/>
      <c r="AE66" s="72"/>
      <c r="AF66" s="72"/>
      <c r="AG66" s="72"/>
      <c r="AH66" s="72"/>
      <c r="AI66" s="72"/>
      <c r="AJ66" s="72"/>
      <c r="AK66" s="72"/>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8"/>
  <sheetViews>
    <sheetView showGridLines="0" topLeftCell="A20"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182</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183</v>
      </c>
      <c r="C6" s="56"/>
      <c r="D6" s="56"/>
      <c r="E6" s="56"/>
      <c r="F6" s="56"/>
      <c r="G6" s="56"/>
      <c r="H6" s="56"/>
      <c r="I6" s="56"/>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Rates'!$C$23</f>
        <v>7.0209999999999995E-2</v>
      </c>
      <c r="T12" s="205">
        <f>'Rider Rates'!$C$23</f>
        <v>7.0209999999999995E-2</v>
      </c>
      <c r="U12" s="205">
        <f>'Rider Rates'!$C$23</f>
        <v>7.0209999999999995E-2</v>
      </c>
      <c r="V12" s="205">
        <f>'Rider Rates'!$C$23</f>
        <v>7.0209999999999995E-2</v>
      </c>
      <c r="W12" s="205">
        <f>'Rider Rates'!$C$23</f>
        <v>7.0209999999999995E-2</v>
      </c>
      <c r="X12" s="205">
        <f>'Rider Rates'!$B$23</f>
        <v>7.0209999999999995E-2</v>
      </c>
      <c r="Y12" s="205">
        <f>'Rider Rates'!$B$23</f>
        <v>7.0209999999999995E-2</v>
      </c>
      <c r="Z12" s="205">
        <f>'Rider Rates'!$B$23</f>
        <v>7.0209999999999995E-2</v>
      </c>
      <c r="AA12" s="205">
        <f>'Rider Rates'!$B$23</f>
        <v>7.0209999999999995E-2</v>
      </c>
      <c r="AB12" s="205">
        <f>'Rider Rates'!$C$23</f>
        <v>7.0209999999999995E-2</v>
      </c>
      <c r="AC12" s="205">
        <f>'Rider Rates'!$C$23</f>
        <v>7.0209999999999995E-2</v>
      </c>
      <c r="AD12" s="205">
        <f>'Rider Rates'!$C$23</f>
        <v>7.0209999999999995E-2</v>
      </c>
    </row>
    <row r="13" spans="1:256" x14ac:dyDescent="0.25">
      <c r="C13" s="68" t="s">
        <v>184</v>
      </c>
      <c r="D13" s="68" t="s">
        <v>185</v>
      </c>
    </row>
    <row r="14" spans="1:256" x14ac:dyDescent="0.25">
      <c r="A14" s="158" t="s">
        <v>186</v>
      </c>
      <c r="B14" s="158"/>
      <c r="C14" s="206">
        <f>'Customer Info'!B19</f>
        <v>0</v>
      </c>
      <c r="D14" s="206">
        <f>ROUND(C14*C17,1)</f>
        <v>0</v>
      </c>
      <c r="E14" s="158" t="s">
        <v>13</v>
      </c>
      <c r="F14" s="160"/>
      <c r="G14" s="158" t="s">
        <v>2</v>
      </c>
      <c r="I14" s="207" t="s">
        <v>2</v>
      </c>
      <c r="J14" s="158"/>
      <c r="K14" s="158"/>
      <c r="L14" s="158"/>
      <c r="M14" s="158"/>
      <c r="N14" s="158"/>
    </row>
    <row r="15" spans="1:256" x14ac:dyDescent="0.25">
      <c r="A15" s="158" t="s">
        <v>187</v>
      </c>
      <c r="B15" s="158"/>
      <c r="C15" s="206">
        <f>'Customer Info'!B20</f>
        <v>0</v>
      </c>
      <c r="D15" s="206">
        <f>C15*C17</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5">
      <c r="A17" s="158" t="s">
        <v>189</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5">
      <c r="A18" s="158" t="s">
        <v>2</v>
      </c>
      <c r="B18" s="158"/>
      <c r="C18" s="210" t="s">
        <v>2</v>
      </c>
      <c r="D18" s="453" t="s">
        <v>2</v>
      </c>
      <c r="E18" s="453"/>
      <c r="F18" s="453"/>
      <c r="G18" s="453"/>
      <c r="H18" s="453"/>
      <c r="K18" s="158"/>
      <c r="L18" s="158"/>
      <c r="M18" s="158"/>
      <c r="N18" s="158"/>
      <c r="O18" s="188"/>
    </row>
    <row r="19" spans="1:30" x14ac:dyDescent="0.25">
      <c r="A19" s="158" t="s">
        <v>2</v>
      </c>
      <c r="B19" s="158"/>
      <c r="C19" s="210" t="s">
        <v>2</v>
      </c>
      <c r="D19" s="453" t="s">
        <v>2</v>
      </c>
      <c r="E19" s="453"/>
      <c r="F19" s="453"/>
      <c r="G19" s="453"/>
      <c r="H19" s="453"/>
      <c r="I19" s="57"/>
      <c r="J19" s="57"/>
      <c r="K19" s="158"/>
      <c r="L19" s="158"/>
      <c r="M19" s="158"/>
      <c r="N19" s="158"/>
      <c r="O19" s="188"/>
    </row>
    <row r="20" spans="1:30" x14ac:dyDescent="0.25">
      <c r="A20" s="158"/>
      <c r="B20" s="158"/>
      <c r="C20" s="160"/>
      <c r="D20" s="160"/>
      <c r="E20" s="160"/>
      <c r="F20" s="160"/>
      <c r="G20" s="57"/>
      <c r="H20" s="57"/>
      <c r="I20" s="57"/>
      <c r="J20" s="57"/>
      <c r="K20" s="158"/>
      <c r="L20" s="158"/>
      <c r="M20" s="158"/>
      <c r="N20" s="158"/>
      <c r="O20" s="158"/>
    </row>
    <row r="21" spans="1:30" x14ac:dyDescent="0.25">
      <c r="A21" s="162" t="s">
        <v>72</v>
      </c>
      <c r="B21" s="163"/>
      <c r="C21" s="163"/>
      <c r="D21" s="163"/>
      <c r="E21" s="163"/>
      <c r="F21" s="163"/>
      <c r="G21" s="445" t="s">
        <v>73</v>
      </c>
      <c r="H21" s="446"/>
      <c r="I21" s="446"/>
      <c r="J21" s="447"/>
      <c r="K21" s="163"/>
      <c r="L21" s="448" t="s">
        <v>74</v>
      </c>
      <c r="M21" s="448"/>
      <c r="N21" s="448"/>
      <c r="O21" s="448"/>
    </row>
    <row r="22" spans="1:30" x14ac:dyDescent="0.25">
      <c r="G22" s="164" t="s">
        <v>75</v>
      </c>
      <c r="H22" s="164" t="s">
        <v>76</v>
      </c>
      <c r="I22" s="164" t="s">
        <v>77</v>
      </c>
      <c r="J22" s="118" t="s">
        <v>78</v>
      </c>
      <c r="L22" s="165" t="s">
        <v>75</v>
      </c>
      <c r="M22" s="165" t="s">
        <v>76</v>
      </c>
      <c r="N22" s="165" t="s">
        <v>77</v>
      </c>
      <c r="O22" s="165" t="s">
        <v>78</v>
      </c>
      <c r="P22" s="166" t="s">
        <v>79</v>
      </c>
    </row>
    <row r="23" spans="1:30" x14ac:dyDescent="0.25">
      <c r="A23" t="s">
        <v>80</v>
      </c>
      <c r="G23" s="189"/>
      <c r="H23" s="189"/>
      <c r="I23" s="189">
        <v>9.4</v>
      </c>
      <c r="J23" s="189">
        <f>SUM(G23:I23)</f>
        <v>9.4</v>
      </c>
      <c r="L23" s="190"/>
      <c r="M23" s="190"/>
      <c r="N23" s="190">
        <f>I23</f>
        <v>9.4</v>
      </c>
      <c r="O23" s="128">
        <f>SUM(L23:N23)</f>
        <v>9.4</v>
      </c>
      <c r="P23" s="92">
        <v>44531</v>
      </c>
    </row>
    <row r="24" spans="1:30" x14ac:dyDescent="0.25">
      <c r="A24" t="s">
        <v>168</v>
      </c>
      <c r="D24" s="4">
        <f>D16</f>
        <v>0</v>
      </c>
      <c r="E24" s="97" t="s">
        <v>19</v>
      </c>
      <c r="F24" s="84" t="s">
        <v>82</v>
      </c>
      <c r="G24" s="191"/>
      <c r="H24" s="189"/>
      <c r="I24" s="211">
        <v>2.05802E-2</v>
      </c>
      <c r="J24" s="211">
        <f>SUM(G24:I24)</f>
        <v>2.05802E-2</v>
      </c>
      <c r="K24" s="94" t="s">
        <v>87</v>
      </c>
      <c r="L24" s="189"/>
      <c r="M24" s="190"/>
      <c r="N24" s="212">
        <f>D24*J24</f>
        <v>0</v>
      </c>
      <c r="O24" s="128">
        <f>N24</f>
        <v>0</v>
      </c>
      <c r="P24" s="92"/>
    </row>
    <row r="25" spans="1:30" x14ac:dyDescent="0.25">
      <c r="A25" s="144" t="s">
        <v>84</v>
      </c>
      <c r="B25" s="144"/>
      <c r="C25" s="144"/>
      <c r="D25" s="170"/>
      <c r="E25" s="170"/>
      <c r="F25" s="144"/>
      <c r="G25" s="144"/>
      <c r="H25" s="144"/>
      <c r="I25" s="144"/>
      <c r="J25" s="144"/>
      <c r="K25" s="172"/>
      <c r="L25" s="171"/>
      <c r="M25" s="171"/>
      <c r="N25" s="171">
        <f>SUM(N23:N24)</f>
        <v>9.4</v>
      </c>
      <c r="O25" s="171">
        <f>SUM(O23:O24)</f>
        <v>9.4</v>
      </c>
    </row>
    <row r="26" spans="1:30" x14ac:dyDescent="0.25">
      <c r="A26" s="192"/>
      <c r="B26" s="192"/>
      <c r="C26" s="193"/>
      <c r="D26" s="193"/>
      <c r="E26" s="193"/>
      <c r="F26" s="193"/>
      <c r="G26" s="194"/>
      <c r="H26" s="194"/>
      <c r="I26" s="194"/>
      <c r="J26" s="194"/>
      <c r="K26" s="192"/>
      <c r="L26" s="192"/>
      <c r="M26" s="192"/>
      <c r="N26" s="192"/>
      <c r="O26" s="192"/>
      <c r="P26" s="192"/>
    </row>
    <row r="27" spans="1:30" x14ac:dyDescent="0.25">
      <c r="A27" s="155" t="s">
        <v>85</v>
      </c>
      <c r="D27" s="4"/>
      <c r="E27" s="4"/>
      <c r="K27" s="154"/>
      <c r="L27" s="154"/>
      <c r="M27" s="154"/>
      <c r="N27" s="154"/>
      <c r="O27" s="213"/>
      <c r="P27" s="213"/>
    </row>
    <row r="28" spans="1:30" x14ac:dyDescent="0.25">
      <c r="A28" s="144"/>
      <c r="D28" s="4"/>
      <c r="E28" s="4"/>
      <c r="K28" s="154"/>
      <c r="L28" s="154"/>
      <c r="M28" s="154"/>
      <c r="N28" s="154"/>
      <c r="O28" s="213"/>
    </row>
    <row r="29" spans="1:30" x14ac:dyDescent="0.25">
      <c r="A29" s="72" t="s">
        <v>86</v>
      </c>
      <c r="D29" s="4">
        <f>IF($C$16&lt;0,0,IF($C$16&gt;833000,833000,$C$16))</f>
        <v>0</v>
      </c>
      <c r="E29" s="152" t="s">
        <v>19</v>
      </c>
      <c r="F29" s="1" t="s">
        <v>82</v>
      </c>
      <c r="G29" s="167"/>
      <c r="H29" s="191"/>
      <c r="I29" s="100">
        <f>'Rider Rates'!$B$4</f>
        <v>4.6278999999999999E-3</v>
      </c>
      <c r="J29" s="214">
        <f>SUM(G29:I29)</f>
        <v>4.6278999999999999E-3</v>
      </c>
      <c r="K29" s="154" t="s">
        <v>87</v>
      </c>
      <c r="L29" s="189"/>
      <c r="M29" s="189"/>
      <c r="N29" s="189">
        <f>ROUND($D29*I29,2)</f>
        <v>0</v>
      </c>
      <c r="O29" s="189">
        <f>SUM(L29:N29)</f>
        <v>0</v>
      </c>
      <c r="P29" s="92">
        <f>'Rider Rates'!$D$4</f>
        <v>45657</v>
      </c>
    </row>
    <row r="30" spans="1:30" x14ac:dyDescent="0.25">
      <c r="A30" s="72" t="s">
        <v>88</v>
      </c>
      <c r="D30" s="4">
        <f>IF($C$16-833000&gt;0,$C$16-D29,0)</f>
        <v>0</v>
      </c>
      <c r="E30" s="152" t="s">
        <v>19</v>
      </c>
      <c r="F30" s="1" t="s">
        <v>82</v>
      </c>
      <c r="G30" s="167"/>
      <c r="H30" s="191"/>
      <c r="I30" s="100">
        <f>'Rider Rates'!$B$5</f>
        <v>1.7560000000000001E-4</v>
      </c>
      <c r="J30" s="215">
        <f>SUM(G30:I30)</f>
        <v>1.7560000000000001E-4</v>
      </c>
      <c r="K30" s="154" t="s">
        <v>87</v>
      </c>
      <c r="L30" s="189"/>
      <c r="M30" s="189"/>
      <c r="N30" s="189">
        <f>ROUND($D30*I30,2)</f>
        <v>0</v>
      </c>
      <c r="O30" s="189">
        <f>SUM(L30:N30)</f>
        <v>0</v>
      </c>
      <c r="P30" s="92">
        <f>'Rider Rates'!$D$4</f>
        <v>45657</v>
      </c>
    </row>
    <row r="31" spans="1:30" x14ac:dyDescent="0.25">
      <c r="A31" s="72" t="s">
        <v>190</v>
      </c>
      <c r="B31" t="s">
        <v>2</v>
      </c>
      <c r="D31" s="4">
        <f>IF('Customer Info'!$C$33=TRUE,0,IF(C16&lt;0,0,IF(C16&gt;2000,2000,C16)))</f>
        <v>0</v>
      </c>
      <c r="E31" s="152" t="s">
        <v>19</v>
      </c>
      <c r="F31" s="1" t="s">
        <v>82</v>
      </c>
      <c r="G31" s="167"/>
      <c r="H31" s="191"/>
      <c r="I31" s="112">
        <f>'Rider Rates'!$B$8</f>
        <v>4.6499999999999996E-3</v>
      </c>
      <c r="J31" s="216">
        <f>SUM(G31:I31)</f>
        <v>4.6499999999999996E-3</v>
      </c>
      <c r="K31" s="154" t="s">
        <v>87</v>
      </c>
      <c r="L31" s="189"/>
      <c r="M31" s="189"/>
      <c r="N31" s="189">
        <f>ROUND($D31*I31,2)</f>
        <v>0</v>
      </c>
      <c r="O31" s="189">
        <f>SUM(L31:N31)</f>
        <v>0</v>
      </c>
      <c r="P31" s="92">
        <f>'Rider Rates'!$D$7</f>
        <v>44531</v>
      </c>
    </row>
    <row r="32" spans="1:30" x14ac:dyDescent="0.25">
      <c r="A32" s="72" t="s">
        <v>191</v>
      </c>
      <c r="B32" t="s">
        <v>2</v>
      </c>
      <c r="D32" s="4">
        <f>IF('Customer Info'!$C$33=TRUE,0,IF(C16&gt;15000,13000,IF(C16&gt;2000,C16-2000,0)))</f>
        <v>0</v>
      </c>
      <c r="E32" s="152" t="s">
        <v>19</v>
      </c>
      <c r="F32" s="1" t="s">
        <v>82</v>
      </c>
      <c r="G32" s="167"/>
      <c r="H32" s="191"/>
      <c r="I32" s="112">
        <f>'Rider Rates'!$B$9</f>
        <v>4.1900000000000001E-3</v>
      </c>
      <c r="J32" s="216">
        <f>SUM(G32:I32)</f>
        <v>4.1900000000000001E-3</v>
      </c>
      <c r="K32" s="154" t="s">
        <v>87</v>
      </c>
      <c r="L32" s="189"/>
      <c r="M32" s="189"/>
      <c r="N32" s="189">
        <f>ROUND($D32*I32,2)</f>
        <v>0</v>
      </c>
      <c r="O32" s="189">
        <f>SUM(L32:N32)</f>
        <v>0</v>
      </c>
      <c r="P32" s="92">
        <f>'Rider Rates'!$D$7</f>
        <v>44531</v>
      </c>
    </row>
    <row r="33" spans="1:221" x14ac:dyDescent="0.25">
      <c r="A33" s="72" t="s">
        <v>192</v>
      </c>
      <c r="B33" t="s">
        <v>2</v>
      </c>
      <c r="D33" s="4">
        <f>IF('Customer Info'!$C$33=TRUE,0,IF(C16-D31-D32&gt;0,C16-D31-D32,0))</f>
        <v>0</v>
      </c>
      <c r="E33" s="152" t="s">
        <v>19</v>
      </c>
      <c r="F33" s="1" t="s">
        <v>82</v>
      </c>
      <c r="G33" s="167"/>
      <c r="H33" s="191"/>
      <c r="I33" s="112">
        <f>'Rider Rates'!$B$10</f>
        <v>3.63E-3</v>
      </c>
      <c r="J33" s="216">
        <f>SUM(G33:I33)</f>
        <v>3.63E-3</v>
      </c>
      <c r="K33" s="154" t="s">
        <v>87</v>
      </c>
      <c r="L33" s="189"/>
      <c r="M33" s="189"/>
      <c r="N33" s="189">
        <f>ROUND($D33*I33,2)</f>
        <v>0</v>
      </c>
      <c r="O33" s="189">
        <f>SUM(L33:N33)</f>
        <v>0</v>
      </c>
      <c r="P33" s="92">
        <f>'Rider Rates'!$D$7</f>
        <v>44531</v>
      </c>
    </row>
    <row r="34" spans="1:221" x14ac:dyDescent="0.25">
      <c r="A34" s="72" t="s">
        <v>93</v>
      </c>
      <c r="B34" s="72"/>
      <c r="C34" s="72"/>
      <c r="D34" s="217">
        <f>$N$25</f>
        <v>9.4</v>
      </c>
      <c r="E34" s="97" t="s">
        <v>94</v>
      </c>
      <c r="F34" s="84" t="s">
        <v>82</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5">
      <c r="A35" s="76" t="s">
        <v>95</v>
      </c>
      <c r="B35" s="72"/>
      <c r="C35" s="72"/>
      <c r="D35" s="111">
        <f>'Customer Info'!$B$22+'Customer Info'!$B$23-'Customer Info'!$B$24</f>
        <v>0</v>
      </c>
      <c r="E35" s="97" t="s">
        <v>19</v>
      </c>
      <c r="F35" s="84" t="s">
        <v>82</v>
      </c>
      <c r="G35" s="100">
        <f>'Rider Rates'!B23</f>
        <v>7.0209999999999995E-2</v>
      </c>
      <c r="H35" s="100"/>
      <c r="I35" s="100"/>
      <c r="J35" s="115">
        <f>SUM(G35:H35)</f>
        <v>7.0209999999999995E-2</v>
      </c>
      <c r="K35" s="94" t="s">
        <v>87</v>
      </c>
      <c r="L35" s="89">
        <f>ROUND(D35*G35,2)</f>
        <v>0</v>
      </c>
      <c r="M35" s="89"/>
      <c r="N35" s="89"/>
      <c r="O35" s="89">
        <f t="shared" si="0"/>
        <v>0</v>
      </c>
      <c r="P35" s="92">
        <f>'Rider Rates'!$D$23</f>
        <v>45444</v>
      </c>
    </row>
    <row r="36" spans="1:221" x14ac:dyDescent="0.25">
      <c r="A36" s="72" t="s">
        <v>96</v>
      </c>
      <c r="B36" s="72"/>
      <c r="C36" s="72"/>
      <c r="D36" s="111">
        <f>'Customer Info'!$B$22+'Customer Info'!$B$23-'Customer Info'!$B$24</f>
        <v>0</v>
      </c>
      <c r="E36" s="97" t="s">
        <v>19</v>
      </c>
      <c r="F36" s="84" t="s">
        <v>82</v>
      </c>
      <c r="G36" s="100">
        <f>'Rider Rates'!B37</f>
        <v>2.65E-3</v>
      </c>
      <c r="H36" s="100"/>
      <c r="I36" s="100"/>
      <c r="J36" s="115">
        <f>SUM(G36:H36)</f>
        <v>2.65E-3</v>
      </c>
      <c r="K36" s="94" t="s">
        <v>87</v>
      </c>
      <c r="L36" s="89">
        <f>ROUND(D36*G36,2)</f>
        <v>0</v>
      </c>
      <c r="M36" s="89"/>
      <c r="N36" s="89"/>
      <c r="O36" s="89">
        <f t="shared" si="0"/>
        <v>0</v>
      </c>
      <c r="P36" s="92">
        <f>'Rider Rates'!$D$37</f>
        <v>45444</v>
      </c>
    </row>
    <row r="37" spans="1:221" x14ac:dyDescent="0.25">
      <c r="A37" s="76" t="s">
        <v>97</v>
      </c>
      <c r="B37" s="72"/>
      <c r="C37" s="72"/>
      <c r="D37" s="111">
        <f>'Customer Info'!$B$22+'Customer Info'!$B$23-'Customer Info'!$B$24</f>
        <v>0</v>
      </c>
      <c r="E37" s="97" t="s">
        <v>19</v>
      </c>
      <c r="F37" s="84" t="s">
        <v>82</v>
      </c>
      <c r="G37" s="100">
        <f>'Rider Rates'!$B$49</f>
        <v>4.5009999999999999E-4</v>
      </c>
      <c r="H37" s="100"/>
      <c r="I37" s="100"/>
      <c r="J37" s="115">
        <f>SUM(G37:H37)</f>
        <v>4.5009999999999999E-4</v>
      </c>
      <c r="K37" s="94" t="s">
        <v>87</v>
      </c>
      <c r="L37" s="89">
        <f>ROUND(D37*G37,2)</f>
        <v>0</v>
      </c>
      <c r="M37" s="89"/>
      <c r="N37" s="89"/>
      <c r="O37" s="89">
        <f t="shared" si="0"/>
        <v>0</v>
      </c>
      <c r="P37" s="92">
        <f>'Rider Rates'!$D$49</f>
        <v>45657</v>
      </c>
    </row>
    <row r="38" spans="1:221" x14ac:dyDescent="0.25">
      <c r="A38" s="72" t="s">
        <v>98</v>
      </c>
      <c r="B38" s="72"/>
      <c r="C38" s="72"/>
      <c r="D38" s="4">
        <f>IF($C$16&lt;0,0,IF($C$16&gt;833000,833000,$C$16))</f>
        <v>0</v>
      </c>
      <c r="E38" s="97" t="s">
        <v>19</v>
      </c>
      <c r="F38" s="84" t="s">
        <v>82</v>
      </c>
      <c r="G38" s="100"/>
      <c r="H38" s="100"/>
      <c r="I38" s="100">
        <f>'Rider Rates'!D53</f>
        <v>1.8006999999999999E-3</v>
      </c>
      <c r="J38" s="100">
        <f>SUM(G38:I38)</f>
        <v>1.8006999999999999E-3</v>
      </c>
      <c r="K38" s="94" t="s">
        <v>87</v>
      </c>
      <c r="L38" s="89"/>
      <c r="M38" s="89"/>
      <c r="N38" s="189">
        <f>D38*J38</f>
        <v>0</v>
      </c>
      <c r="O38" s="89">
        <f t="shared" si="0"/>
        <v>0</v>
      </c>
      <c r="P38" s="92">
        <f>'Rider Rates'!E53</f>
        <v>45658</v>
      </c>
    </row>
    <row r="39" spans="1:221" x14ac:dyDescent="0.25">
      <c r="A39" s="76" t="s">
        <v>99</v>
      </c>
      <c r="B39" s="72"/>
      <c r="C39" s="72"/>
      <c r="D39" s="4">
        <f>IF($C$16&lt;0,0,$C$16)</f>
        <v>0</v>
      </c>
      <c r="E39" s="97" t="s">
        <v>19</v>
      </c>
      <c r="F39" s="84" t="s">
        <v>82</v>
      </c>
      <c r="G39" s="100"/>
      <c r="H39" s="100">
        <f>'Rider Rates'!G59</f>
        <v>2.3467399999999999E-2</v>
      </c>
      <c r="I39" s="100"/>
      <c r="J39" s="100">
        <f>SUM(G39:I39)</f>
        <v>2.3467399999999999E-2</v>
      </c>
      <c r="K39" s="94" t="s">
        <v>87</v>
      </c>
      <c r="L39" s="89"/>
      <c r="M39" s="89">
        <f>ROUND(D39*H39,2)</f>
        <v>0</v>
      </c>
      <c r="N39" s="116"/>
      <c r="O39" s="89">
        <f t="shared" si="0"/>
        <v>0</v>
      </c>
      <c r="P39" s="92">
        <f>'Rider Rates'!H59</f>
        <v>45383</v>
      </c>
    </row>
    <row r="40" spans="1:221" x14ac:dyDescent="0.25">
      <c r="A40" s="76" t="s">
        <v>193</v>
      </c>
      <c r="B40" s="72"/>
      <c r="C40" s="72"/>
      <c r="D40" s="4">
        <f>IF('Customer Info'!C35=TRUE,0,IF($C$16&lt;0,0,$C$16))</f>
        <v>0</v>
      </c>
      <c r="E40" s="97" t="s">
        <v>19</v>
      </c>
      <c r="F40" s="84" t="s">
        <v>82</v>
      </c>
      <c r="G40" s="100"/>
      <c r="H40" s="100"/>
      <c r="I40" s="100">
        <f>'Rider Rates'!$B$75+'Rider Rates'!$C$75</f>
        <v>0</v>
      </c>
      <c r="J40" s="100">
        <f>SUM(G40:I40)</f>
        <v>0</v>
      </c>
      <c r="K40" s="94" t="s">
        <v>87</v>
      </c>
      <c r="L40" s="89"/>
      <c r="M40" s="89"/>
      <c r="N40" s="189">
        <f>ROUND($D$40*'Rider Rates'!$B$75,2)+ROUND($D$40*'Rider Rates'!$C$75,2)</f>
        <v>0</v>
      </c>
      <c r="O40" s="128">
        <f t="shared" si="0"/>
        <v>0</v>
      </c>
      <c r="P40" s="92">
        <f>'Rider Rates'!$D$75</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5">
      <c r="A41" s="76" t="s">
        <v>102</v>
      </c>
      <c r="B41" s="72"/>
      <c r="C41" s="72"/>
      <c r="D41" s="217">
        <f>$N$25</f>
        <v>9.4</v>
      </c>
      <c r="E41" s="97" t="s">
        <v>94</v>
      </c>
      <c r="F41" s="84" t="s">
        <v>82</v>
      </c>
      <c r="G41" s="117"/>
      <c r="H41" s="118"/>
      <c r="I41" s="119">
        <f>'Rider Rates'!$B$89</f>
        <v>4.94232E-2</v>
      </c>
      <c r="J41" s="119">
        <f>SUM(H41:I41)</f>
        <v>4.94232E-2</v>
      </c>
      <c r="K41" s="94"/>
      <c r="L41" s="89"/>
      <c r="M41" s="89"/>
      <c r="N41" s="89">
        <f>ROUND(N$25*I41,2)</f>
        <v>0.46</v>
      </c>
      <c r="O41" s="128">
        <f t="shared" si="0"/>
        <v>0.46</v>
      </c>
      <c r="P41" s="92">
        <f>'Rider Rates'!$D$89</f>
        <v>45562</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5">
      <c r="A42" s="76" t="s">
        <v>103</v>
      </c>
      <c r="B42" s="72"/>
      <c r="C42" s="72"/>
      <c r="D42" s="217">
        <f>$N$25</f>
        <v>9.4</v>
      </c>
      <c r="E42" s="97" t="s">
        <v>94</v>
      </c>
      <c r="F42" s="84" t="s">
        <v>82</v>
      </c>
      <c r="G42" s="120"/>
      <c r="H42" s="85"/>
      <c r="I42" s="119">
        <f>'Rider Rates'!$B$91</f>
        <v>6.6985699999999995E-2</v>
      </c>
      <c r="J42" s="119">
        <f>SUM(H42:I42)</f>
        <v>6.6985699999999995E-2</v>
      </c>
      <c r="K42" s="94"/>
      <c r="L42" s="89"/>
      <c r="M42" s="89"/>
      <c r="N42" s="89">
        <f>ROUND(N$25*I42,2)</f>
        <v>0.63</v>
      </c>
      <c r="O42" s="128">
        <f t="shared" si="0"/>
        <v>0.63</v>
      </c>
      <c r="P42" s="92">
        <f>'Rider Rates'!$D$91</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5">
      <c r="A43" s="76" t="s">
        <v>104</v>
      </c>
      <c r="B43" s="72"/>
      <c r="C43" s="72"/>
      <c r="D43" s="113"/>
      <c r="E43" s="97" t="s">
        <v>57</v>
      </c>
      <c r="F43" s="84"/>
      <c r="G43" s="120"/>
      <c r="H43" s="85"/>
      <c r="I43" s="121">
        <f>'Rider Rates'!$B$95</f>
        <v>17.53</v>
      </c>
      <c r="J43" s="121">
        <f>SUM(G43:I43)</f>
        <v>17.53</v>
      </c>
      <c r="K43" s="94"/>
      <c r="L43" s="89"/>
      <c r="M43" s="89"/>
      <c r="N43" s="89">
        <f>I43</f>
        <v>17.53</v>
      </c>
      <c r="O43" s="89">
        <f>SUM(L43:N43)</f>
        <v>17.53</v>
      </c>
      <c r="P43" s="92">
        <f>'Rider Rates'!$D$95</f>
        <v>45657</v>
      </c>
    </row>
    <row r="44" spans="1:221" x14ac:dyDescent="0.25">
      <c r="A44" s="72" t="s">
        <v>178</v>
      </c>
      <c r="B44" s="72"/>
      <c r="C44" s="72"/>
      <c r="D44" s="4">
        <f>$D$29</f>
        <v>0</v>
      </c>
      <c r="E44" s="97" t="s">
        <v>19</v>
      </c>
      <c r="F44" s="84" t="s">
        <v>82</v>
      </c>
      <c r="G44" s="100"/>
      <c r="H44" s="100"/>
      <c r="I44" s="100"/>
      <c r="J44" s="100">
        <f>'Rider Rates'!$B$100</f>
        <v>0</v>
      </c>
      <c r="K44" s="94" t="s">
        <v>87</v>
      </c>
      <c r="L44" s="89"/>
      <c r="M44" s="89"/>
      <c r="N44" s="189"/>
      <c r="O44" s="89">
        <f>ROUND($D44*('Rider Rates'!B$100),2)</f>
        <v>0</v>
      </c>
      <c r="P44" s="92">
        <f>'Rider Rates'!$D$100</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179</v>
      </c>
      <c r="B45" s="72"/>
      <c r="C45" s="72"/>
      <c r="D45" s="4">
        <f>$D$30</f>
        <v>0</v>
      </c>
      <c r="E45" s="97" t="s">
        <v>19</v>
      </c>
      <c r="F45" s="84" t="s">
        <v>82</v>
      </c>
      <c r="G45" s="100"/>
      <c r="H45" s="100"/>
      <c r="I45" s="100"/>
      <c r="J45" s="100">
        <f>'Rider Rates'!$B$101</f>
        <v>0</v>
      </c>
      <c r="K45" s="94" t="s">
        <v>87</v>
      </c>
      <c r="L45" s="89"/>
      <c r="M45" s="89"/>
      <c r="N45" s="189"/>
      <c r="O45" s="89">
        <f>ROUND($D45*('Rider Rates'!B$101),2)</f>
        <v>0</v>
      </c>
      <c r="P45" s="92">
        <f>'Rider Rates'!$D$101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217">
        <f>$N$25</f>
        <v>9.4</v>
      </c>
      <c r="E46" s="97" t="s">
        <v>94</v>
      </c>
      <c r="F46" s="84" t="s">
        <v>82</v>
      </c>
      <c r="G46" s="120"/>
      <c r="H46" s="85"/>
      <c r="I46" s="119">
        <f>'Rider Rates'!$B$109</f>
        <v>0.2363101</v>
      </c>
      <c r="J46" s="119">
        <f>SUM(H46:I46)</f>
        <v>0.2363101</v>
      </c>
      <c r="K46" s="94"/>
      <c r="L46" s="89"/>
      <c r="M46" s="89"/>
      <c r="N46" s="89">
        <f>ROUND(N$25*I46,2)</f>
        <v>2.2200000000000002</v>
      </c>
      <c r="O46" s="89">
        <f t="shared" si="0"/>
        <v>2.2200000000000002</v>
      </c>
      <c r="P46" s="92">
        <f>'Rider Rates'!$D$109</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3"/>
      <c r="E47" s="97" t="s">
        <v>57</v>
      </c>
      <c r="F47" s="84"/>
      <c r="G47" s="120"/>
      <c r="H47" s="85"/>
      <c r="I47" s="121">
        <f>'Rider Rates'!$B$113</f>
        <v>0</v>
      </c>
      <c r="J47" s="121">
        <f>SUM(G47:I47)</f>
        <v>0</v>
      </c>
      <c r="K47" s="94"/>
      <c r="L47" s="89"/>
      <c r="M47" s="89"/>
      <c r="N47" s="89">
        <f>I47</f>
        <v>0</v>
      </c>
      <c r="O47" s="89">
        <f t="shared" ref="O47:O52" si="1">SUM(L47:N47)</f>
        <v>0</v>
      </c>
      <c r="P47" s="92">
        <f>'Rider Rates'!$D$113</f>
        <v>44894</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108</v>
      </c>
      <c r="B48" s="72"/>
      <c r="C48" s="72"/>
      <c r="D48" s="113"/>
      <c r="E48" s="97" t="s">
        <v>57</v>
      </c>
      <c r="F48" s="84"/>
      <c r="G48" s="120"/>
      <c r="H48" s="85"/>
      <c r="I48" s="123">
        <f>'Rider Rates'!B126</f>
        <v>4.84</v>
      </c>
      <c r="J48" s="121">
        <f>SUM(G48:I48)</f>
        <v>4.84</v>
      </c>
      <c r="K48" s="94"/>
      <c r="L48" s="89"/>
      <c r="M48" s="89"/>
      <c r="N48" s="125">
        <f>I48</f>
        <v>4.84</v>
      </c>
      <c r="O48" s="89">
        <f t="shared" si="1"/>
        <v>4.84</v>
      </c>
      <c r="P48" s="92">
        <f>'Rider Rates'!D126</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109</v>
      </c>
      <c r="B49" s="72"/>
      <c r="C49" s="72"/>
      <c r="D49" s="111">
        <f>'Customer Info'!$B$22+'Customer Info'!$B$23-'Customer Info'!$B$24</f>
        <v>0</v>
      </c>
      <c r="E49" s="97" t="s">
        <v>19</v>
      </c>
      <c r="F49" s="84" t="s">
        <v>82</v>
      </c>
      <c r="G49" s="100">
        <f>'Rider Rates'!$B$116</f>
        <v>3.8972999999999998E-3</v>
      </c>
      <c r="H49" s="100"/>
      <c r="I49" s="119"/>
      <c r="J49" s="115">
        <f>SUM(G49:H49)</f>
        <v>3.8972999999999998E-3</v>
      </c>
      <c r="K49" s="94" t="s">
        <v>87</v>
      </c>
      <c r="L49" s="89">
        <f>ROUND(D49*G49,2)</f>
        <v>0</v>
      </c>
      <c r="M49" s="89"/>
      <c r="N49" s="89"/>
      <c r="O49" s="89">
        <f t="shared" si="1"/>
        <v>0</v>
      </c>
      <c r="P49" s="92">
        <f>'Rider Rates'!$D$116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110</v>
      </c>
      <c r="B50" s="72"/>
      <c r="C50" s="72"/>
      <c r="D50" s="4">
        <f>IF($C$16&lt;1,0,$C$16)</f>
        <v>0</v>
      </c>
      <c r="E50" s="97" t="s">
        <v>19</v>
      </c>
      <c r="F50" s="126" t="s">
        <v>82</v>
      </c>
      <c r="G50" s="99"/>
      <c r="H50" s="99"/>
      <c r="I50" s="183">
        <f>'Rider Rates'!B122</f>
        <v>0</v>
      </c>
      <c r="J50" s="183">
        <f>SUM(G50:I50)</f>
        <v>0</v>
      </c>
      <c r="K50" s="94" t="s">
        <v>87</v>
      </c>
      <c r="L50" s="89"/>
      <c r="M50" s="89"/>
      <c r="N50" s="89">
        <f>D50*I50</f>
        <v>0</v>
      </c>
      <c r="O50" s="89">
        <f t="shared" si="1"/>
        <v>0</v>
      </c>
      <c r="P50" s="92">
        <f>'Rider Rates'!D122</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169</v>
      </c>
      <c r="B51" s="72"/>
      <c r="C51" s="72"/>
      <c r="D51" s="111">
        <f>IF(C16&lt;0,0,IF(C16&gt;833000,833000,C16))</f>
        <v>0</v>
      </c>
      <c r="E51" s="97" t="s">
        <v>19</v>
      </c>
      <c r="F51" s="84" t="s">
        <v>82</v>
      </c>
      <c r="G51" s="195"/>
      <c r="H51" s="195"/>
      <c r="I51" s="195">
        <f>'Rider Rates'!$B$130</f>
        <v>2.9050000000000001E-4</v>
      </c>
      <c r="J51" s="195">
        <f>SUM(G51:I51)</f>
        <v>2.9050000000000001E-4</v>
      </c>
      <c r="K51" s="94" t="s">
        <v>87</v>
      </c>
      <c r="L51" s="196"/>
      <c r="M51" s="196"/>
      <c r="N51" s="196">
        <f>IF(D51*J51&gt;'Rider Rates'!$C$130,'Rider Rates'!$C$130,D51*J51)</f>
        <v>0</v>
      </c>
      <c r="O51" s="196">
        <f t="shared" si="1"/>
        <v>0</v>
      </c>
      <c r="P51" s="129">
        <f>'Rider Rates'!$E$130</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170</v>
      </c>
      <c r="B52" s="72"/>
      <c r="C52" s="72"/>
      <c r="D52" s="4">
        <f>IF(C16&gt;833000,C16-833000,0)</f>
        <v>0</v>
      </c>
      <c r="E52" s="97" t="s">
        <v>19</v>
      </c>
      <c r="F52" s="84" t="s">
        <v>82</v>
      </c>
      <c r="G52" s="195"/>
      <c r="H52" s="195"/>
      <c r="I52" s="195">
        <f>'Rider Rates'!$B$131</f>
        <v>0</v>
      </c>
      <c r="J52" s="195">
        <f>SUM(G52:I52)</f>
        <v>0</v>
      </c>
      <c r="K52" s="94" t="s">
        <v>87</v>
      </c>
      <c r="L52" s="196"/>
      <c r="M52" s="196"/>
      <c r="N52" s="196">
        <f>D52*J52</f>
        <v>0</v>
      </c>
      <c r="O52" s="196">
        <f t="shared" si="1"/>
        <v>0</v>
      </c>
      <c r="P52" s="129">
        <f>'Rider Rates'!$E$131</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112</v>
      </c>
      <c r="B53" s="72"/>
      <c r="C53" s="72"/>
      <c r="D53" s="111">
        <f>D16</f>
        <v>0</v>
      </c>
      <c r="E53" s="97" t="s">
        <v>19</v>
      </c>
      <c r="F53" s="126" t="s">
        <v>82</v>
      </c>
      <c r="G53" s="100"/>
      <c r="H53" s="100"/>
      <c r="I53" s="100">
        <f>'Rider Rates'!$B$135</f>
        <v>0</v>
      </c>
      <c r="J53" s="115">
        <f>SUM(G53:I53)</f>
        <v>0</v>
      </c>
      <c r="K53" s="94" t="s">
        <v>87</v>
      </c>
      <c r="L53" s="89"/>
      <c r="M53" s="89"/>
      <c r="N53" s="89">
        <f>D53*J53</f>
        <v>0</v>
      </c>
      <c r="O53" s="89">
        <f>SUM(L53:N53)</f>
        <v>0</v>
      </c>
      <c r="P53" s="92">
        <f>'Rider Rates'!$D$135</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113</v>
      </c>
      <c r="B54" s="72"/>
      <c r="C54" s="72"/>
      <c r="D54" s="111"/>
      <c r="E54" s="97" t="s">
        <v>57</v>
      </c>
      <c r="F54" s="84" t="s">
        <v>82</v>
      </c>
      <c r="G54" s="127"/>
      <c r="H54" s="127"/>
      <c r="I54" s="127">
        <f>'Rider Rates'!$B$142</f>
        <v>0</v>
      </c>
      <c r="J54" s="127">
        <f>SUM(G54:I54)</f>
        <v>0</v>
      </c>
      <c r="K54" s="94"/>
      <c r="L54" s="128"/>
      <c r="M54" s="128"/>
      <c r="N54" s="128">
        <f>J54</f>
        <v>0</v>
      </c>
      <c r="O54" s="128">
        <f>SUM(L54:N54)</f>
        <v>0</v>
      </c>
      <c r="P54" s="129">
        <f>'Rider Rates'!$D$142</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114</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30" t="s">
        <v>115</v>
      </c>
      <c r="B56" s="69"/>
      <c r="C56" s="69"/>
      <c r="D56" s="131"/>
      <c r="E56" s="132"/>
      <c r="F56" s="133"/>
      <c r="G56" s="133"/>
      <c r="H56" s="133"/>
      <c r="I56" s="133"/>
      <c r="J56" s="133"/>
      <c r="K56" s="134"/>
      <c r="L56" s="105">
        <f>SUM(L29:L55)</f>
        <v>0</v>
      </c>
      <c r="M56" s="105">
        <f>SUM(M29:M55)</f>
        <v>0</v>
      </c>
      <c r="N56" s="105">
        <f>SUM(N29:N55)</f>
        <v>25.68</v>
      </c>
      <c r="O56" s="105">
        <f>SUM(O29:O55)</f>
        <v>25.68</v>
      </c>
      <c r="P56" s="135"/>
    </row>
    <row r="57" spans="1:221" x14ac:dyDescent="0.25">
      <c r="A57" s="144"/>
      <c r="D57" s="4"/>
      <c r="E57" s="152"/>
      <c r="F57" s="1"/>
      <c r="G57" s="218"/>
      <c r="H57" s="218"/>
      <c r="I57" s="218"/>
      <c r="J57" s="218"/>
      <c r="K57" s="154"/>
      <c r="L57" s="154"/>
      <c r="M57" s="154"/>
      <c r="N57" s="154"/>
      <c r="O57" s="213"/>
      <c r="P57" s="154"/>
    </row>
    <row r="58" spans="1:221" x14ac:dyDescent="0.25">
      <c r="A58" s="204" t="s">
        <v>181</v>
      </c>
      <c r="B58" s="186"/>
      <c r="C58" s="186"/>
      <c r="D58" s="186"/>
      <c r="E58" s="186"/>
      <c r="F58" s="186"/>
      <c r="G58" s="186"/>
      <c r="H58" s="186"/>
      <c r="I58" s="186"/>
      <c r="J58" s="186"/>
      <c r="K58" s="186"/>
      <c r="L58" s="219">
        <f>L25+L56</f>
        <v>0</v>
      </c>
      <c r="M58" s="219">
        <f>M25+M56</f>
        <v>0</v>
      </c>
      <c r="N58" s="219">
        <f>N25+N56</f>
        <v>35.08</v>
      </c>
      <c r="O58" s="219">
        <f>O25+O56</f>
        <v>35.08</v>
      </c>
      <c r="P58" s="219"/>
    </row>
    <row r="59" spans="1:221" x14ac:dyDescent="0.25">
      <c r="A59" s="144"/>
      <c r="B59" s="144"/>
      <c r="C59" s="144"/>
      <c r="D59" s="144"/>
      <c r="E59" s="144"/>
      <c r="F59" s="144"/>
      <c r="G59" s="144"/>
      <c r="H59" s="144"/>
      <c r="I59" s="144"/>
      <c r="J59" s="144"/>
      <c r="K59" s="144"/>
      <c r="L59" s="144"/>
      <c r="M59" s="144"/>
      <c r="N59" s="144"/>
      <c r="O59" s="171"/>
      <c r="P59" s="171"/>
    </row>
    <row r="60" spans="1:221" x14ac:dyDescent="0.25">
      <c r="A60" s="144" t="s">
        <v>194</v>
      </c>
      <c r="B60" s="144"/>
      <c r="C60" s="144"/>
      <c r="D60" s="144"/>
      <c r="E60" s="144"/>
      <c r="F60" s="144"/>
      <c r="G60" s="144"/>
      <c r="H60" s="144"/>
      <c r="I60" s="144"/>
      <c r="J60" s="144"/>
      <c r="K60" s="144"/>
      <c r="L60" s="144"/>
      <c r="M60" s="144"/>
      <c r="N60" s="144"/>
      <c r="O60" s="171">
        <f>O23+O56</f>
        <v>35.08</v>
      </c>
      <c r="P60" s="92">
        <v>40967</v>
      </c>
    </row>
    <row r="61" spans="1:221" x14ac:dyDescent="0.25">
      <c r="A61" s="144"/>
      <c r="B61" s="144"/>
      <c r="C61" s="144"/>
      <c r="D61" s="144"/>
      <c r="E61" s="144"/>
      <c r="F61" s="144"/>
      <c r="G61" s="220"/>
      <c r="H61" s="220"/>
      <c r="I61" s="220"/>
      <c r="J61" s="220"/>
      <c r="K61" s="154"/>
      <c r="L61" s="154"/>
      <c r="M61" s="154"/>
      <c r="N61" s="154"/>
      <c r="O61" s="171"/>
    </row>
    <row r="62" spans="1:221" x14ac:dyDescent="0.25">
      <c r="A62" s="155" t="s">
        <v>118</v>
      </c>
      <c r="B62" s="144"/>
      <c r="C62" s="144"/>
      <c r="D62" s="144"/>
      <c r="E62" s="144"/>
      <c r="F62" s="144"/>
      <c r="G62" s="220"/>
      <c r="H62" s="220"/>
      <c r="I62" s="220"/>
      <c r="J62" s="220"/>
      <c r="K62" s="154"/>
      <c r="L62" s="154"/>
      <c r="M62" s="154"/>
      <c r="N62" s="154"/>
      <c r="O62" s="142">
        <f>MAX($O$58,$O$60)</f>
        <v>35.08</v>
      </c>
    </row>
    <row r="63" spans="1:221" x14ac:dyDescent="0.25">
      <c r="A63" s="144"/>
      <c r="B63" s="144"/>
      <c r="C63" s="144"/>
      <c r="D63" s="144"/>
      <c r="E63" s="144"/>
      <c r="F63" s="144"/>
      <c r="G63" s="220"/>
      <c r="H63" s="220"/>
      <c r="I63" s="220"/>
      <c r="J63" s="220"/>
      <c r="K63" s="154"/>
      <c r="L63" s="154"/>
      <c r="M63" s="154"/>
      <c r="N63" s="154"/>
      <c r="O63" s="171"/>
    </row>
    <row r="64" spans="1:221" x14ac:dyDescent="0.25">
      <c r="A64" s="144"/>
      <c r="B64" s="144"/>
      <c r="C64" s="144"/>
      <c r="D64" s="144"/>
      <c r="E64" s="144"/>
      <c r="F64" s="144"/>
      <c r="G64" s="153" t="s">
        <v>195</v>
      </c>
      <c r="H64" s="220"/>
      <c r="I64" s="144"/>
      <c r="J64" s="220"/>
      <c r="K64" s="154"/>
      <c r="L64" s="143"/>
      <c r="M64" s="143"/>
      <c r="N64" s="143"/>
      <c r="O64" s="143">
        <f>ROUND(IF($C$16&lt;1,0,$O$62/($C$16*100)*10000),2)</f>
        <v>0</v>
      </c>
      <c r="P64" s="144" t="s">
        <v>120</v>
      </c>
    </row>
    <row r="65" spans="1:16" x14ac:dyDescent="0.25">
      <c r="A65" s="144"/>
      <c r="B65" s="144"/>
      <c r="C65" s="144"/>
      <c r="D65" s="144"/>
      <c r="E65" s="144"/>
      <c r="F65" s="144"/>
      <c r="G65" s="146" t="s">
        <v>121</v>
      </c>
      <c r="H65" s="221"/>
      <c r="I65" s="64"/>
      <c r="J65" s="221"/>
      <c r="K65" s="222"/>
      <c r="L65" s="72"/>
      <c r="M65" s="72"/>
      <c r="N65" s="72"/>
      <c r="O65" s="147">
        <f>ROUND(IF($C$16&lt;1,0,(L58)/($C$16*100)*10000),2)</f>
        <v>0</v>
      </c>
      <c r="P65" s="59" t="s">
        <v>120</v>
      </c>
    </row>
    <row r="66" spans="1:16" x14ac:dyDescent="0.25">
      <c r="A66" s="144"/>
      <c r="B66" s="144"/>
      <c r="C66" s="144"/>
      <c r="D66" s="144"/>
      <c r="E66" s="144"/>
      <c r="F66" s="144"/>
      <c r="G66" s="153"/>
      <c r="H66" s="220"/>
      <c r="I66" s="153"/>
      <c r="J66" s="220"/>
      <c r="K66" s="154"/>
      <c r="L66" s="154"/>
      <c r="M66" s="154"/>
      <c r="N66" s="154"/>
      <c r="O66" s="223"/>
      <c r="P66" s="144"/>
    </row>
    <row r="67" spans="1:16" ht="20.25" customHeight="1" x14ac:dyDescent="0.4">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5">
      <c r="A68" s="144"/>
      <c r="B68" s="144"/>
      <c r="C68" s="144"/>
      <c r="D68" s="174"/>
      <c r="E68" s="44"/>
      <c r="F68" s="1"/>
      <c r="G68" s="226"/>
      <c r="H68" s="226"/>
      <c r="I68" s="227"/>
      <c r="J68" s="226"/>
      <c r="K68" s="144"/>
      <c r="L68" s="144"/>
      <c r="M68" s="144"/>
      <c r="N68" s="144"/>
      <c r="O68" s="171"/>
    </row>
    <row r="69" spans="1:16" x14ac:dyDescent="0.25">
      <c r="A69" s="144"/>
      <c r="B69" s="144"/>
      <c r="C69" s="144"/>
      <c r="D69" s="174"/>
      <c r="E69" s="44"/>
      <c r="F69" s="1"/>
      <c r="G69" s="226"/>
      <c r="H69" s="226"/>
      <c r="I69" s="226"/>
      <c r="J69" s="226"/>
      <c r="K69" s="144"/>
      <c r="L69" s="144"/>
      <c r="M69" s="144"/>
      <c r="N69" s="144"/>
      <c r="O69" s="171"/>
    </row>
    <row r="70" spans="1:16" x14ac:dyDescent="0.25">
      <c r="A70" s="155"/>
      <c r="B70" s="144"/>
      <c r="C70" s="144"/>
      <c r="D70" s="144"/>
      <c r="E70" s="144"/>
      <c r="F70" s="144"/>
      <c r="G70" s="144"/>
      <c r="H70" s="144"/>
      <c r="J70" s="144"/>
      <c r="K70" s="144"/>
      <c r="L70" s="171"/>
      <c r="M70" s="171"/>
      <c r="N70" s="171"/>
      <c r="O70" s="142"/>
    </row>
    <row r="71" spans="1:16" x14ac:dyDescent="0.25">
      <c r="B71" s="144"/>
      <c r="C71" s="144"/>
      <c r="D71" s="144"/>
      <c r="E71" s="144"/>
      <c r="F71" s="144"/>
      <c r="G71" s="153"/>
      <c r="H71" s="144"/>
      <c r="I71" s="144"/>
      <c r="J71" s="144"/>
      <c r="K71" s="144"/>
      <c r="L71" s="228"/>
      <c r="M71" s="228"/>
      <c r="N71" s="228"/>
      <c r="O71" s="223"/>
      <c r="P71" s="144"/>
    </row>
    <row r="72" spans="1:16" x14ac:dyDescent="0.25">
      <c r="G72" s="64"/>
      <c r="H72" s="148"/>
      <c r="I72" s="64"/>
      <c r="J72" s="148"/>
      <c r="K72" s="148"/>
      <c r="L72" s="149"/>
      <c r="M72" s="149"/>
      <c r="N72" s="149"/>
      <c r="O72" s="150"/>
      <c r="P72" s="59"/>
    </row>
    <row r="74" spans="1:16" x14ac:dyDescent="0.25">
      <c r="A74" s="432"/>
    </row>
    <row r="75" spans="1:16" x14ac:dyDescent="0.25">
      <c r="A75" s="432"/>
    </row>
    <row r="76" spans="1:16" x14ac:dyDescent="0.25">
      <c r="A76" s="432"/>
    </row>
    <row r="77" spans="1:16" x14ac:dyDescent="0.25">
      <c r="A77" s="432"/>
    </row>
    <row r="78" spans="1:16" x14ac:dyDescent="0.25">
      <c r="A78" s="432"/>
    </row>
    <row r="79" spans="1:16" x14ac:dyDescent="0.25">
      <c r="A79" s="432"/>
    </row>
    <row r="80" spans="1:1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sheetData>
  <sheetProtection algorithmName="SHA-512" hashValue="CteShjg+4VIfj6A4MhscPbxKlpNS/MgyBFk2mr2TuyVHllmbwsBrjUfxgsJXAk0NbnqhYQKAoa39e+fPNJS8kQ==" saltValue="abLXxkYmBYsG5KZczGUTE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8"/>
  <sheetViews>
    <sheetView showGridLines="0" topLeftCell="A16"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196</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197</v>
      </c>
      <c r="C6" s="229"/>
      <c r="D6" s="229"/>
      <c r="E6" s="229"/>
      <c r="F6" s="229"/>
      <c r="G6" s="229"/>
      <c r="H6" s="229"/>
      <c r="I6" s="229"/>
      <c r="J6" s="229"/>
      <c r="K6" s="229"/>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5">
      <c r="C13" s="68" t="s">
        <v>184</v>
      </c>
      <c r="D13" s="68" t="s">
        <v>185</v>
      </c>
    </row>
    <row r="14" spans="1:256" x14ac:dyDescent="0.25">
      <c r="A14" s="158" t="s">
        <v>186</v>
      </c>
      <c r="B14" s="158"/>
      <c r="C14" s="206">
        <f>'Customer Info'!B19</f>
        <v>0</v>
      </c>
      <c r="D14" s="206">
        <f>ROUND(C14*C17,1)</f>
        <v>0</v>
      </c>
      <c r="E14" s="158" t="s">
        <v>13</v>
      </c>
      <c r="F14" s="160"/>
      <c r="G14" s="158" t="s">
        <v>2</v>
      </c>
      <c r="I14" s="207" t="s">
        <v>2</v>
      </c>
      <c r="J14" s="158"/>
      <c r="K14" s="158"/>
      <c r="L14" s="158"/>
      <c r="M14" s="158"/>
      <c r="N14" s="158"/>
    </row>
    <row r="15" spans="1:256" x14ac:dyDescent="0.25">
      <c r="A15" s="158" t="s">
        <v>187</v>
      </c>
      <c r="B15" s="158"/>
      <c r="C15" s="206">
        <f>'Customer Info'!B20</f>
        <v>0</v>
      </c>
      <c r="D15" s="206">
        <f>C15*C17</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5">
      <c r="A17" s="158" t="s">
        <v>189</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5">
      <c r="A18" s="158" t="s">
        <v>2</v>
      </c>
      <c r="B18" s="158"/>
      <c r="C18" s="210" t="s">
        <v>2</v>
      </c>
      <c r="D18" s="453" t="s">
        <v>2</v>
      </c>
      <c r="E18" s="453"/>
      <c r="F18" s="453"/>
      <c r="G18" s="453"/>
      <c r="H18" s="453"/>
      <c r="K18" s="158"/>
      <c r="L18" s="158"/>
      <c r="M18" s="158"/>
      <c r="N18" s="158"/>
      <c r="O18" s="188"/>
    </row>
    <row r="19" spans="1:30" x14ac:dyDescent="0.25">
      <c r="A19" s="158" t="s">
        <v>2</v>
      </c>
      <c r="B19" s="158"/>
      <c r="C19" s="210" t="s">
        <v>2</v>
      </c>
      <c r="D19" s="453" t="s">
        <v>2</v>
      </c>
      <c r="E19" s="453"/>
      <c r="F19" s="453"/>
      <c r="G19" s="453"/>
      <c r="H19" s="453"/>
      <c r="I19" s="57"/>
      <c r="J19" s="57"/>
      <c r="K19" s="158"/>
      <c r="L19" s="158"/>
      <c r="M19" s="158"/>
      <c r="N19" s="158"/>
      <c r="O19" s="188"/>
    </row>
    <row r="20" spans="1:30" x14ac:dyDescent="0.25">
      <c r="A20" s="158"/>
      <c r="B20" s="158"/>
      <c r="C20" s="160"/>
      <c r="D20" s="160"/>
      <c r="E20" s="160"/>
      <c r="F20" s="160"/>
      <c r="G20" s="57"/>
      <c r="H20" s="57"/>
      <c r="I20" s="57"/>
      <c r="J20" s="57"/>
      <c r="K20" s="158"/>
      <c r="L20" s="158"/>
      <c r="M20" s="158"/>
      <c r="N20" s="158"/>
      <c r="O20" s="158"/>
    </row>
    <row r="21" spans="1:30" x14ac:dyDescent="0.25">
      <c r="A21" s="162" t="s">
        <v>72</v>
      </c>
      <c r="B21" s="163"/>
      <c r="C21" s="163"/>
      <c r="D21" s="163"/>
      <c r="E21" s="163"/>
      <c r="F21" s="163"/>
      <c r="G21" s="445" t="s">
        <v>73</v>
      </c>
      <c r="H21" s="446"/>
      <c r="I21" s="446"/>
      <c r="J21" s="447"/>
      <c r="K21" s="163"/>
      <c r="L21" s="448" t="s">
        <v>74</v>
      </c>
      <c r="M21" s="448"/>
      <c r="N21" s="448"/>
      <c r="O21" s="448"/>
    </row>
    <row r="22" spans="1:30" x14ac:dyDescent="0.25">
      <c r="G22" s="164" t="s">
        <v>75</v>
      </c>
      <c r="H22" s="164" t="s">
        <v>76</v>
      </c>
      <c r="I22" s="164" t="s">
        <v>77</v>
      </c>
      <c r="J22" s="118" t="s">
        <v>78</v>
      </c>
      <c r="L22" s="165" t="s">
        <v>75</v>
      </c>
      <c r="M22" s="165" t="s">
        <v>76</v>
      </c>
      <c r="N22" s="165" t="s">
        <v>77</v>
      </c>
      <c r="O22" s="165" t="s">
        <v>78</v>
      </c>
      <c r="P22" s="166" t="s">
        <v>79</v>
      </c>
    </row>
    <row r="23" spans="1:30" x14ac:dyDescent="0.25">
      <c r="A23" t="s">
        <v>80</v>
      </c>
      <c r="G23" s="189"/>
      <c r="H23" s="189"/>
      <c r="I23" s="189">
        <v>138.5</v>
      </c>
      <c r="J23" s="189">
        <f>SUM(G23:I23)</f>
        <v>138.5</v>
      </c>
      <c r="L23" s="190"/>
      <c r="M23" s="190"/>
      <c r="N23" s="190">
        <f>I23</f>
        <v>138.5</v>
      </c>
      <c r="O23" s="128">
        <f>SUM(L23:N23)</f>
        <v>138.5</v>
      </c>
      <c r="P23" s="92">
        <v>44531</v>
      </c>
    </row>
    <row r="24" spans="1:30" x14ac:dyDescent="0.25">
      <c r="A24" t="s">
        <v>168</v>
      </c>
      <c r="D24" s="4">
        <f>D16</f>
        <v>0</v>
      </c>
      <c r="E24" s="97" t="s">
        <v>19</v>
      </c>
      <c r="F24" s="84" t="s">
        <v>82</v>
      </c>
      <c r="G24" s="191"/>
      <c r="H24" s="189"/>
      <c r="I24" s="191">
        <v>1.37173E-2</v>
      </c>
      <c r="J24" s="191">
        <f>I24</f>
        <v>1.37173E-2</v>
      </c>
      <c r="K24" s="94" t="s">
        <v>87</v>
      </c>
      <c r="L24" s="189"/>
      <c r="M24" s="190"/>
      <c r="N24" s="189">
        <f>D24*J24</f>
        <v>0</v>
      </c>
      <c r="O24" s="128">
        <f>SUM(L24:N24)</f>
        <v>0</v>
      </c>
      <c r="P24" s="92"/>
    </row>
    <row r="25" spans="1:30" x14ac:dyDescent="0.25">
      <c r="A25" s="144" t="s">
        <v>84</v>
      </c>
      <c r="B25" s="144"/>
      <c r="C25" s="144"/>
      <c r="D25" s="170"/>
      <c r="E25" s="170"/>
      <c r="F25" s="144"/>
      <c r="G25" s="144"/>
      <c r="H25" s="144"/>
      <c r="I25" s="144"/>
      <c r="J25" s="144"/>
      <c r="K25" s="172"/>
      <c r="L25" s="171"/>
      <c r="M25" s="171"/>
      <c r="N25" s="171">
        <f>SUM(N23:N24)</f>
        <v>138.5</v>
      </c>
      <c r="O25" s="171">
        <f>SUM(O23:O24)</f>
        <v>138.5</v>
      </c>
    </row>
    <row r="26" spans="1:30" x14ac:dyDescent="0.25">
      <c r="A26" s="192"/>
      <c r="B26" s="192"/>
      <c r="C26" s="193"/>
      <c r="D26" s="193"/>
      <c r="E26" s="193"/>
      <c r="F26" s="193"/>
      <c r="G26" s="194"/>
      <c r="H26" s="194"/>
      <c r="I26" s="194"/>
      <c r="J26" s="194"/>
      <c r="K26" s="192"/>
      <c r="L26" s="192"/>
      <c r="M26" s="192"/>
      <c r="N26" s="192"/>
      <c r="O26" s="192"/>
      <c r="P26" s="192"/>
    </row>
    <row r="27" spans="1:30" x14ac:dyDescent="0.25">
      <c r="A27" s="155" t="s">
        <v>85</v>
      </c>
      <c r="D27" s="4"/>
      <c r="E27" s="4"/>
      <c r="K27" s="154"/>
      <c r="L27" s="154"/>
      <c r="M27" s="154"/>
      <c r="N27" s="154"/>
      <c r="O27" s="213"/>
      <c r="P27" s="213"/>
    </row>
    <row r="28" spans="1:30" x14ac:dyDescent="0.25">
      <c r="A28" s="144"/>
      <c r="D28" s="4"/>
      <c r="E28" s="4"/>
      <c r="K28" s="154"/>
      <c r="L28" s="154"/>
      <c r="M28" s="154"/>
      <c r="N28" s="154"/>
      <c r="O28" s="213"/>
    </row>
    <row r="29" spans="1:30" x14ac:dyDescent="0.25">
      <c r="A29" s="72" t="s">
        <v>86</v>
      </c>
      <c r="D29" s="4">
        <f>IF($C$16&lt;0,0,IF($C$16&gt;833000,833000,$C$16))</f>
        <v>0</v>
      </c>
      <c r="E29" s="152" t="s">
        <v>19</v>
      </c>
      <c r="F29" s="1" t="s">
        <v>82</v>
      </c>
      <c r="G29" s="167"/>
      <c r="H29" s="191"/>
      <c r="I29" s="100">
        <f>'Rider Rates'!$B$4</f>
        <v>4.6278999999999999E-3</v>
      </c>
      <c r="J29" s="214">
        <f>SUM(G29:I29)</f>
        <v>4.6278999999999999E-3</v>
      </c>
      <c r="K29" s="154" t="s">
        <v>87</v>
      </c>
      <c r="L29" s="189"/>
      <c r="M29" s="189"/>
      <c r="N29" s="189">
        <f>ROUND($D29*I29,2)</f>
        <v>0</v>
      </c>
      <c r="O29" s="189">
        <f>SUM(L29:N29)</f>
        <v>0</v>
      </c>
      <c r="P29" s="92">
        <f>'Rider Rates'!$D$4</f>
        <v>45657</v>
      </c>
    </row>
    <row r="30" spans="1:30" x14ac:dyDescent="0.25">
      <c r="A30" s="72" t="s">
        <v>88</v>
      </c>
      <c r="D30" s="4">
        <f>IF($C$16-833000&gt;0,$C$16-D29,0)</f>
        <v>0</v>
      </c>
      <c r="E30" s="152" t="s">
        <v>19</v>
      </c>
      <c r="F30" s="1" t="s">
        <v>82</v>
      </c>
      <c r="G30" s="167"/>
      <c r="H30" s="191"/>
      <c r="I30" s="100">
        <f>'Rider Rates'!$B$5</f>
        <v>1.7560000000000001E-4</v>
      </c>
      <c r="J30" s="215">
        <f>SUM(G30:I30)</f>
        <v>1.7560000000000001E-4</v>
      </c>
      <c r="K30" s="154" t="s">
        <v>87</v>
      </c>
      <c r="L30" s="189"/>
      <c r="M30" s="189"/>
      <c r="N30" s="189">
        <f>ROUND($D30*I30,2)</f>
        <v>0</v>
      </c>
      <c r="O30" s="189">
        <f>SUM(L30:N30)</f>
        <v>0</v>
      </c>
      <c r="P30" s="92">
        <f>'Rider Rates'!$D$4</f>
        <v>45657</v>
      </c>
    </row>
    <row r="31" spans="1:30" x14ac:dyDescent="0.25">
      <c r="A31" s="72" t="s">
        <v>190</v>
      </c>
      <c r="B31" t="s">
        <v>2</v>
      </c>
      <c r="D31" s="4">
        <f>IF('Customer Info'!$C$33=TRUE,0,IF(C16&lt;0,0,IF(C16&gt;2000,2000,C16)))</f>
        <v>0</v>
      </c>
      <c r="E31" s="152" t="s">
        <v>19</v>
      </c>
      <c r="F31" s="1" t="s">
        <v>82</v>
      </c>
      <c r="G31" s="167"/>
      <c r="H31" s="191"/>
      <c r="I31" s="112">
        <f>'Rider Rates'!$B$8</f>
        <v>4.6499999999999996E-3</v>
      </c>
      <c r="J31" s="216">
        <f>SUM(G31:I31)</f>
        <v>4.6499999999999996E-3</v>
      </c>
      <c r="K31" s="154" t="s">
        <v>87</v>
      </c>
      <c r="L31" s="189"/>
      <c r="M31" s="189"/>
      <c r="N31" s="189">
        <f>ROUND($D31*I31,2)</f>
        <v>0</v>
      </c>
      <c r="O31" s="189">
        <f>SUM(L31:N31)</f>
        <v>0</v>
      </c>
      <c r="P31" s="92">
        <f>'Rider Rates'!$D$7</f>
        <v>44531</v>
      </c>
    </row>
    <row r="32" spans="1:30" x14ac:dyDescent="0.25">
      <c r="A32" s="72" t="s">
        <v>191</v>
      </c>
      <c r="B32" t="s">
        <v>2</v>
      </c>
      <c r="D32" s="4">
        <f>IF('Customer Info'!$C$33=TRUE,0,IF(C16&gt;15000,13000,IF(C16&gt;2000,C16-2000,0)))</f>
        <v>0</v>
      </c>
      <c r="E32" s="152" t="s">
        <v>19</v>
      </c>
      <c r="F32" s="1" t="s">
        <v>82</v>
      </c>
      <c r="G32" s="167"/>
      <c r="H32" s="191"/>
      <c r="I32" s="112">
        <f>'Rider Rates'!$B$9</f>
        <v>4.1900000000000001E-3</v>
      </c>
      <c r="J32" s="216">
        <f>SUM(G32:I32)</f>
        <v>4.1900000000000001E-3</v>
      </c>
      <c r="K32" s="154" t="s">
        <v>87</v>
      </c>
      <c r="L32" s="189"/>
      <c r="M32" s="189"/>
      <c r="N32" s="189">
        <f>ROUND($D32*I32,2)</f>
        <v>0</v>
      </c>
      <c r="O32" s="189">
        <f>SUM(L32:N32)</f>
        <v>0</v>
      </c>
      <c r="P32" s="92">
        <f>'Rider Rates'!$D$7</f>
        <v>44531</v>
      </c>
    </row>
    <row r="33" spans="1:221" x14ac:dyDescent="0.25">
      <c r="A33" s="72" t="s">
        <v>192</v>
      </c>
      <c r="B33" t="s">
        <v>2</v>
      </c>
      <c r="D33" s="4">
        <f>IF('Customer Info'!$C$33=TRUE,0,IF(C16-D31-D32&gt;0,C16-D31-D32,0))</f>
        <v>0</v>
      </c>
      <c r="E33" s="152" t="s">
        <v>19</v>
      </c>
      <c r="F33" s="1" t="s">
        <v>82</v>
      </c>
      <c r="G33" s="167"/>
      <c r="H33" s="191"/>
      <c r="I33" s="112">
        <f>'Rider Rates'!$B$10</f>
        <v>3.63E-3</v>
      </c>
      <c r="J33" s="216">
        <f>SUM(G33:I33)</f>
        <v>3.63E-3</v>
      </c>
      <c r="K33" s="154" t="s">
        <v>87</v>
      </c>
      <c r="L33" s="189"/>
      <c r="M33" s="189"/>
      <c r="N33" s="189">
        <f>ROUND($D33*I33,2)</f>
        <v>0</v>
      </c>
      <c r="O33" s="189">
        <f>SUM(L33:N33)</f>
        <v>0</v>
      </c>
      <c r="P33" s="92">
        <f>'Rider Rates'!$D$7</f>
        <v>44531</v>
      </c>
    </row>
    <row r="34" spans="1:221" x14ac:dyDescent="0.25">
      <c r="A34" s="72" t="s">
        <v>93</v>
      </c>
      <c r="B34" s="72"/>
      <c r="C34" s="72"/>
      <c r="D34" s="217">
        <f>$N$25</f>
        <v>138.5</v>
      </c>
      <c r="E34" s="97" t="s">
        <v>94</v>
      </c>
      <c r="F34" s="84" t="s">
        <v>82</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5">
      <c r="A35" s="76" t="s">
        <v>95</v>
      </c>
      <c r="B35" s="72"/>
      <c r="C35" s="72"/>
      <c r="D35" s="111">
        <f>'Customer Info'!$B$22+'Customer Info'!$B$23-'Customer Info'!$B$24</f>
        <v>0</v>
      </c>
      <c r="E35" s="97" t="s">
        <v>19</v>
      </c>
      <c r="F35" s="84" t="s">
        <v>82</v>
      </c>
      <c r="G35" s="100">
        <f>'Rider Rates'!B24</f>
        <v>6.7849999999999994E-2</v>
      </c>
      <c r="H35" s="100"/>
      <c r="I35" s="100"/>
      <c r="J35" s="115">
        <f>SUM(G35:H35)</f>
        <v>6.7849999999999994E-2</v>
      </c>
      <c r="K35" s="94" t="s">
        <v>87</v>
      </c>
      <c r="L35" s="89">
        <f>ROUND(D35*G35,2)</f>
        <v>0</v>
      </c>
      <c r="M35" s="89"/>
      <c r="N35" s="89"/>
      <c r="O35" s="89">
        <f t="shared" si="0"/>
        <v>0</v>
      </c>
      <c r="P35" s="92">
        <f>'Rider Rates'!$D$23</f>
        <v>45444</v>
      </c>
    </row>
    <row r="36" spans="1:221" x14ac:dyDescent="0.25">
      <c r="A36" s="72" t="s">
        <v>96</v>
      </c>
      <c r="B36" s="72"/>
      <c r="C36" s="72"/>
      <c r="D36" s="111">
        <f>'Customer Info'!$B$22+'Customer Info'!$B$23-'Customer Info'!$B$24</f>
        <v>0</v>
      </c>
      <c r="E36" s="97" t="s">
        <v>19</v>
      </c>
      <c r="F36" s="84" t="s">
        <v>82</v>
      </c>
      <c r="G36" s="100">
        <f>'Rider Rates'!$B$42</f>
        <v>2.14E-3</v>
      </c>
      <c r="H36" s="100"/>
      <c r="I36" s="100"/>
      <c r="J36" s="115">
        <f>SUM(G36:H36)</f>
        <v>2.14E-3</v>
      </c>
      <c r="K36" s="94" t="s">
        <v>87</v>
      </c>
      <c r="L36" s="89">
        <f>ROUND(D36*G36,2)</f>
        <v>0</v>
      </c>
      <c r="M36" s="89"/>
      <c r="N36" s="89"/>
      <c r="O36" s="89">
        <f t="shared" si="0"/>
        <v>0</v>
      </c>
      <c r="P36" s="92">
        <f>'Rider Rates'!$D$42</f>
        <v>45444</v>
      </c>
    </row>
    <row r="37" spans="1:221" x14ac:dyDescent="0.25">
      <c r="A37" s="76" t="s">
        <v>97</v>
      </c>
      <c r="B37" s="72"/>
      <c r="C37" s="72"/>
      <c r="D37" s="111">
        <f>'Customer Info'!$B$22+'Customer Info'!$B$23-'Customer Info'!$B$24</f>
        <v>0</v>
      </c>
      <c r="E37" s="97" t="s">
        <v>19</v>
      </c>
      <c r="F37" s="84" t="s">
        <v>82</v>
      </c>
      <c r="G37" s="100">
        <f>'Rider Rates'!$B$49</f>
        <v>4.5009999999999999E-4</v>
      </c>
      <c r="H37" s="100"/>
      <c r="I37" s="100"/>
      <c r="J37" s="115">
        <f>SUM(G37:H37)</f>
        <v>4.5009999999999999E-4</v>
      </c>
      <c r="K37" s="94" t="s">
        <v>87</v>
      </c>
      <c r="L37" s="89">
        <f>ROUND(D37*G37,2)</f>
        <v>0</v>
      </c>
      <c r="M37" s="89"/>
      <c r="N37" s="89"/>
      <c r="O37" s="89">
        <f t="shared" si="0"/>
        <v>0</v>
      </c>
      <c r="P37" s="92">
        <f>'Rider Rates'!$D$49</f>
        <v>45657</v>
      </c>
    </row>
    <row r="38" spans="1:221" x14ac:dyDescent="0.25">
      <c r="A38" s="72" t="s">
        <v>98</v>
      </c>
      <c r="B38" s="72"/>
      <c r="C38" s="72"/>
      <c r="D38" s="4">
        <f>IF($C$16&lt;0,0,IF($C$16&gt;833000,833000,$C$16))</f>
        <v>0</v>
      </c>
      <c r="E38" s="97" t="s">
        <v>19</v>
      </c>
      <c r="F38" s="84" t="s">
        <v>82</v>
      </c>
      <c r="G38" s="100"/>
      <c r="H38" s="100"/>
      <c r="I38" s="100">
        <f>'Rider Rates'!D53</f>
        <v>1.8006999999999999E-3</v>
      </c>
      <c r="J38" s="100">
        <f>SUM(G38:I38)</f>
        <v>1.8006999999999999E-3</v>
      </c>
      <c r="K38" s="94" t="s">
        <v>87</v>
      </c>
      <c r="L38" s="89"/>
      <c r="M38" s="89"/>
      <c r="N38" s="189">
        <f>D38*J38</f>
        <v>0</v>
      </c>
      <c r="O38" s="89">
        <f t="shared" si="0"/>
        <v>0</v>
      </c>
      <c r="P38" s="92">
        <f>'Rider Rates'!E53</f>
        <v>45658</v>
      </c>
    </row>
    <row r="39" spans="1:221" x14ac:dyDescent="0.25">
      <c r="A39" s="76" t="s">
        <v>99</v>
      </c>
      <c r="B39" s="72"/>
      <c r="C39" s="72"/>
      <c r="D39" s="4">
        <f>IF($C$16&lt;0,0,$C$16)</f>
        <v>0</v>
      </c>
      <c r="E39" s="97" t="s">
        <v>19</v>
      </c>
      <c r="F39" s="84" t="s">
        <v>82</v>
      </c>
      <c r="G39" s="100"/>
      <c r="H39" s="100">
        <f>'Rider Rates'!G60</f>
        <v>3.2698999999999999E-2</v>
      </c>
      <c r="I39" s="100"/>
      <c r="J39" s="100">
        <f>SUM(G39:I39)</f>
        <v>3.2698999999999999E-2</v>
      </c>
      <c r="K39" s="94" t="s">
        <v>87</v>
      </c>
      <c r="L39" s="89"/>
      <c r="M39" s="89">
        <f>ROUND(D39*H39,2)</f>
        <v>0</v>
      </c>
      <c r="N39" s="116"/>
      <c r="O39" s="89">
        <f t="shared" si="0"/>
        <v>0</v>
      </c>
      <c r="P39" s="92">
        <f>'Rider Rates'!H60</f>
        <v>45383</v>
      </c>
    </row>
    <row r="40" spans="1:221" x14ac:dyDescent="0.25">
      <c r="A40" s="76" t="s">
        <v>193</v>
      </c>
      <c r="B40" s="72"/>
      <c r="C40" s="72"/>
      <c r="D40" s="4">
        <f>IF('Customer Info'!C35=TRUE,0,IF($C$16&lt;0,0,$C$16))</f>
        <v>0</v>
      </c>
      <c r="E40" s="97" t="s">
        <v>19</v>
      </c>
      <c r="F40" s="84" t="s">
        <v>82</v>
      </c>
      <c r="G40" s="100"/>
      <c r="H40" s="100"/>
      <c r="I40" s="100">
        <f>'Rider Rates'!$B$75+'Rider Rates'!$C$75</f>
        <v>0</v>
      </c>
      <c r="J40" s="100">
        <f>SUM(G40:I40)</f>
        <v>0</v>
      </c>
      <c r="K40" s="94" t="s">
        <v>87</v>
      </c>
      <c r="L40" s="89"/>
      <c r="M40" s="89"/>
      <c r="N40" s="189">
        <f>ROUND($D$40*'Rider Rates'!$B$75,2)+ROUND($D$40*'Rider Rates'!$C$75,2)</f>
        <v>0</v>
      </c>
      <c r="O40" s="128">
        <f t="shared" si="0"/>
        <v>0</v>
      </c>
      <c r="P40" s="92">
        <f>'Rider Rates'!$D$75</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5">
      <c r="A41" s="76" t="s">
        <v>102</v>
      </c>
      <c r="B41" s="72"/>
      <c r="C41" s="72"/>
      <c r="D41" s="217">
        <f>$N$25</f>
        <v>138.5</v>
      </c>
      <c r="E41" s="97" t="s">
        <v>94</v>
      </c>
      <c r="F41" s="84" t="s">
        <v>82</v>
      </c>
      <c r="G41" s="117"/>
      <c r="H41" s="118"/>
      <c r="I41" s="119">
        <f>'Rider Rates'!$B$89</f>
        <v>4.94232E-2</v>
      </c>
      <c r="J41" s="119">
        <f>SUM(H41:I41)</f>
        <v>4.94232E-2</v>
      </c>
      <c r="K41" s="94"/>
      <c r="L41" s="89"/>
      <c r="M41" s="89"/>
      <c r="N41" s="89">
        <f>ROUND(N$25*I41,2)</f>
        <v>6.85</v>
      </c>
      <c r="O41" s="128">
        <f t="shared" si="0"/>
        <v>6.85</v>
      </c>
      <c r="P41" s="92">
        <f>'Rider Rates'!$D$89</f>
        <v>45562</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5">
      <c r="A42" s="76" t="s">
        <v>103</v>
      </c>
      <c r="B42" s="72"/>
      <c r="C42" s="72"/>
      <c r="D42" s="217">
        <f>$N$25</f>
        <v>138.5</v>
      </c>
      <c r="E42" s="97" t="s">
        <v>94</v>
      </c>
      <c r="F42" s="84" t="s">
        <v>82</v>
      </c>
      <c r="G42" s="120"/>
      <c r="H42" s="85"/>
      <c r="I42" s="119">
        <f>'Rider Rates'!$B$91</f>
        <v>6.6985699999999995E-2</v>
      </c>
      <c r="J42" s="119">
        <f>SUM(H42:I42)</f>
        <v>6.6985699999999995E-2</v>
      </c>
      <c r="K42" s="94"/>
      <c r="L42" s="89"/>
      <c r="M42" s="89"/>
      <c r="N42" s="89">
        <f>ROUND(N$25*I42,2)</f>
        <v>9.2799999999999994</v>
      </c>
      <c r="O42" s="128">
        <f t="shared" si="0"/>
        <v>9.2799999999999994</v>
      </c>
      <c r="P42" s="92">
        <f>'Rider Rates'!$D$91</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5">
      <c r="A43" s="76" t="s">
        <v>104</v>
      </c>
      <c r="B43" s="72"/>
      <c r="C43" s="72"/>
      <c r="D43" s="113"/>
      <c r="E43" s="97" t="s">
        <v>57</v>
      </c>
      <c r="F43" s="84"/>
      <c r="G43" s="120"/>
      <c r="H43" s="85"/>
      <c r="I43" s="121">
        <f>'Rider Rates'!$B$95</f>
        <v>17.53</v>
      </c>
      <c r="J43" s="121">
        <f>SUM(G43:I43)</f>
        <v>17.53</v>
      </c>
      <c r="K43" s="94"/>
      <c r="L43" s="89"/>
      <c r="M43" s="89"/>
      <c r="N43" s="89">
        <f>I43</f>
        <v>17.53</v>
      </c>
      <c r="O43" s="89">
        <f>SUM(L43:N43)</f>
        <v>17.53</v>
      </c>
      <c r="P43" s="92">
        <f>'Rider Rates'!$D$95</f>
        <v>45657</v>
      </c>
    </row>
    <row r="44" spans="1:221" x14ac:dyDescent="0.25">
      <c r="A44" s="72" t="s">
        <v>178</v>
      </c>
      <c r="B44" s="72"/>
      <c r="C44" s="72"/>
      <c r="D44" s="4">
        <f>$D$29</f>
        <v>0</v>
      </c>
      <c r="E44" s="97" t="s">
        <v>19</v>
      </c>
      <c r="F44" s="84" t="s">
        <v>82</v>
      </c>
      <c r="G44" s="100"/>
      <c r="H44" s="100"/>
      <c r="I44" s="100"/>
      <c r="J44" s="100">
        <f>'Rider Rates'!$B$100</f>
        <v>0</v>
      </c>
      <c r="K44" s="94" t="s">
        <v>87</v>
      </c>
      <c r="L44" s="89"/>
      <c r="M44" s="89"/>
      <c r="N44" s="189"/>
      <c r="O44" s="89">
        <f>ROUND($D44*('Rider Rates'!B$100),2)</f>
        <v>0</v>
      </c>
      <c r="P44" s="92">
        <f>'Rider Rates'!$D$100</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179</v>
      </c>
      <c r="B45" s="72"/>
      <c r="C45" s="72"/>
      <c r="D45" s="4">
        <f>$D$30</f>
        <v>0</v>
      </c>
      <c r="E45" s="97" t="s">
        <v>19</v>
      </c>
      <c r="F45" s="84" t="s">
        <v>82</v>
      </c>
      <c r="G45" s="100"/>
      <c r="H45" s="100"/>
      <c r="I45" s="100"/>
      <c r="J45" s="100">
        <f>'Rider Rates'!$B$101</f>
        <v>0</v>
      </c>
      <c r="K45" s="94" t="s">
        <v>87</v>
      </c>
      <c r="L45" s="89"/>
      <c r="M45" s="89"/>
      <c r="N45" s="189"/>
      <c r="O45" s="89">
        <f>ROUND($D45*('Rider Rates'!B$101),2)</f>
        <v>0</v>
      </c>
      <c r="P45" s="92">
        <f>'Rider Rates'!$D$101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217">
        <f>$N$25</f>
        <v>138.5</v>
      </c>
      <c r="E46" s="97" t="s">
        <v>94</v>
      </c>
      <c r="F46" s="84" t="s">
        <v>82</v>
      </c>
      <c r="G46" s="120"/>
      <c r="H46" s="85"/>
      <c r="I46" s="119">
        <f>'Rider Rates'!$B$109</f>
        <v>0.2363101</v>
      </c>
      <c r="J46" s="119">
        <f>SUM(H46:I46)</f>
        <v>0.2363101</v>
      </c>
      <c r="K46" s="94"/>
      <c r="L46" s="89"/>
      <c r="M46" s="89"/>
      <c r="N46" s="89">
        <f>ROUND(N$25*I46,2)</f>
        <v>32.729999999999997</v>
      </c>
      <c r="O46" s="89">
        <f t="shared" si="0"/>
        <v>32.729999999999997</v>
      </c>
      <c r="P46" s="92">
        <f>'Rider Rates'!$D$109</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3"/>
      <c r="E47" s="97" t="s">
        <v>57</v>
      </c>
      <c r="F47" s="84"/>
      <c r="G47" s="120"/>
      <c r="H47" s="85"/>
      <c r="I47" s="121">
        <f>'Rider Rates'!$B$113</f>
        <v>0</v>
      </c>
      <c r="J47" s="121">
        <f>SUM(G47:I47)</f>
        <v>0</v>
      </c>
      <c r="K47" s="94"/>
      <c r="L47" s="89"/>
      <c r="M47" s="89"/>
      <c r="N47" s="89">
        <f>I47</f>
        <v>0</v>
      </c>
      <c r="O47" s="89">
        <f t="shared" ref="O47:O52" si="1">SUM(L47:N47)</f>
        <v>0</v>
      </c>
      <c r="P47" s="92">
        <f>'Rider Rates'!$D$113</f>
        <v>44894</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108</v>
      </c>
      <c r="B48" s="72"/>
      <c r="C48" s="72"/>
      <c r="D48" s="113"/>
      <c r="E48" s="97" t="s">
        <v>57</v>
      </c>
      <c r="F48" s="84"/>
      <c r="G48" s="120"/>
      <c r="H48" s="85"/>
      <c r="I48" s="123">
        <f>'Rider Rates'!B126</f>
        <v>4.84</v>
      </c>
      <c r="J48" s="121">
        <f>SUM(G48:I48)</f>
        <v>4.84</v>
      </c>
      <c r="K48" s="94"/>
      <c r="L48" s="89"/>
      <c r="M48" s="89"/>
      <c r="N48" s="125">
        <f>I48</f>
        <v>4.84</v>
      </c>
      <c r="O48" s="89">
        <f t="shared" si="1"/>
        <v>4.84</v>
      </c>
      <c r="P48" s="92">
        <f>'Rider Rates'!D126</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109</v>
      </c>
      <c r="B49" s="72"/>
      <c r="C49" s="72"/>
      <c r="D49" s="111">
        <f>'Customer Info'!$B$22+'Customer Info'!$B$23-'Customer Info'!$B$24</f>
        <v>0</v>
      </c>
      <c r="E49" s="97" t="s">
        <v>19</v>
      </c>
      <c r="F49" s="84" t="s">
        <v>82</v>
      </c>
      <c r="G49" s="100">
        <f>'Rider Rates'!$B$117</f>
        <v>3.7618E-3</v>
      </c>
      <c r="H49" s="100"/>
      <c r="I49" s="119"/>
      <c r="J49" s="115">
        <f>SUM(G49:H49)</f>
        <v>3.7618E-3</v>
      </c>
      <c r="K49" s="94" t="s">
        <v>87</v>
      </c>
      <c r="L49" s="89">
        <f>ROUND(D49*G49,2)</f>
        <v>0</v>
      </c>
      <c r="M49" s="89"/>
      <c r="N49" s="89"/>
      <c r="O49" s="89">
        <f t="shared" si="1"/>
        <v>0</v>
      </c>
      <c r="P49" s="92">
        <f>'Rider Rates'!$D$117</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110</v>
      </c>
      <c r="B50" s="72"/>
      <c r="C50" s="72"/>
      <c r="D50" s="4">
        <f>IF($C$16&lt;1,0,$C$16)</f>
        <v>0</v>
      </c>
      <c r="E50" s="97" t="s">
        <v>19</v>
      </c>
      <c r="F50" s="126" t="s">
        <v>82</v>
      </c>
      <c r="G50" s="99"/>
      <c r="H50" s="99"/>
      <c r="I50" s="183">
        <f>'Rider Rates'!B122</f>
        <v>0</v>
      </c>
      <c r="J50" s="183">
        <f>SUM(G50:I50)</f>
        <v>0</v>
      </c>
      <c r="K50" s="94" t="s">
        <v>87</v>
      </c>
      <c r="L50" s="89"/>
      <c r="M50" s="89"/>
      <c r="N50" s="89">
        <f>D50*I50</f>
        <v>0</v>
      </c>
      <c r="O50" s="89">
        <f t="shared" si="1"/>
        <v>0</v>
      </c>
      <c r="P50" s="92">
        <f>'Rider Rates'!D122</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169</v>
      </c>
      <c r="B51" s="72"/>
      <c r="C51" s="72"/>
      <c r="D51" s="111">
        <f>IF(C16&lt;0,0,IF(C16&gt;833000,833000,C16))</f>
        <v>0</v>
      </c>
      <c r="E51" s="97" t="s">
        <v>19</v>
      </c>
      <c r="F51" s="84" t="s">
        <v>82</v>
      </c>
      <c r="G51" s="195"/>
      <c r="H51" s="195"/>
      <c r="I51" s="195">
        <f>'Rider Rates'!$B$130</f>
        <v>2.9050000000000001E-4</v>
      </c>
      <c r="J51" s="195">
        <f>SUM(G51:I51)</f>
        <v>2.9050000000000001E-4</v>
      </c>
      <c r="K51" s="94" t="s">
        <v>87</v>
      </c>
      <c r="L51" s="196"/>
      <c r="M51" s="196"/>
      <c r="N51" s="196">
        <f>IF(D51*J51&gt;'Rider Rates'!$C$130,'Rider Rates'!$C$130,D51*J51)</f>
        <v>0</v>
      </c>
      <c r="O51" s="196">
        <f t="shared" si="1"/>
        <v>0</v>
      </c>
      <c r="P51" s="129">
        <f>'Rider Rates'!$E$130</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170</v>
      </c>
      <c r="B52" s="72"/>
      <c r="C52" s="72"/>
      <c r="D52" s="4">
        <f>IF(C16&gt;833000,C16-833000,0)</f>
        <v>0</v>
      </c>
      <c r="E52" s="97" t="s">
        <v>19</v>
      </c>
      <c r="F52" s="84" t="s">
        <v>82</v>
      </c>
      <c r="G52" s="195"/>
      <c r="H52" s="195"/>
      <c r="I52" s="195">
        <f>'Rider Rates'!$B$131</f>
        <v>0</v>
      </c>
      <c r="J52" s="195">
        <f>SUM(G52:I52)</f>
        <v>0</v>
      </c>
      <c r="K52" s="94" t="s">
        <v>87</v>
      </c>
      <c r="L52" s="196"/>
      <c r="M52" s="196"/>
      <c r="N52" s="196">
        <f>D52*J52</f>
        <v>0</v>
      </c>
      <c r="O52" s="196">
        <f t="shared" si="1"/>
        <v>0</v>
      </c>
      <c r="P52" s="129">
        <f>'Rider Rates'!$E$131</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112</v>
      </c>
      <c r="B53" s="72"/>
      <c r="C53" s="72"/>
      <c r="D53" s="111">
        <f>D16</f>
        <v>0</v>
      </c>
      <c r="E53" s="97" t="s">
        <v>19</v>
      </c>
      <c r="F53" s="126" t="s">
        <v>82</v>
      </c>
      <c r="G53" s="100"/>
      <c r="H53" s="100"/>
      <c r="I53" s="100">
        <f>'Rider Rates'!$B$137</f>
        <v>0</v>
      </c>
      <c r="J53" s="115">
        <f>SUM(G53:I53)</f>
        <v>0</v>
      </c>
      <c r="K53" s="94" t="s">
        <v>87</v>
      </c>
      <c r="L53" s="89"/>
      <c r="M53" s="89"/>
      <c r="N53" s="89">
        <f>D53*J53</f>
        <v>0</v>
      </c>
      <c r="O53" s="89">
        <f>SUM(L53:N53)</f>
        <v>0</v>
      </c>
      <c r="P53" s="92">
        <f>'Rider Rates'!$D$135</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113</v>
      </c>
      <c r="B54" s="72"/>
      <c r="C54" s="72"/>
      <c r="D54" s="111"/>
      <c r="E54" s="97" t="s">
        <v>57</v>
      </c>
      <c r="F54" s="84" t="s">
        <v>82</v>
      </c>
      <c r="G54" s="127"/>
      <c r="H54" s="127"/>
      <c r="I54" s="127">
        <f>'Rider Rates'!$B$142</f>
        <v>0</v>
      </c>
      <c r="J54" s="127">
        <f>SUM(G54:I54)</f>
        <v>0</v>
      </c>
      <c r="K54" s="94"/>
      <c r="L54" s="128"/>
      <c r="M54" s="128"/>
      <c r="N54" s="128">
        <f>J54</f>
        <v>0</v>
      </c>
      <c r="O54" s="128">
        <f>SUM(L54:N54)</f>
        <v>0</v>
      </c>
      <c r="P54" s="129">
        <f>'Rider Rates'!$D$142</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114</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30" t="s">
        <v>115</v>
      </c>
      <c r="B56" s="69"/>
      <c r="C56" s="69"/>
      <c r="D56" s="131"/>
      <c r="E56" s="132"/>
      <c r="F56" s="133"/>
      <c r="G56" s="133"/>
      <c r="H56" s="133"/>
      <c r="I56" s="133"/>
      <c r="J56" s="133"/>
      <c r="K56" s="134"/>
      <c r="L56" s="105">
        <f>SUM(L29:L55)</f>
        <v>0</v>
      </c>
      <c r="M56" s="105">
        <f>SUM(M29:M55)</f>
        <v>0</v>
      </c>
      <c r="N56" s="105">
        <f>SUM(N29:N55)</f>
        <v>71.22999999999999</v>
      </c>
      <c r="O56" s="105">
        <f>SUM(O29:O55)</f>
        <v>71.22999999999999</v>
      </c>
      <c r="P56" s="135"/>
    </row>
    <row r="57" spans="1:221" x14ac:dyDescent="0.25">
      <c r="A57" s="144"/>
      <c r="D57" s="4"/>
      <c r="E57" s="152"/>
      <c r="F57" s="1"/>
      <c r="G57" s="218"/>
      <c r="H57" s="218"/>
      <c r="I57" s="218"/>
      <c r="J57" s="218"/>
      <c r="K57" s="154"/>
      <c r="L57" s="154"/>
      <c r="M57" s="154"/>
      <c r="N57" s="154"/>
      <c r="O57" s="213"/>
      <c r="P57" s="154"/>
    </row>
    <row r="58" spans="1:221" x14ac:dyDescent="0.25">
      <c r="A58" s="204" t="s">
        <v>181</v>
      </c>
      <c r="B58" s="186"/>
      <c r="C58" s="186"/>
      <c r="D58" s="186"/>
      <c r="E58" s="186"/>
      <c r="F58" s="186"/>
      <c r="G58" s="186"/>
      <c r="H58" s="186"/>
      <c r="I58" s="186"/>
      <c r="J58" s="186"/>
      <c r="K58" s="186"/>
      <c r="L58" s="219">
        <f>L25+L56</f>
        <v>0</v>
      </c>
      <c r="M58" s="219">
        <f>M25+M56</f>
        <v>0</v>
      </c>
      <c r="N58" s="219">
        <f>N25+N56</f>
        <v>209.73</v>
      </c>
      <c r="O58" s="219">
        <f>O25+O56</f>
        <v>209.73</v>
      </c>
      <c r="P58" s="219"/>
    </row>
    <row r="59" spans="1:221" x14ac:dyDescent="0.25">
      <c r="A59" s="144"/>
      <c r="B59" s="144"/>
      <c r="C59" s="144"/>
      <c r="D59" s="144"/>
      <c r="E59" s="144"/>
      <c r="F59" s="144"/>
      <c r="G59" s="144"/>
      <c r="H59" s="144"/>
      <c r="I59" s="144"/>
      <c r="J59" s="144"/>
      <c r="K59" s="144"/>
      <c r="L59" s="144"/>
      <c r="M59" s="144"/>
      <c r="N59" s="144"/>
      <c r="O59" s="171"/>
      <c r="P59" s="171"/>
    </row>
    <row r="60" spans="1:221" x14ac:dyDescent="0.25">
      <c r="A60" s="144" t="s">
        <v>194</v>
      </c>
      <c r="B60" s="144"/>
      <c r="C60" s="144"/>
      <c r="D60" s="144"/>
      <c r="E60" s="144"/>
      <c r="F60" s="144"/>
      <c r="G60" s="144"/>
      <c r="H60" s="144"/>
      <c r="I60" s="144"/>
      <c r="J60" s="144"/>
      <c r="K60" s="144"/>
      <c r="L60" s="144"/>
      <c r="M60" s="144"/>
      <c r="N60" s="144"/>
      <c r="O60" s="171">
        <f>O23+O56</f>
        <v>209.73</v>
      </c>
      <c r="P60" s="92">
        <v>40967</v>
      </c>
    </row>
    <row r="61" spans="1:221" x14ac:dyDescent="0.25">
      <c r="A61" s="144"/>
      <c r="B61" s="144"/>
      <c r="C61" s="144"/>
      <c r="D61" s="144"/>
      <c r="E61" s="144"/>
      <c r="F61" s="144"/>
      <c r="G61" s="220"/>
      <c r="H61" s="220"/>
      <c r="I61" s="220"/>
      <c r="J61" s="220"/>
      <c r="K61" s="154"/>
      <c r="L61" s="154"/>
      <c r="M61" s="154"/>
      <c r="N61" s="154"/>
      <c r="O61" s="171"/>
    </row>
    <row r="62" spans="1:221" x14ac:dyDescent="0.25">
      <c r="A62" s="155" t="s">
        <v>118</v>
      </c>
      <c r="B62" s="144"/>
      <c r="C62" s="144"/>
      <c r="D62" s="144"/>
      <c r="E62" s="144"/>
      <c r="F62" s="144"/>
      <c r="G62" s="220"/>
      <c r="H62" s="220"/>
      <c r="I62" s="220"/>
      <c r="J62" s="220"/>
      <c r="K62" s="154"/>
      <c r="L62" s="154"/>
      <c r="M62" s="154"/>
      <c r="N62" s="154"/>
      <c r="O62" s="142">
        <f>MAX($O$58,$O$60)</f>
        <v>209.73</v>
      </c>
    </row>
    <row r="63" spans="1:221" x14ac:dyDescent="0.25">
      <c r="A63" s="144"/>
      <c r="B63" s="144"/>
      <c r="C63" s="144"/>
      <c r="D63" s="144"/>
      <c r="E63" s="144"/>
      <c r="F63" s="144"/>
      <c r="G63" s="220"/>
      <c r="H63" s="220"/>
      <c r="I63" s="220"/>
      <c r="J63" s="220"/>
      <c r="K63" s="154"/>
      <c r="L63" s="154"/>
      <c r="M63" s="154"/>
      <c r="N63" s="154"/>
      <c r="O63" s="171"/>
    </row>
    <row r="64" spans="1:221" x14ac:dyDescent="0.25">
      <c r="A64" s="144"/>
      <c r="B64" s="144"/>
      <c r="C64" s="144"/>
      <c r="D64" s="144"/>
      <c r="E64" s="144"/>
      <c r="F64" s="144"/>
      <c r="G64" s="153" t="s">
        <v>195</v>
      </c>
      <c r="H64" s="220"/>
      <c r="I64" s="144"/>
      <c r="J64" s="220"/>
      <c r="K64" s="154"/>
      <c r="L64" s="143"/>
      <c r="M64" s="143"/>
      <c r="N64" s="143"/>
      <c r="O64" s="143">
        <f>ROUND(IF($C$16&lt;1,0,$O$62/($C$16*100)*10000),2)</f>
        <v>0</v>
      </c>
      <c r="P64" s="144" t="s">
        <v>120</v>
      </c>
    </row>
    <row r="65" spans="1:16" x14ac:dyDescent="0.25">
      <c r="A65" s="144"/>
      <c r="B65" s="144"/>
      <c r="C65" s="144"/>
      <c r="D65" s="144"/>
      <c r="E65" s="144"/>
      <c r="F65" s="144"/>
      <c r="G65" s="146" t="s">
        <v>121</v>
      </c>
      <c r="H65" s="221"/>
      <c r="I65" s="64"/>
      <c r="J65" s="221"/>
      <c r="K65" s="222"/>
      <c r="L65" s="72"/>
      <c r="M65" s="72"/>
      <c r="N65" s="72"/>
      <c r="O65" s="147">
        <f>ROUND(IF($C$16&lt;1,0,(L58)/($C$16*100)*10000),2)</f>
        <v>0</v>
      </c>
      <c r="P65" s="59" t="s">
        <v>120</v>
      </c>
    </row>
    <row r="66" spans="1:16" x14ac:dyDescent="0.25">
      <c r="A66" s="144"/>
      <c r="B66" s="144"/>
      <c r="C66" s="144"/>
      <c r="D66" s="144"/>
      <c r="E66" s="144"/>
      <c r="F66" s="144"/>
      <c r="G66" s="153"/>
      <c r="H66" s="220"/>
      <c r="I66" s="153"/>
      <c r="J66" s="220"/>
      <c r="K66" s="154"/>
      <c r="L66" s="154"/>
      <c r="M66" s="154"/>
      <c r="N66" s="154"/>
      <c r="O66" s="223"/>
      <c r="P66" s="144"/>
    </row>
    <row r="67" spans="1:16" ht="20.25" customHeight="1" x14ac:dyDescent="0.4">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5">
      <c r="A68" s="144"/>
      <c r="B68" s="144"/>
      <c r="C68" s="144"/>
      <c r="D68" s="174"/>
      <c r="E68" s="44"/>
      <c r="F68" s="1"/>
      <c r="G68" s="226"/>
      <c r="H68" s="226"/>
      <c r="I68" s="227"/>
      <c r="J68" s="226"/>
      <c r="K68" s="144"/>
      <c r="L68" s="144"/>
      <c r="M68" s="144"/>
      <c r="N68" s="144"/>
      <c r="O68" s="171"/>
    </row>
    <row r="69" spans="1:16" x14ac:dyDescent="0.25">
      <c r="A69" s="144"/>
      <c r="B69" s="144"/>
      <c r="C69" s="144"/>
      <c r="D69" s="174"/>
      <c r="E69" s="44"/>
      <c r="F69" s="1"/>
      <c r="G69" s="226"/>
      <c r="H69" s="226"/>
      <c r="I69" s="226"/>
      <c r="J69" s="226"/>
      <c r="K69" s="144"/>
      <c r="L69" s="144"/>
      <c r="M69" s="144"/>
      <c r="N69" s="144"/>
      <c r="O69" s="171"/>
    </row>
    <row r="70" spans="1:16" x14ac:dyDescent="0.25">
      <c r="A70" s="155"/>
      <c r="B70" s="144"/>
      <c r="C70" s="144"/>
      <c r="D70" s="144"/>
      <c r="E70" s="144"/>
      <c r="F70" s="144"/>
      <c r="G70" s="144"/>
      <c r="H70" s="144"/>
      <c r="J70" s="144"/>
      <c r="K70" s="144"/>
      <c r="L70" s="171"/>
      <c r="M70" s="171"/>
      <c r="N70" s="171"/>
      <c r="O70" s="142"/>
    </row>
    <row r="71" spans="1:16" x14ac:dyDescent="0.25">
      <c r="B71" s="144"/>
      <c r="C71" s="144"/>
      <c r="D71" s="144"/>
      <c r="E71" s="144"/>
      <c r="F71" s="144"/>
      <c r="G71" s="153"/>
      <c r="H71" s="144"/>
      <c r="I71" s="144"/>
      <c r="J71" s="144"/>
      <c r="K71" s="144"/>
      <c r="L71" s="228"/>
      <c r="M71" s="228"/>
      <c r="N71" s="228"/>
      <c r="O71" s="223"/>
      <c r="P71" s="144"/>
    </row>
    <row r="72" spans="1:16" x14ac:dyDescent="0.25">
      <c r="G72" s="64"/>
      <c r="H72" s="148"/>
      <c r="I72" s="64"/>
      <c r="J72" s="148"/>
      <c r="K72" s="148"/>
      <c r="L72" s="149"/>
      <c r="M72" s="149"/>
      <c r="N72" s="149"/>
      <c r="O72" s="150"/>
      <c r="P72" s="59"/>
    </row>
    <row r="74" spans="1:16" x14ac:dyDescent="0.25">
      <c r="A74" s="432"/>
    </row>
    <row r="75" spans="1:16" x14ac:dyDescent="0.25">
      <c r="A75" s="432"/>
    </row>
    <row r="76" spans="1:16" x14ac:dyDescent="0.25">
      <c r="A76" s="432"/>
    </row>
    <row r="77" spans="1:16" x14ac:dyDescent="0.25">
      <c r="A77" s="432"/>
    </row>
    <row r="78" spans="1:16" x14ac:dyDescent="0.25">
      <c r="A78" s="432"/>
    </row>
    <row r="79" spans="1:16" x14ac:dyDescent="0.25">
      <c r="A79" s="432"/>
    </row>
    <row r="80" spans="1:1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sheetData>
  <sheetProtection password="D7E1"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6"/>
  <sheetViews>
    <sheetView topLeftCell="A26" zoomScale="85" zoomScaleNormal="85" workbookViewId="0">
      <selection activeCell="B22" sqref="B22"/>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58" t="s">
        <v>52</v>
      </c>
      <c r="B1" s="458"/>
      <c r="C1" s="458"/>
      <c r="D1" s="458"/>
      <c r="E1" s="458"/>
      <c r="F1" s="458"/>
      <c r="G1" s="458"/>
      <c r="H1" s="458"/>
      <c r="I1" s="458"/>
      <c r="J1" s="458"/>
      <c r="K1" s="458"/>
      <c r="L1" s="458"/>
      <c r="M1" s="458"/>
      <c r="N1" s="458"/>
      <c r="O1" s="458"/>
      <c r="P1" s="458"/>
    </row>
    <row r="2" spans="1:30" ht="21" x14ac:dyDescent="0.4">
      <c r="A2" s="458" t="s">
        <v>141</v>
      </c>
      <c r="B2" s="458"/>
      <c r="C2" s="458"/>
      <c r="D2" s="458"/>
      <c r="E2" s="458"/>
      <c r="F2" s="458"/>
      <c r="G2" s="458"/>
      <c r="H2" s="458"/>
      <c r="I2" s="458"/>
      <c r="J2" s="458"/>
      <c r="K2" s="458"/>
      <c r="L2" s="458"/>
      <c r="M2" s="458"/>
      <c r="N2" s="458"/>
      <c r="O2" s="458"/>
      <c r="P2" s="458"/>
    </row>
    <row r="3" spans="1:30" ht="17.399999999999999" x14ac:dyDescent="0.3">
      <c r="A3" s="459" t="s">
        <v>198</v>
      </c>
      <c r="B3" s="459"/>
      <c r="C3" s="459"/>
      <c r="D3" s="459"/>
      <c r="E3" s="459"/>
      <c r="F3" s="459"/>
      <c r="G3" s="459"/>
      <c r="H3" s="459"/>
      <c r="I3" s="459"/>
      <c r="J3" s="459"/>
      <c r="K3" s="459"/>
      <c r="L3" s="459"/>
      <c r="M3" s="459"/>
      <c r="N3" s="459"/>
      <c r="O3" s="459"/>
      <c r="P3" s="459"/>
    </row>
    <row r="4" spans="1:30" ht="15.6" x14ac:dyDescent="0.3">
      <c r="A4" s="460" t="str">
        <f>'Customer Info'!B12</f>
        <v>Breakdown of Charges Based on Entered Information</v>
      </c>
      <c r="B4" s="460"/>
      <c r="C4" s="460"/>
      <c r="D4" s="460"/>
      <c r="E4" s="460"/>
      <c r="F4" s="460"/>
      <c r="G4" s="460"/>
      <c r="H4" s="460"/>
      <c r="I4" s="460"/>
      <c r="J4" s="460"/>
      <c r="K4" s="460"/>
      <c r="L4" s="460"/>
      <c r="M4" s="460"/>
      <c r="N4" s="460"/>
      <c r="O4" s="460"/>
      <c r="P4" s="460"/>
    </row>
    <row r="5" spans="1:30" ht="15" x14ac:dyDescent="0.25">
      <c r="A5" s="231"/>
      <c r="B5" s="231"/>
      <c r="C5" s="231"/>
      <c r="D5" s="231"/>
      <c r="E5" s="231"/>
      <c r="F5" s="231"/>
      <c r="G5" s="231"/>
      <c r="H5" s="231" t="s">
        <v>199</v>
      </c>
      <c r="I5" s="231"/>
      <c r="J5" s="231"/>
      <c r="K5" s="231"/>
    </row>
    <row r="6" spans="1:30" x14ac:dyDescent="0.25">
      <c r="A6" s="232">
        <f ca="1">TODAY()</f>
        <v>45656</v>
      </c>
      <c r="B6" s="233"/>
      <c r="C6" s="232"/>
      <c r="D6" s="232"/>
      <c r="E6" s="232"/>
      <c r="F6" s="232"/>
      <c r="G6" s="232"/>
      <c r="H6" s="232"/>
      <c r="I6" s="232"/>
    </row>
    <row r="7" spans="1:30" ht="24.6" x14ac:dyDescent="0.4">
      <c r="A7" s="461"/>
      <c r="B7" s="461"/>
      <c r="C7" s="461"/>
      <c r="D7" s="461"/>
      <c r="E7" s="461"/>
      <c r="F7" s="461"/>
      <c r="G7" s="461"/>
      <c r="H7" s="461"/>
      <c r="I7" s="461"/>
      <c r="J7" s="461"/>
      <c r="K7" s="461"/>
      <c r="L7" s="461"/>
      <c r="M7" s="461"/>
      <c r="N7" s="461"/>
      <c r="O7" s="461"/>
      <c r="P7" s="461"/>
    </row>
    <row r="9" spans="1:30" ht="15" x14ac:dyDescent="0.25">
      <c r="A9" s="234" t="s">
        <v>5</v>
      </c>
      <c r="B9" s="235"/>
      <c r="C9" s="236">
        <f>'Customer Info'!B7</f>
        <v>0</v>
      </c>
      <c r="I9" s="237"/>
    </row>
    <row r="10" spans="1:30" ht="15" x14ac:dyDescent="0.25">
      <c r="A10" s="238" t="s">
        <v>55</v>
      </c>
      <c r="B10" s="235"/>
      <c r="C10" s="236">
        <f>'Customer Info'!B8</f>
        <v>0</v>
      </c>
    </row>
    <row r="11" spans="1:30" x14ac:dyDescent="0.25">
      <c r="A11" s="234" t="s">
        <v>124</v>
      </c>
      <c r="B11" s="239">
        <f>'Customer Info'!B9</f>
        <v>1</v>
      </c>
      <c r="C11" s="240" t="str">
        <f>LOOKUP(B11,R11:AD11,R12:AD12)</f>
        <v>January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2"/>
      <c r="B12" s="462"/>
      <c r="C12" s="462"/>
      <c r="D12" s="462"/>
      <c r="E12" s="462"/>
      <c r="F12" s="462"/>
      <c r="G12" s="462"/>
      <c r="H12" s="462"/>
      <c r="I12" s="462"/>
      <c r="J12" s="241"/>
      <c r="K12" s="241"/>
      <c r="L12" s="242"/>
      <c r="M12" s="242"/>
      <c r="N12" s="242"/>
      <c r="O12" s="242"/>
      <c r="P12" s="242"/>
      <c r="R12" s="230" t="s">
        <v>57</v>
      </c>
      <c r="S12" s="243" t="s">
        <v>58</v>
      </c>
      <c r="T12" s="243" t="s">
        <v>59</v>
      </c>
      <c r="U12" s="243" t="s">
        <v>60</v>
      </c>
      <c r="V12" s="243" t="s">
        <v>61</v>
      </c>
      <c r="W12" s="243" t="s">
        <v>62</v>
      </c>
      <c r="X12" s="243" t="s">
        <v>63</v>
      </c>
      <c r="Y12" s="243" t="s">
        <v>64</v>
      </c>
      <c r="Z12" s="243" t="s">
        <v>65</v>
      </c>
      <c r="AA12" s="243" t="s">
        <v>66</v>
      </c>
      <c r="AB12" s="243" t="s">
        <v>67</v>
      </c>
      <c r="AC12" s="243" t="s">
        <v>68</v>
      </c>
      <c r="AD12" s="243" t="s">
        <v>69</v>
      </c>
    </row>
    <row r="13" spans="1:30" x14ac:dyDescent="0.25">
      <c r="A13" s="244" t="s">
        <v>70</v>
      </c>
      <c r="B13" s="245"/>
      <c r="C13" s="245"/>
      <c r="D13" s="245"/>
      <c r="E13" s="245"/>
      <c r="F13" s="245"/>
      <c r="G13" s="245"/>
      <c r="H13" s="245"/>
      <c r="I13" s="245"/>
      <c r="R13" s="233" t="s">
        <v>145</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71</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172</v>
      </c>
      <c r="B16" s="247"/>
      <c r="C16" s="248">
        <f>'Customer Info'!B22</f>
        <v>0</v>
      </c>
      <c r="D16" s="247" t="s">
        <v>19</v>
      </c>
      <c r="E16" s="247"/>
      <c r="F16" s="249"/>
      <c r="G16" s="234" t="s">
        <v>2</v>
      </c>
      <c r="H16" s="247"/>
    </row>
    <row r="17" spans="1:22" x14ac:dyDescent="0.25">
      <c r="A17" s="247" t="s">
        <v>173</v>
      </c>
      <c r="B17" s="247"/>
      <c r="C17" s="248">
        <f>'Customer Info'!B23</f>
        <v>0</v>
      </c>
      <c r="D17" s="250" t="s">
        <v>19</v>
      </c>
      <c r="E17" s="249"/>
      <c r="F17" s="249"/>
      <c r="G17" s="234" t="s">
        <v>2</v>
      </c>
      <c r="H17" s="247"/>
      <c r="I17" s="251" t="s">
        <v>2</v>
      </c>
    </row>
    <row r="19" spans="1:22" x14ac:dyDescent="0.25">
      <c r="A19" s="244" t="s">
        <v>72</v>
      </c>
      <c r="B19" s="245"/>
      <c r="C19" s="245"/>
      <c r="D19" s="245"/>
      <c r="E19" s="245"/>
      <c r="F19" s="245"/>
      <c r="G19" s="454" t="s">
        <v>73</v>
      </c>
      <c r="H19" s="455"/>
      <c r="I19" s="455"/>
      <c r="J19" s="456"/>
      <c r="K19" s="245"/>
      <c r="L19" s="457" t="s">
        <v>74</v>
      </c>
      <c r="M19" s="457"/>
      <c r="N19" s="457"/>
      <c r="O19" s="457"/>
    </row>
    <row r="20" spans="1:22" x14ac:dyDescent="0.25">
      <c r="G20" s="252" t="s">
        <v>75</v>
      </c>
      <c r="H20" s="252" t="s">
        <v>76</v>
      </c>
      <c r="I20" s="252" t="s">
        <v>77</v>
      </c>
      <c r="J20" s="253" t="s">
        <v>78</v>
      </c>
      <c r="L20" s="254" t="s">
        <v>75</v>
      </c>
      <c r="M20" s="254" t="s">
        <v>76</v>
      </c>
      <c r="N20" s="254" t="s">
        <v>77</v>
      </c>
      <c r="O20" s="254" t="s">
        <v>78</v>
      </c>
      <c r="P20" s="255" t="s">
        <v>79</v>
      </c>
    </row>
    <row r="21" spans="1:22" x14ac:dyDescent="0.25">
      <c r="A21" s="230" t="s">
        <v>80</v>
      </c>
      <c r="G21" s="256"/>
      <c r="H21" s="256"/>
      <c r="I21" s="256">
        <f>'Rider Rates'!B148</f>
        <v>9.4</v>
      </c>
      <c r="J21" s="256">
        <f>SUM(G21:I21)</f>
        <v>9.4</v>
      </c>
      <c r="L21" s="257"/>
      <c r="M21" s="257"/>
      <c r="N21" s="257">
        <f>I21</f>
        <v>9.4</v>
      </c>
      <c r="O21" s="256">
        <f>SUM(L21:N21)</f>
        <v>9.4</v>
      </c>
      <c r="P21" s="258">
        <v>44531</v>
      </c>
    </row>
    <row r="22" spans="1:22" x14ac:dyDescent="0.25">
      <c r="A22" s="233" t="s">
        <v>174</v>
      </c>
      <c r="D22" s="259">
        <f>C15</f>
        <v>0</v>
      </c>
      <c r="E22" s="260" t="s">
        <v>19</v>
      </c>
      <c r="F22" s="261" t="s">
        <v>82</v>
      </c>
      <c r="G22" s="262"/>
      <c r="H22" s="262"/>
      <c r="I22" s="262">
        <f>'Rider Rates'!C148</f>
        <v>2.0634799999999998E-2</v>
      </c>
      <c r="J22" s="262">
        <f>SUM(G22:I22)</f>
        <v>2.0634799999999998E-2</v>
      </c>
      <c r="K22" s="263" t="s">
        <v>87</v>
      </c>
      <c r="L22" s="256"/>
      <c r="M22" s="256"/>
      <c r="N22" s="256">
        <f>IF(C15&lt;0,0,ROUND($D22*I22,2))</f>
        <v>0</v>
      </c>
      <c r="O22" s="256">
        <f>SUM(L22:N22)</f>
        <v>0</v>
      </c>
      <c r="P22" s="258">
        <f>'Rider Rates'!H148</f>
        <v>45444</v>
      </c>
    </row>
    <row r="23" spans="1:22" x14ac:dyDescent="0.25">
      <c r="A23" s="264" t="s">
        <v>84</v>
      </c>
      <c r="B23" s="264"/>
      <c r="C23" s="264"/>
      <c r="D23" s="265"/>
      <c r="E23" s="265"/>
      <c r="F23" s="264"/>
      <c r="G23" s="264"/>
      <c r="H23" s="264"/>
      <c r="I23" s="264"/>
      <c r="J23" s="264"/>
      <c r="K23" s="266"/>
      <c r="L23" s="267"/>
      <c r="M23" s="267"/>
      <c r="N23" s="267">
        <f>SUM(N21:N22)</f>
        <v>9.4</v>
      </c>
      <c r="O23" s="267">
        <f>SUM(O21:O22)</f>
        <v>9.4</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85</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86</v>
      </c>
      <c r="B27" s="275"/>
      <c r="C27" s="275"/>
      <c r="D27" s="259">
        <f>IF($C$15&lt;0,0,IF($C$15&gt;833000,833000,$C$15))</f>
        <v>0</v>
      </c>
      <c r="E27" s="260" t="s">
        <v>19</v>
      </c>
      <c r="F27" s="261" t="s">
        <v>82</v>
      </c>
      <c r="G27" s="276"/>
      <c r="H27" s="276"/>
      <c r="I27" s="276">
        <f>'Rider Rates'!$B$4</f>
        <v>4.6278999999999999E-3</v>
      </c>
      <c r="J27" s="276">
        <f t="shared" ref="J27:J48" si="0">SUM(G27:I27)</f>
        <v>4.6278999999999999E-3</v>
      </c>
      <c r="K27" s="263" t="s">
        <v>87</v>
      </c>
      <c r="L27" s="91"/>
      <c r="M27" s="91"/>
      <c r="N27" s="91">
        <f t="shared" ref="N27:N32" si="1">ROUND(D27*I27,2)</f>
        <v>0</v>
      </c>
      <c r="O27" s="91">
        <f t="shared" ref="O27:O49" si="2">SUM(L27:N27)</f>
        <v>0</v>
      </c>
      <c r="P27" s="258">
        <f>'Rider Rates'!$D$4</f>
        <v>45657</v>
      </c>
      <c r="Q27" s="261"/>
      <c r="R27" s="277"/>
      <c r="S27" s="263"/>
      <c r="T27" s="273"/>
      <c r="V27" s="274"/>
    </row>
    <row r="28" spans="1:22" x14ac:dyDescent="0.25">
      <c r="A28" s="233" t="s">
        <v>88</v>
      </c>
      <c r="D28" s="259">
        <f>IF($C$15&gt;833000,$C$15-833000,0)</f>
        <v>0</v>
      </c>
      <c r="E28" s="260" t="s">
        <v>19</v>
      </c>
      <c r="F28" s="261" t="s">
        <v>82</v>
      </c>
      <c r="G28" s="276"/>
      <c r="H28" s="276"/>
      <c r="I28" s="276">
        <f>'Rider Rates'!$B$5</f>
        <v>1.7560000000000001E-4</v>
      </c>
      <c r="J28" s="276">
        <f t="shared" si="0"/>
        <v>1.7560000000000001E-4</v>
      </c>
      <c r="K28" s="263" t="s">
        <v>87</v>
      </c>
      <c r="L28" s="91"/>
      <c r="M28" s="91"/>
      <c r="N28" s="91">
        <f t="shared" si="1"/>
        <v>0</v>
      </c>
      <c r="O28" s="91">
        <f t="shared" si="2"/>
        <v>0</v>
      </c>
      <c r="P28" s="258">
        <f>'Rider Rates'!$D$4</f>
        <v>45657</v>
      </c>
      <c r="Q28" s="261"/>
      <c r="R28" s="277"/>
      <c r="S28" s="263"/>
      <c r="T28" s="273"/>
      <c r="V28" s="274"/>
    </row>
    <row r="29" spans="1:22" x14ac:dyDescent="0.25">
      <c r="A29" s="233" t="s">
        <v>89</v>
      </c>
      <c r="D29" s="259">
        <f>IF('Customer Info'!$C$33=TRUE,0,IF($C$15&lt;0,0,IF($C$15&gt;2000,2000,$C$15)))</f>
        <v>0</v>
      </c>
      <c r="E29" s="260" t="s">
        <v>19</v>
      </c>
      <c r="F29" s="261" t="s">
        <v>82</v>
      </c>
      <c r="G29" s="276"/>
      <c r="H29" s="276"/>
      <c r="I29" s="278">
        <f>'Rider Rates'!$B$8</f>
        <v>4.6499999999999996E-3</v>
      </c>
      <c r="J29" s="278">
        <f t="shared" si="0"/>
        <v>4.6499999999999996E-3</v>
      </c>
      <c r="K29" s="263" t="s">
        <v>87</v>
      </c>
      <c r="L29" s="91"/>
      <c r="M29" s="91"/>
      <c r="N29" s="91">
        <f t="shared" si="1"/>
        <v>0</v>
      </c>
      <c r="O29" s="91">
        <f t="shared" si="2"/>
        <v>0</v>
      </c>
      <c r="P29" s="258">
        <f>'Rider Rates'!$D$7</f>
        <v>44531</v>
      </c>
      <c r="Q29" s="261"/>
      <c r="R29" s="277"/>
      <c r="S29" s="263"/>
      <c r="T29" s="273"/>
      <c r="V29" s="274"/>
    </row>
    <row r="30" spans="1:22" x14ac:dyDescent="0.25">
      <c r="A30" s="233" t="s">
        <v>90</v>
      </c>
      <c r="D30" s="259">
        <f>IF('Customer Info'!$C$33=TRUE,0,IF($C$15&lt;=2000,0,IF($C$15=0,0,IF($C$15-2000&gt;13000,13000,$C$15-2000))))</f>
        <v>0</v>
      </c>
      <c r="E30" s="260" t="s">
        <v>19</v>
      </c>
      <c r="F30" s="261" t="s">
        <v>82</v>
      </c>
      <c r="G30" s="276"/>
      <c r="H30" s="276"/>
      <c r="I30" s="278">
        <f>'Rider Rates'!$B$9</f>
        <v>4.1900000000000001E-3</v>
      </c>
      <c r="J30" s="278">
        <f t="shared" si="0"/>
        <v>4.1900000000000001E-3</v>
      </c>
      <c r="K30" s="263" t="s">
        <v>87</v>
      </c>
      <c r="L30" s="91"/>
      <c r="M30" s="91"/>
      <c r="N30" s="91">
        <f t="shared" si="1"/>
        <v>0</v>
      </c>
      <c r="O30" s="91">
        <f t="shared" si="2"/>
        <v>0</v>
      </c>
      <c r="P30" s="258">
        <f>'Rider Rates'!$D$7</f>
        <v>44531</v>
      </c>
      <c r="Q30" s="261"/>
      <c r="R30" s="277"/>
      <c r="S30" s="263"/>
      <c r="T30" s="273"/>
      <c r="V30" s="274"/>
    </row>
    <row r="31" spans="1:22" x14ac:dyDescent="0.25">
      <c r="A31" s="233" t="s">
        <v>91</v>
      </c>
      <c r="D31" s="259">
        <f>IF('Customer Info'!$C$33=TRUE,0,IF($C$15=0,0,IF($C$15-15000&gt;=0,$C$15-15000,0)))</f>
        <v>0</v>
      </c>
      <c r="E31" s="260" t="s">
        <v>19</v>
      </c>
      <c r="F31" s="261" t="s">
        <v>82</v>
      </c>
      <c r="G31" s="276"/>
      <c r="H31" s="276"/>
      <c r="I31" s="278">
        <f>'Rider Rates'!$B$10</f>
        <v>3.63E-3</v>
      </c>
      <c r="J31" s="278">
        <f t="shared" si="0"/>
        <v>3.63E-3</v>
      </c>
      <c r="K31" s="263" t="s">
        <v>87</v>
      </c>
      <c r="L31" s="91"/>
      <c r="M31" s="91"/>
      <c r="N31" s="91">
        <f t="shared" si="1"/>
        <v>0</v>
      </c>
      <c r="O31" s="91">
        <f t="shared" si="2"/>
        <v>0</v>
      </c>
      <c r="P31" s="258">
        <f>'Rider Rates'!$D$7</f>
        <v>44531</v>
      </c>
      <c r="Q31" s="261"/>
      <c r="R31" s="277"/>
      <c r="S31" s="263"/>
      <c r="T31" s="273"/>
      <c r="V31" s="274"/>
    </row>
    <row r="32" spans="1:22" x14ac:dyDescent="0.25">
      <c r="A32" s="233" t="s">
        <v>92</v>
      </c>
      <c r="D32" s="259">
        <f>IF($C$15&lt;0,0,$C$15)</f>
        <v>0</v>
      </c>
      <c r="E32" s="260" t="s">
        <v>19</v>
      </c>
      <c r="F32" s="261" t="s">
        <v>82</v>
      </c>
      <c r="G32" s="276"/>
      <c r="H32" s="276"/>
      <c r="I32" s="276">
        <f>'Rider Rates'!$B$16</f>
        <v>0</v>
      </c>
      <c r="J32" s="276">
        <f>SUM(G32:I32)</f>
        <v>0</v>
      </c>
      <c r="K32" s="263" t="s">
        <v>87</v>
      </c>
      <c r="L32" s="91"/>
      <c r="M32" s="91"/>
      <c r="N32" s="91">
        <f t="shared" si="1"/>
        <v>0</v>
      </c>
      <c r="O32" s="91">
        <f t="shared" si="2"/>
        <v>0</v>
      </c>
      <c r="P32" s="258">
        <f>'Rider Rates'!$D$16</f>
        <v>45197</v>
      </c>
      <c r="Q32" s="261"/>
      <c r="R32" s="277"/>
      <c r="S32" s="263"/>
      <c r="T32" s="273"/>
      <c r="V32" s="274"/>
    </row>
    <row r="33" spans="1:22" x14ac:dyDescent="0.25">
      <c r="A33" s="233" t="s">
        <v>93</v>
      </c>
      <c r="D33" s="279">
        <f>$N$23</f>
        <v>9.4</v>
      </c>
      <c r="E33" s="260" t="s">
        <v>94</v>
      </c>
      <c r="F33" s="261" t="s">
        <v>82</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95</v>
      </c>
      <c r="D34" s="259">
        <f>'Customer Info'!$B$22+'Customer Info'!$B$23-'Customer Info'!$B$24</f>
        <v>0</v>
      </c>
      <c r="E34" s="260" t="s">
        <v>19</v>
      </c>
      <c r="F34" s="261" t="s">
        <v>82</v>
      </c>
      <c r="G34" s="276">
        <f>'Rider Rates'!B22</f>
        <v>7.0209999999999995E-2</v>
      </c>
      <c r="H34" s="276"/>
      <c r="I34" s="276"/>
      <c r="J34" s="281">
        <f>SUM(G34:H34)</f>
        <v>7.0209999999999995E-2</v>
      </c>
      <c r="K34" s="263" t="s">
        <v>87</v>
      </c>
      <c r="L34" s="91">
        <f>ROUND(D34*G34,2)</f>
        <v>0</v>
      </c>
      <c r="M34" s="91"/>
      <c r="N34" s="91"/>
      <c r="O34" s="91">
        <f t="shared" si="2"/>
        <v>0</v>
      </c>
      <c r="P34" s="258">
        <f>'Rider Rates'!$D$22</f>
        <v>45444</v>
      </c>
      <c r="Q34" s="261"/>
      <c r="R34" s="277"/>
      <c r="S34" s="263"/>
      <c r="T34" s="273"/>
      <c r="V34" s="274"/>
    </row>
    <row r="35" spans="1:22" x14ac:dyDescent="0.25">
      <c r="A35" s="233" t="s">
        <v>148</v>
      </c>
      <c r="D35" s="259">
        <f>$C$16</f>
        <v>0</v>
      </c>
      <c r="E35" s="260" t="s">
        <v>19</v>
      </c>
      <c r="F35" s="261" t="s">
        <v>82</v>
      </c>
      <c r="G35" s="276">
        <f>'Rider Rates'!$B$44</f>
        <v>3.0709000000000001E-3</v>
      </c>
      <c r="H35" s="276"/>
      <c r="I35" s="276"/>
      <c r="J35" s="281">
        <f>SUM(G35:H35)</f>
        <v>3.0709000000000001E-3</v>
      </c>
      <c r="K35" s="263" t="s">
        <v>87</v>
      </c>
      <c r="L35" s="91">
        <f>ROUND(D35*G35,2)</f>
        <v>0</v>
      </c>
      <c r="M35" s="91"/>
      <c r="N35" s="91"/>
      <c r="O35" s="91">
        <f t="shared" si="2"/>
        <v>0</v>
      </c>
      <c r="P35" s="258">
        <f>'Rider Rates'!$D$38</f>
        <v>45444</v>
      </c>
      <c r="Q35" s="261"/>
      <c r="R35" s="277"/>
      <c r="S35" s="263"/>
      <c r="T35" s="273"/>
      <c r="V35" s="274"/>
    </row>
    <row r="36" spans="1:22" x14ac:dyDescent="0.25">
      <c r="A36" s="233" t="s">
        <v>149</v>
      </c>
      <c r="D36" s="259">
        <f>$C$17</f>
        <v>0</v>
      </c>
      <c r="E36" s="260" t="s">
        <v>19</v>
      </c>
      <c r="F36" s="255" t="s">
        <v>82</v>
      </c>
      <c r="G36" s="276">
        <f>'Rider Rates'!$C$44</f>
        <v>1.325E-3</v>
      </c>
      <c r="H36" s="276"/>
      <c r="I36" s="276"/>
      <c r="J36" s="281">
        <f>SUM(G36:H36)</f>
        <v>1.325E-3</v>
      </c>
      <c r="K36" s="263" t="s">
        <v>87</v>
      </c>
      <c r="L36" s="91">
        <f>ROUND(D36*G36,2)</f>
        <v>0</v>
      </c>
      <c r="M36" s="91"/>
      <c r="N36" s="91"/>
      <c r="O36" s="91">
        <f t="shared" si="2"/>
        <v>0</v>
      </c>
      <c r="P36" s="258">
        <f>'Rider Rates'!D39</f>
        <v>45444</v>
      </c>
      <c r="Q36" s="261"/>
      <c r="R36" s="277"/>
      <c r="S36" s="263"/>
      <c r="T36" s="273"/>
      <c r="V36" s="274"/>
    </row>
    <row r="37" spans="1:22" x14ac:dyDescent="0.25">
      <c r="A37" s="233" t="s">
        <v>97</v>
      </c>
      <c r="D37" s="259">
        <f>C16+C17</f>
        <v>0</v>
      </c>
      <c r="E37" s="260" t="s">
        <v>19</v>
      </c>
      <c r="F37" s="261" t="s">
        <v>82</v>
      </c>
      <c r="G37" s="276">
        <f>'Rider Rates'!$B$49</f>
        <v>4.5009999999999999E-4</v>
      </c>
      <c r="H37" s="276"/>
      <c r="I37" s="276"/>
      <c r="J37" s="281">
        <f>SUM(G37:H37)</f>
        <v>4.5009999999999999E-4</v>
      </c>
      <c r="K37" s="263" t="s">
        <v>87</v>
      </c>
      <c r="L37" s="91">
        <f>ROUND(D37*G37,2)</f>
        <v>0</v>
      </c>
      <c r="M37" s="91"/>
      <c r="N37" s="91"/>
      <c r="O37" s="91">
        <f t="shared" si="2"/>
        <v>0</v>
      </c>
      <c r="P37" s="258">
        <f>'Rider Rates'!$D$49</f>
        <v>45657</v>
      </c>
      <c r="Q37" s="261"/>
      <c r="R37" s="277"/>
      <c r="S37" s="263"/>
      <c r="T37" s="273"/>
      <c r="V37" s="274"/>
    </row>
    <row r="38" spans="1:22" x14ac:dyDescent="0.25">
      <c r="A38" s="230" t="s">
        <v>98</v>
      </c>
      <c r="D38" s="259">
        <f>IF($C$15&lt;0,0,IF($C$15&gt;833000,833000,$C$15))</f>
        <v>0</v>
      </c>
      <c r="E38" s="260" t="s">
        <v>19</v>
      </c>
      <c r="F38" s="261" t="s">
        <v>82</v>
      </c>
      <c r="G38" s="276"/>
      <c r="H38" s="276"/>
      <c r="I38" s="276">
        <f>'Rider Rates'!D53</f>
        <v>1.8006999999999999E-3</v>
      </c>
      <c r="J38" s="276">
        <f>SUM(G38:I38)</f>
        <v>1.8006999999999999E-3</v>
      </c>
      <c r="K38" s="263" t="s">
        <v>87</v>
      </c>
      <c r="L38" s="91"/>
      <c r="M38" s="91"/>
      <c r="N38" s="91">
        <f>D38*J38</f>
        <v>0</v>
      </c>
      <c r="O38" s="91">
        <f t="shared" si="2"/>
        <v>0</v>
      </c>
      <c r="P38" s="258">
        <f>'Rider Rates'!E53</f>
        <v>45658</v>
      </c>
      <c r="Q38" s="261"/>
      <c r="R38" s="277"/>
      <c r="S38" s="263"/>
      <c r="T38" s="273"/>
      <c r="V38" s="274"/>
    </row>
    <row r="39" spans="1:22" x14ac:dyDescent="0.25">
      <c r="A39" s="233" t="s">
        <v>99</v>
      </c>
      <c r="D39" s="259">
        <f>IF($C$15&lt;0,0,$C$15)</f>
        <v>0</v>
      </c>
      <c r="E39" s="260" t="s">
        <v>19</v>
      </c>
      <c r="F39" s="261" t="s">
        <v>82</v>
      </c>
      <c r="G39" s="276"/>
      <c r="H39" s="276">
        <f>'Rider Rates'!$B$60</f>
        <v>2.3467399999999999E-2</v>
      </c>
      <c r="I39" s="276"/>
      <c r="J39" s="276">
        <f>SUM(G39:I39)</f>
        <v>2.3467399999999999E-2</v>
      </c>
      <c r="K39" s="263" t="s">
        <v>87</v>
      </c>
      <c r="L39" s="91"/>
      <c r="M39" s="91">
        <f>ROUND(D39*H39,2)</f>
        <v>0</v>
      </c>
      <c r="N39" s="282"/>
      <c r="O39" s="91">
        <f t="shared" si="2"/>
        <v>0</v>
      </c>
      <c r="P39" s="258">
        <f>'Rider Rates'!$D$60</f>
        <v>45383</v>
      </c>
      <c r="Q39" s="261"/>
      <c r="R39" s="277"/>
      <c r="S39" s="263"/>
      <c r="T39" s="273"/>
      <c r="V39" s="274"/>
    </row>
    <row r="40" spans="1:22" x14ac:dyDescent="0.25">
      <c r="A40" s="233" t="s">
        <v>101</v>
      </c>
      <c r="D40" s="259">
        <f>IF('Customer Info'!C35=TRUE,0,IF($C$15&lt;0,0,$C$15))</f>
        <v>0</v>
      </c>
      <c r="E40" s="260" t="s">
        <v>19</v>
      </c>
      <c r="F40" s="261" t="s">
        <v>82</v>
      </c>
      <c r="G40" s="276"/>
      <c r="H40" s="276"/>
      <c r="I40" s="276">
        <f>'Rider Rates'!$B$74+'Rider Rates'!$C$74</f>
        <v>0</v>
      </c>
      <c r="J40" s="276">
        <f t="shared" si="0"/>
        <v>0</v>
      </c>
      <c r="K40" s="263" t="s">
        <v>87</v>
      </c>
      <c r="L40" s="91"/>
      <c r="M40" s="91"/>
      <c r="N40" s="91">
        <f>ROUND($D$40*'Rider Rates'!$B$74,2)+ROUND($D$40*'Rider Rates'!$C$74,2)</f>
        <v>0</v>
      </c>
      <c r="O40" s="91">
        <f t="shared" si="2"/>
        <v>0</v>
      </c>
      <c r="P40" s="258">
        <f>'Rider Rates'!$D$74</f>
        <v>44531</v>
      </c>
      <c r="Q40" s="261"/>
      <c r="R40" s="277"/>
      <c r="S40" s="263"/>
      <c r="T40" s="273"/>
      <c r="V40" s="274"/>
    </row>
    <row r="41" spans="1:22" x14ac:dyDescent="0.25">
      <c r="A41" s="233" t="s">
        <v>101</v>
      </c>
      <c r="D41" s="259"/>
      <c r="E41" s="260" t="s">
        <v>57</v>
      </c>
      <c r="F41" s="261"/>
      <c r="G41" s="276"/>
      <c r="H41" s="276"/>
      <c r="I41" s="283">
        <f>'Rider Rates'!$B$81</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102</v>
      </c>
      <c r="D42" s="279">
        <f>$N$23</f>
        <v>9.4</v>
      </c>
      <c r="E42" s="260" t="s">
        <v>94</v>
      </c>
      <c r="F42" s="261" t="s">
        <v>82</v>
      </c>
      <c r="G42" s="284"/>
      <c r="H42" s="253"/>
      <c r="I42" s="285">
        <f>'Rider Rates'!$B$89</f>
        <v>4.94232E-2</v>
      </c>
      <c r="J42" s="285">
        <f t="shared" si="0"/>
        <v>4.94232E-2</v>
      </c>
      <c r="K42" s="263"/>
      <c r="L42" s="91"/>
      <c r="M42" s="91"/>
      <c r="N42" s="91">
        <f>ROUND(D42*I42,2)</f>
        <v>0.46</v>
      </c>
      <c r="O42" s="91">
        <f t="shared" si="2"/>
        <v>0.46</v>
      </c>
      <c r="P42" s="258">
        <f>'Rider Rates'!$D$89</f>
        <v>45562</v>
      </c>
      <c r="Q42" s="261"/>
      <c r="R42" s="277"/>
      <c r="S42" s="263"/>
      <c r="T42" s="273"/>
      <c r="V42" s="274"/>
    </row>
    <row r="43" spans="1:22" x14ac:dyDescent="0.25">
      <c r="A43" s="233" t="s">
        <v>103</v>
      </c>
      <c r="D43" s="279">
        <f>$N$23</f>
        <v>9.4</v>
      </c>
      <c r="E43" s="260" t="s">
        <v>94</v>
      </c>
      <c r="F43" s="261" t="s">
        <v>82</v>
      </c>
      <c r="G43" s="286"/>
      <c r="H43" s="253"/>
      <c r="I43" s="285">
        <f>'Rider Rates'!$B$91</f>
        <v>6.6985699999999995E-2</v>
      </c>
      <c r="J43" s="285">
        <f t="shared" si="0"/>
        <v>6.6985699999999995E-2</v>
      </c>
      <c r="K43" s="263"/>
      <c r="L43" s="91"/>
      <c r="M43" s="91"/>
      <c r="N43" s="91">
        <f>ROUND(D43*I43,2)</f>
        <v>0.63</v>
      </c>
      <c r="O43" s="91">
        <f t="shared" si="2"/>
        <v>0.63</v>
      </c>
      <c r="P43" s="258">
        <f>'Rider Rates'!$D$91</f>
        <v>45167</v>
      </c>
      <c r="Q43" s="261"/>
      <c r="R43" s="277"/>
      <c r="S43" s="263"/>
      <c r="T43" s="273"/>
      <c r="V43" s="274"/>
    </row>
    <row r="44" spans="1:22" x14ac:dyDescent="0.25">
      <c r="A44" s="233" t="s">
        <v>104</v>
      </c>
      <c r="D44" s="279"/>
      <c r="E44" s="260" t="s">
        <v>57</v>
      </c>
      <c r="F44" s="261"/>
      <c r="G44" s="286"/>
      <c r="H44" s="253"/>
      <c r="I44" s="283">
        <f>'Rider Rates'!$B$95</f>
        <v>17.53</v>
      </c>
      <c r="J44" s="283">
        <f t="shared" si="0"/>
        <v>17.53</v>
      </c>
      <c r="K44" s="263"/>
      <c r="L44" s="91"/>
      <c r="M44" s="91"/>
      <c r="N44" s="91">
        <f>I44</f>
        <v>17.53</v>
      </c>
      <c r="O44" s="91">
        <f t="shared" si="2"/>
        <v>17.53</v>
      </c>
      <c r="P44" s="258">
        <f>'Rider Rates'!$D$95</f>
        <v>45657</v>
      </c>
      <c r="Q44" s="261"/>
      <c r="R44" s="277"/>
      <c r="S44" s="263"/>
      <c r="T44" s="273"/>
      <c r="V44" s="274"/>
    </row>
    <row r="45" spans="1:22" x14ac:dyDescent="0.25">
      <c r="A45" s="233" t="s">
        <v>105</v>
      </c>
      <c r="D45" s="259">
        <f>IF($C$15&lt;0,0,$C$15)</f>
        <v>0</v>
      </c>
      <c r="E45" s="260" t="s">
        <v>19</v>
      </c>
      <c r="F45" s="261" t="s">
        <v>82</v>
      </c>
      <c r="G45" s="276"/>
      <c r="H45" s="276"/>
      <c r="I45" s="276"/>
      <c r="J45" s="276">
        <f>'Rider Rates'!$B$99</f>
        <v>0</v>
      </c>
      <c r="K45" s="263" t="s">
        <v>87</v>
      </c>
      <c r="L45" s="91"/>
      <c r="M45" s="91"/>
      <c r="N45" s="91"/>
      <c r="O45" s="91">
        <f>ROUND($D45*('Rider Rates'!B$99),2)</f>
        <v>0</v>
      </c>
      <c r="P45" s="258">
        <f>'Rider Rates'!$D$99</f>
        <v>44531</v>
      </c>
      <c r="Q45" s="261"/>
      <c r="R45" s="277"/>
      <c r="S45" s="263"/>
      <c r="T45" s="273"/>
      <c r="V45" s="274"/>
    </row>
    <row r="46" spans="1:22" x14ac:dyDescent="0.25">
      <c r="A46" s="233" t="s">
        <v>106</v>
      </c>
      <c r="D46" s="279">
        <f>$N$23</f>
        <v>9.4</v>
      </c>
      <c r="E46" s="260" t="s">
        <v>94</v>
      </c>
      <c r="F46" s="261" t="s">
        <v>82</v>
      </c>
      <c r="G46" s="286"/>
      <c r="H46" s="253"/>
      <c r="I46" s="285">
        <f>'Rider Rates'!$B$109</f>
        <v>0.2363101</v>
      </c>
      <c r="J46" s="285">
        <f t="shared" si="0"/>
        <v>0.2363101</v>
      </c>
      <c r="K46" s="263"/>
      <c r="L46" s="91"/>
      <c r="M46" s="91"/>
      <c r="N46" s="91">
        <f>ROUND(D46*I46,2)</f>
        <v>2.2200000000000002</v>
      </c>
      <c r="O46" s="91">
        <f t="shared" si="2"/>
        <v>2.2200000000000002</v>
      </c>
      <c r="P46" s="258">
        <f>'Rider Rates'!$D$109</f>
        <v>45622</v>
      </c>
      <c r="Q46" s="261"/>
      <c r="R46" s="277"/>
      <c r="S46" s="263"/>
      <c r="T46" s="273"/>
      <c r="V46" s="274"/>
    </row>
    <row r="47" spans="1:22" x14ac:dyDescent="0.25">
      <c r="A47" s="233" t="s">
        <v>107</v>
      </c>
      <c r="D47" s="279"/>
      <c r="E47" s="260" t="s">
        <v>57</v>
      </c>
      <c r="F47" s="261"/>
      <c r="G47" s="286"/>
      <c r="H47" s="253"/>
      <c r="I47" s="283">
        <f>'Rider Rates'!$B$113</f>
        <v>0</v>
      </c>
      <c r="J47" s="283">
        <f t="shared" si="0"/>
        <v>0</v>
      </c>
      <c r="K47" s="263"/>
      <c r="L47" s="91"/>
      <c r="M47" s="91"/>
      <c r="N47" s="91">
        <f>I47</f>
        <v>0</v>
      </c>
      <c r="O47" s="91">
        <f t="shared" si="2"/>
        <v>0</v>
      </c>
      <c r="P47" s="258">
        <f>'Rider Rates'!$D$113</f>
        <v>44894</v>
      </c>
      <c r="Q47" s="261"/>
      <c r="R47" s="277"/>
      <c r="S47" s="263"/>
      <c r="T47" s="273"/>
      <c r="V47" s="274"/>
    </row>
    <row r="48" spans="1:22" x14ac:dyDescent="0.25">
      <c r="A48" s="233" t="s">
        <v>108</v>
      </c>
      <c r="D48" s="279"/>
      <c r="E48" s="260" t="s">
        <v>57</v>
      </c>
      <c r="F48" s="261"/>
      <c r="G48" s="286"/>
      <c r="H48" s="253"/>
      <c r="I48" s="287">
        <f>'Rider Rates'!B126</f>
        <v>4.84</v>
      </c>
      <c r="J48" s="283">
        <f t="shared" si="0"/>
        <v>4.84</v>
      </c>
      <c r="K48" s="263"/>
      <c r="L48" s="91"/>
      <c r="M48" s="91"/>
      <c r="N48" s="288">
        <f>I48</f>
        <v>4.84</v>
      </c>
      <c r="O48" s="91">
        <f t="shared" si="2"/>
        <v>4.84</v>
      </c>
      <c r="P48" s="258">
        <f>'Rider Rates'!D126</f>
        <v>45593</v>
      </c>
      <c r="Q48" s="261"/>
      <c r="R48" s="277"/>
      <c r="S48" s="263"/>
      <c r="T48" s="273"/>
      <c r="V48" s="274"/>
    </row>
    <row r="49" spans="1:22" x14ac:dyDescent="0.25">
      <c r="A49" s="233" t="s">
        <v>109</v>
      </c>
      <c r="D49" s="259">
        <f>C16+C17</f>
        <v>0</v>
      </c>
      <c r="E49" s="260" t="s">
        <v>19</v>
      </c>
      <c r="F49" s="261" t="s">
        <v>82</v>
      </c>
      <c r="G49" s="276">
        <f>'Rider Rates'!$B$116</f>
        <v>3.8972999999999998E-3</v>
      </c>
      <c r="H49" s="276"/>
      <c r="I49" s="285"/>
      <c r="J49" s="281">
        <f>SUM(G49:H49)</f>
        <v>3.8972999999999998E-3</v>
      </c>
      <c r="K49" s="263" t="s">
        <v>87</v>
      </c>
      <c r="L49" s="91">
        <f>ROUND(D49*G49,2)</f>
        <v>0</v>
      </c>
      <c r="M49" s="91"/>
      <c r="N49" s="91"/>
      <c r="O49" s="91">
        <f t="shared" si="2"/>
        <v>0</v>
      </c>
      <c r="P49" s="258">
        <f>'Rider Rates'!$D$116</f>
        <v>44531</v>
      </c>
      <c r="Q49" s="261"/>
      <c r="R49" s="277"/>
      <c r="S49" s="263"/>
      <c r="T49" s="273"/>
      <c r="V49" s="274"/>
    </row>
    <row r="50" spans="1:22" x14ac:dyDescent="0.25">
      <c r="A50" s="233" t="s">
        <v>110</v>
      </c>
      <c r="D50" s="259">
        <f>IF($C$15&lt;1,0,$C$15)</f>
        <v>0</v>
      </c>
      <c r="E50" s="260" t="s">
        <v>19</v>
      </c>
      <c r="F50" s="255" t="s">
        <v>82</v>
      </c>
      <c r="G50" s="289"/>
      <c r="H50" s="289"/>
      <c r="I50" s="290">
        <f>'Rider Rates'!B122</f>
        <v>0</v>
      </c>
      <c r="J50" s="290">
        <f>SUM(G50:I50)</f>
        <v>0</v>
      </c>
      <c r="K50" s="263" t="s">
        <v>87</v>
      </c>
      <c r="L50" s="91"/>
      <c r="M50" s="91"/>
      <c r="N50" s="91">
        <f>D50*J50</f>
        <v>0</v>
      </c>
      <c r="O50" s="91">
        <f>SUM(L50:N50)</f>
        <v>0</v>
      </c>
      <c r="P50" s="258">
        <f>'Rider Rates'!D122</f>
        <v>45657</v>
      </c>
      <c r="Q50" s="261"/>
      <c r="R50" s="277"/>
      <c r="S50" s="263"/>
      <c r="T50" s="273"/>
      <c r="V50" s="274"/>
    </row>
    <row r="51" spans="1:22" x14ac:dyDescent="0.25">
      <c r="A51" s="230" t="s">
        <v>169</v>
      </c>
      <c r="D51" s="259">
        <f>IF(C15&lt;0,0,IF(C15&gt;833000,833000,C15))</f>
        <v>0</v>
      </c>
      <c r="E51" s="260" t="s">
        <v>19</v>
      </c>
      <c r="F51" s="261" t="s">
        <v>82</v>
      </c>
      <c r="G51" s="291"/>
      <c r="H51" s="291"/>
      <c r="I51" s="291">
        <f>'Rider Rates'!$B$130</f>
        <v>2.9050000000000001E-4</v>
      </c>
      <c r="J51" s="291">
        <f>SUM(G51:I51)</f>
        <v>2.9050000000000001E-4</v>
      </c>
      <c r="K51" s="263" t="s">
        <v>87</v>
      </c>
      <c r="L51" s="292"/>
      <c r="M51" s="292"/>
      <c r="N51" s="292">
        <f>IF(D51*J51&gt;'Rider Rates'!$C$130,'Rider Rates'!$C$130,D51*J51)</f>
        <v>0</v>
      </c>
      <c r="O51" s="292">
        <f>SUM(L51:N51)</f>
        <v>0</v>
      </c>
      <c r="P51" s="293">
        <f>'Rider Rates'!$E$130</f>
        <v>45658</v>
      </c>
      <c r="Q51" s="261"/>
      <c r="R51" s="277"/>
      <c r="S51" s="263"/>
      <c r="T51" s="273"/>
      <c r="V51" s="274"/>
    </row>
    <row r="52" spans="1:22" x14ac:dyDescent="0.25">
      <c r="A52" s="230" t="s">
        <v>170</v>
      </c>
      <c r="D52" s="259">
        <f>IF(C15&gt;833000,C15-833000,0)</f>
        <v>0</v>
      </c>
      <c r="E52" s="260" t="s">
        <v>19</v>
      </c>
      <c r="F52" s="261" t="s">
        <v>82</v>
      </c>
      <c r="G52" s="291"/>
      <c r="H52" s="291"/>
      <c r="I52" s="291">
        <f>'Rider Rates'!$B$131</f>
        <v>0</v>
      </c>
      <c r="J52" s="291">
        <f>SUM(G52:I52)</f>
        <v>0</v>
      </c>
      <c r="K52" s="263" t="s">
        <v>87</v>
      </c>
      <c r="L52" s="292"/>
      <c r="M52" s="292"/>
      <c r="N52" s="292">
        <f>D52*J52</f>
        <v>0</v>
      </c>
      <c r="O52" s="292">
        <f>SUM(L52:N52)</f>
        <v>0</v>
      </c>
      <c r="P52" s="293">
        <f>'Rider Rates'!$E$131</f>
        <v>45658</v>
      </c>
      <c r="Q52" s="261"/>
      <c r="R52" s="277"/>
      <c r="S52" s="263"/>
      <c r="T52" s="273"/>
      <c r="V52" s="274"/>
    </row>
    <row r="53" spans="1:22" x14ac:dyDescent="0.25">
      <c r="A53" s="230" t="s">
        <v>112</v>
      </c>
      <c r="D53" s="259">
        <f>C15</f>
        <v>0</v>
      </c>
      <c r="E53" s="260" t="s">
        <v>19</v>
      </c>
      <c r="F53" s="255" t="s">
        <v>82</v>
      </c>
      <c r="G53" s="276"/>
      <c r="H53" s="276"/>
      <c r="I53" s="276">
        <f>'Rider Rates'!$B$135</f>
        <v>0</v>
      </c>
      <c r="J53" s="281">
        <f>SUM(G53:I53)</f>
        <v>0</v>
      </c>
      <c r="K53" s="263" t="s">
        <v>87</v>
      </c>
      <c r="L53" s="91"/>
      <c r="M53" s="91"/>
      <c r="N53" s="91">
        <f>D53*J53</f>
        <v>0</v>
      </c>
      <c r="O53" s="91">
        <f>SUM(L53:N53)</f>
        <v>0</v>
      </c>
      <c r="P53" s="258">
        <f>'Rider Rates'!$D$135</f>
        <v>44531</v>
      </c>
      <c r="Q53" s="261"/>
      <c r="R53" s="277"/>
      <c r="S53" s="263"/>
      <c r="T53" s="273"/>
      <c r="V53" s="274"/>
    </row>
    <row r="54" spans="1:22" x14ac:dyDescent="0.25">
      <c r="A54" s="230" t="s">
        <v>113</v>
      </c>
      <c r="D54" s="259"/>
      <c r="E54" s="260" t="s">
        <v>57</v>
      </c>
      <c r="F54" s="261" t="s">
        <v>82</v>
      </c>
      <c r="G54" s="262"/>
      <c r="H54" s="262"/>
      <c r="I54" s="262">
        <f>'Rider Rates'!$B$142</f>
        <v>0</v>
      </c>
      <c r="J54" s="262">
        <f>SUM(G54:I54)</f>
        <v>0</v>
      </c>
      <c r="K54" s="263"/>
      <c r="L54" s="256"/>
      <c r="M54" s="256"/>
      <c r="N54" s="256">
        <f>J54</f>
        <v>0</v>
      </c>
      <c r="O54" s="256">
        <f>SUM(L54:N54)</f>
        <v>0</v>
      </c>
      <c r="P54" s="293">
        <f>'Rider Rates'!$D$142</f>
        <v>44531</v>
      </c>
      <c r="Q54" s="261"/>
      <c r="R54" s="277"/>
      <c r="S54" s="263"/>
      <c r="T54" s="273"/>
      <c r="V54" s="274"/>
    </row>
    <row r="55" spans="1:22" x14ac:dyDescent="0.25">
      <c r="A55" s="230" t="s">
        <v>114</v>
      </c>
      <c r="D55" s="259"/>
      <c r="E55" s="260"/>
      <c r="F55" s="261"/>
      <c r="G55" s="262"/>
      <c r="H55" s="262"/>
      <c r="I55" s="262"/>
      <c r="J55" s="262"/>
      <c r="K55" s="263"/>
      <c r="L55" s="256"/>
      <c r="M55" s="256"/>
      <c r="N55" s="256"/>
      <c r="O55" s="256"/>
      <c r="P55" s="293"/>
      <c r="Q55" s="261"/>
      <c r="R55" s="277"/>
      <c r="S55" s="263"/>
      <c r="T55" s="273"/>
      <c r="V55" s="274"/>
    </row>
    <row r="56" spans="1:22" x14ac:dyDescent="0.25">
      <c r="A56" s="234" t="s">
        <v>115</v>
      </c>
      <c r="B56" s="271"/>
      <c r="C56" s="271"/>
      <c r="D56" s="294"/>
      <c r="E56" s="295"/>
      <c r="F56" s="296"/>
      <c r="G56" s="296"/>
      <c r="H56" s="296"/>
      <c r="I56" s="296"/>
      <c r="J56" s="296"/>
      <c r="K56" s="297"/>
      <c r="L56" s="298">
        <f>SUM(L27:L55)</f>
        <v>0</v>
      </c>
      <c r="M56" s="298">
        <f>SUM(M27:M55)</f>
        <v>0</v>
      </c>
      <c r="N56" s="298">
        <f>SUM(N27:N55)</f>
        <v>25.68</v>
      </c>
      <c r="O56" s="298">
        <f>SUM(O27:O55)</f>
        <v>25.68</v>
      </c>
      <c r="P56" s="299"/>
      <c r="Q56" s="261"/>
      <c r="R56" s="277"/>
      <c r="S56" s="263"/>
      <c r="T56" s="273"/>
      <c r="V56" s="274"/>
    </row>
    <row r="57" spans="1:22" x14ac:dyDescent="0.25">
      <c r="D57" s="259"/>
      <c r="E57" s="260"/>
      <c r="F57" s="261"/>
      <c r="G57" s="261"/>
      <c r="H57" s="261"/>
      <c r="I57" s="261"/>
      <c r="J57" s="277"/>
      <c r="K57" s="263"/>
      <c r="L57" s="261"/>
      <c r="M57" s="261"/>
      <c r="N57" s="261"/>
      <c r="O57" s="261"/>
      <c r="P57" s="300"/>
      <c r="Q57" s="261"/>
      <c r="R57" s="277"/>
      <c r="S57" s="263"/>
      <c r="T57" s="273"/>
      <c r="V57" s="274"/>
    </row>
    <row r="58" spans="1:22" x14ac:dyDescent="0.25">
      <c r="A58" s="301" t="s">
        <v>116</v>
      </c>
      <c r="B58" s="241"/>
      <c r="C58" s="241"/>
      <c r="D58" s="241"/>
      <c r="E58" s="241"/>
      <c r="F58" s="241"/>
      <c r="G58" s="241"/>
      <c r="H58" s="241"/>
      <c r="I58" s="241"/>
      <c r="J58" s="241"/>
      <c r="K58" s="241"/>
      <c r="L58" s="302">
        <f>L23+L56</f>
        <v>0</v>
      </c>
      <c r="M58" s="302">
        <f>M23+M56</f>
        <v>0</v>
      </c>
      <c r="N58" s="302">
        <f>N23+N56</f>
        <v>35.08</v>
      </c>
      <c r="O58" s="303">
        <f>O23+O56</f>
        <v>35.08</v>
      </c>
      <c r="P58" s="303"/>
      <c r="Q58" s="261"/>
      <c r="R58" s="304"/>
      <c r="S58" s="263"/>
      <c r="T58" s="273"/>
      <c r="V58" s="263"/>
    </row>
    <row r="59" spans="1:22" x14ac:dyDescent="0.25">
      <c r="Q59" s="264"/>
      <c r="R59" s="264"/>
      <c r="S59" s="264"/>
      <c r="T59" s="305"/>
    </row>
    <row r="60" spans="1:22" x14ac:dyDescent="0.25">
      <c r="Q60" s="264"/>
      <c r="R60" s="264"/>
      <c r="S60" s="264"/>
      <c r="T60" s="305"/>
    </row>
    <row r="61" spans="1:22" x14ac:dyDescent="0.25">
      <c r="A61" s="264" t="s">
        <v>117</v>
      </c>
      <c r="O61" s="273">
        <f>O21+O56</f>
        <v>35.08</v>
      </c>
      <c r="Q61" s="264"/>
      <c r="R61" s="264"/>
      <c r="S61" s="264"/>
      <c r="T61" s="305"/>
    </row>
    <row r="62" spans="1:22" x14ac:dyDescent="0.25">
      <c r="A62" s="264" t="s">
        <v>2</v>
      </c>
      <c r="B62" s="264"/>
      <c r="C62" s="264"/>
      <c r="D62" s="264"/>
      <c r="E62" s="264"/>
      <c r="F62" s="264"/>
      <c r="G62" s="264"/>
      <c r="H62" s="264"/>
    </row>
    <row r="63" spans="1:22" x14ac:dyDescent="0.25">
      <c r="A63" s="271" t="s">
        <v>118</v>
      </c>
      <c r="O63" s="306">
        <f>IF($D$17&lt;0,O58,IF(O58&gt;O61,O58,O61))</f>
        <v>35.08</v>
      </c>
      <c r="P63" s="261"/>
    </row>
    <row r="64" spans="1:22" ht="15" customHeight="1" x14ac:dyDescent="0.25">
      <c r="A64" s="271"/>
      <c r="O64" s="306"/>
      <c r="P64" s="261"/>
    </row>
    <row r="65" spans="1:16" x14ac:dyDescent="0.25">
      <c r="A65" s="271"/>
      <c r="B65" s="264"/>
      <c r="C65" s="264"/>
      <c r="D65" s="264"/>
      <c r="E65" s="264"/>
      <c r="F65" s="264"/>
      <c r="G65" s="264"/>
      <c r="H65" s="264"/>
      <c r="I65" s="264" t="s">
        <v>119</v>
      </c>
      <c r="J65" s="264"/>
      <c r="K65" s="264"/>
      <c r="L65" s="307"/>
      <c r="M65" s="307"/>
      <c r="N65" s="307"/>
      <c r="O65" s="307">
        <f>ROUND(IF($C$15&lt;1,0,O58/($C$15*100)*10000),2)</f>
        <v>0</v>
      </c>
      <c r="P65" s="264" t="s">
        <v>120</v>
      </c>
    </row>
    <row r="66" spans="1:16" x14ac:dyDescent="0.25">
      <c r="H66" s="308"/>
      <c r="I66" s="309" t="s">
        <v>121</v>
      </c>
      <c r="O66" s="310">
        <f>ROUND(IF($C$15&lt;1,0,(L58)/($C$15*100)*10000),2)</f>
        <v>0</v>
      </c>
      <c r="P66" s="236" t="s">
        <v>120</v>
      </c>
    </row>
  </sheetData>
  <sheetProtection algorithmName="SHA-512" hashValue="HSvwRdQBoqcH57IBdA7Ttxdq9YKMZm7dWiFYk9n8gxZtWLLLfAk1i89qaOthowtiri35v/kJK4AaYtMCa1kB1Q==" saltValue="X9HTrIHF1ay9ZKJSajaRf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30480</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6"/>
  <sheetViews>
    <sheetView topLeftCell="A14" zoomScale="80" zoomScaleNormal="80" workbookViewId="0">
      <selection activeCell="B22" sqref="B22"/>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58" t="s">
        <v>52</v>
      </c>
      <c r="B1" s="458"/>
      <c r="C1" s="458"/>
      <c r="D1" s="458"/>
      <c r="E1" s="458"/>
      <c r="F1" s="458"/>
      <c r="G1" s="458"/>
      <c r="H1" s="458"/>
      <c r="I1" s="458"/>
      <c r="J1" s="458"/>
      <c r="K1" s="458"/>
      <c r="L1" s="458"/>
      <c r="M1" s="458"/>
      <c r="N1" s="458"/>
      <c r="O1" s="458"/>
      <c r="P1" s="458"/>
    </row>
    <row r="2" spans="1:30" ht="21" x14ac:dyDescent="0.4">
      <c r="A2" s="458" t="s">
        <v>141</v>
      </c>
      <c r="B2" s="458"/>
      <c r="C2" s="458"/>
      <c r="D2" s="458"/>
      <c r="E2" s="458"/>
      <c r="F2" s="458"/>
      <c r="G2" s="458"/>
      <c r="H2" s="458"/>
      <c r="I2" s="458"/>
      <c r="J2" s="458"/>
      <c r="K2" s="458"/>
      <c r="L2" s="458"/>
      <c r="M2" s="458"/>
      <c r="N2" s="458"/>
      <c r="O2" s="458"/>
      <c r="P2" s="458"/>
    </row>
    <row r="3" spans="1:30" ht="17.399999999999999" x14ac:dyDescent="0.3">
      <c r="A3" s="459" t="s">
        <v>200</v>
      </c>
      <c r="B3" s="459"/>
      <c r="C3" s="459"/>
      <c r="D3" s="459"/>
      <c r="E3" s="459"/>
      <c r="F3" s="459"/>
      <c r="G3" s="459"/>
      <c r="H3" s="459"/>
      <c r="I3" s="459"/>
      <c r="J3" s="459"/>
      <c r="K3" s="459"/>
      <c r="L3" s="459"/>
      <c r="M3" s="459"/>
      <c r="N3" s="459"/>
      <c r="O3" s="459"/>
      <c r="P3" s="459"/>
    </row>
    <row r="4" spans="1:30" ht="15.6" x14ac:dyDescent="0.3">
      <c r="A4" s="460" t="str">
        <f>'Customer Info'!B12</f>
        <v>Breakdown of Charges Based on Entered Information</v>
      </c>
      <c r="B4" s="460"/>
      <c r="C4" s="460"/>
      <c r="D4" s="460"/>
      <c r="E4" s="460"/>
      <c r="F4" s="460"/>
      <c r="G4" s="460"/>
      <c r="H4" s="460"/>
      <c r="I4" s="460"/>
      <c r="J4" s="460"/>
      <c r="K4" s="460"/>
      <c r="L4" s="460"/>
      <c r="M4" s="460"/>
      <c r="N4" s="460"/>
      <c r="O4" s="460"/>
      <c r="P4" s="460"/>
    </row>
    <row r="5" spans="1:30" ht="15" x14ac:dyDescent="0.25">
      <c r="A5" s="231"/>
      <c r="B5" s="231"/>
      <c r="C5" s="231"/>
      <c r="D5" s="231"/>
      <c r="E5" s="231"/>
      <c r="F5" s="231"/>
      <c r="G5" s="231"/>
      <c r="H5" s="231" t="s">
        <v>201</v>
      </c>
      <c r="I5" s="231"/>
      <c r="J5" s="231"/>
      <c r="K5" s="231"/>
    </row>
    <row r="6" spans="1:30" x14ac:dyDescent="0.25">
      <c r="A6" s="232">
        <f ca="1">TODAY()</f>
        <v>45656</v>
      </c>
      <c r="B6" s="233"/>
      <c r="C6" s="232"/>
      <c r="D6" s="232"/>
      <c r="E6" s="232"/>
      <c r="F6" s="232"/>
      <c r="G6" s="232"/>
      <c r="H6" s="232"/>
      <c r="I6" s="232"/>
    </row>
    <row r="7" spans="1:30" ht="24.6" x14ac:dyDescent="0.4">
      <c r="A7" s="461"/>
      <c r="B7" s="461"/>
      <c r="C7" s="461"/>
      <c r="D7" s="461"/>
      <c r="E7" s="461"/>
      <c r="F7" s="461"/>
      <c r="G7" s="461"/>
      <c r="H7" s="461"/>
      <c r="I7" s="461"/>
      <c r="J7" s="461"/>
      <c r="K7" s="461"/>
      <c r="L7" s="461"/>
      <c r="M7" s="461"/>
      <c r="N7" s="461"/>
      <c r="O7" s="461"/>
      <c r="P7" s="461"/>
    </row>
    <row r="9" spans="1:30" ht="15" x14ac:dyDescent="0.25">
      <c r="A9" s="234" t="s">
        <v>5</v>
      </c>
      <c r="B9" s="235"/>
      <c r="C9" s="236">
        <f>'Customer Info'!B7</f>
        <v>0</v>
      </c>
      <c r="I9" s="237"/>
    </row>
    <row r="10" spans="1:30" ht="15" x14ac:dyDescent="0.25">
      <c r="A10" s="238" t="s">
        <v>55</v>
      </c>
      <c r="B10" s="235"/>
      <c r="C10" s="236">
        <f>'Customer Info'!B8</f>
        <v>0</v>
      </c>
    </row>
    <row r="11" spans="1:30" x14ac:dyDescent="0.25">
      <c r="A11" s="234" t="s">
        <v>124</v>
      </c>
      <c r="B11" s="239">
        <f>'Customer Info'!B9</f>
        <v>1</v>
      </c>
      <c r="C11" s="240" t="str">
        <f>LOOKUP(B11,R11:AD11,R12:AD12)</f>
        <v>January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2"/>
      <c r="B12" s="462"/>
      <c r="C12" s="462"/>
      <c r="D12" s="462"/>
      <c r="E12" s="462"/>
      <c r="F12" s="462"/>
      <c r="G12" s="462"/>
      <c r="H12" s="462"/>
      <c r="I12" s="462"/>
      <c r="J12" s="241"/>
      <c r="K12" s="241"/>
      <c r="L12" s="242"/>
      <c r="M12" s="242"/>
      <c r="N12" s="242"/>
      <c r="O12" s="242"/>
      <c r="P12" s="242"/>
      <c r="R12" s="230" t="s">
        <v>57</v>
      </c>
      <c r="S12" s="243" t="s">
        <v>58</v>
      </c>
      <c r="T12" s="243" t="s">
        <v>59</v>
      </c>
      <c r="U12" s="243" t="s">
        <v>60</v>
      </c>
      <c r="V12" s="243" t="s">
        <v>61</v>
      </c>
      <c r="W12" s="243" t="s">
        <v>62</v>
      </c>
      <c r="X12" s="243" t="s">
        <v>63</v>
      </c>
      <c r="Y12" s="243" t="s">
        <v>64</v>
      </c>
      <c r="Z12" s="243" t="s">
        <v>65</v>
      </c>
      <c r="AA12" s="243" t="s">
        <v>66</v>
      </c>
      <c r="AB12" s="243" t="s">
        <v>67</v>
      </c>
      <c r="AC12" s="243" t="s">
        <v>68</v>
      </c>
      <c r="AD12" s="243" t="s">
        <v>69</v>
      </c>
    </row>
    <row r="13" spans="1:30" x14ac:dyDescent="0.25">
      <c r="A13" s="244" t="s">
        <v>70</v>
      </c>
      <c r="B13" s="245"/>
      <c r="C13" s="245"/>
      <c r="D13" s="245"/>
      <c r="E13" s="245"/>
      <c r="F13" s="245"/>
      <c r="G13" s="245"/>
      <c r="H13" s="245"/>
      <c r="I13" s="245"/>
      <c r="R13" s="233" t="s">
        <v>145</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71</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172</v>
      </c>
      <c r="B16" s="247"/>
      <c r="C16" s="248">
        <f>'Customer Info'!B22</f>
        <v>0</v>
      </c>
      <c r="D16" s="247" t="s">
        <v>19</v>
      </c>
      <c r="E16" s="247"/>
      <c r="F16" s="249"/>
      <c r="G16" s="234" t="s">
        <v>2</v>
      </c>
      <c r="H16" s="247"/>
    </row>
    <row r="17" spans="1:22" x14ac:dyDescent="0.25">
      <c r="A17" s="247" t="s">
        <v>173</v>
      </c>
      <c r="B17" s="247"/>
      <c r="C17" s="248">
        <f>'Customer Info'!B23</f>
        <v>0</v>
      </c>
      <c r="D17" s="250" t="s">
        <v>19</v>
      </c>
      <c r="E17" s="249"/>
      <c r="F17" s="249"/>
      <c r="G17" s="234" t="s">
        <v>2</v>
      </c>
      <c r="H17" s="247"/>
      <c r="I17" s="251" t="s">
        <v>2</v>
      </c>
    </row>
    <row r="19" spans="1:22" x14ac:dyDescent="0.25">
      <c r="A19" s="244" t="s">
        <v>72</v>
      </c>
      <c r="B19" s="245"/>
      <c r="C19" s="245"/>
      <c r="D19" s="245"/>
      <c r="E19" s="245"/>
      <c r="F19" s="245"/>
      <c r="G19" s="454" t="s">
        <v>73</v>
      </c>
      <c r="H19" s="455"/>
      <c r="I19" s="455"/>
      <c r="J19" s="456"/>
      <c r="K19" s="245"/>
      <c r="L19" s="457" t="s">
        <v>74</v>
      </c>
      <c r="M19" s="457"/>
      <c r="N19" s="457"/>
      <c r="O19" s="457"/>
    </row>
    <row r="20" spans="1:22" x14ac:dyDescent="0.25">
      <c r="G20" s="252" t="s">
        <v>75</v>
      </c>
      <c r="H20" s="252" t="s">
        <v>76</v>
      </c>
      <c r="I20" s="252" t="s">
        <v>77</v>
      </c>
      <c r="J20" s="253" t="s">
        <v>78</v>
      </c>
      <c r="L20" s="254" t="s">
        <v>75</v>
      </c>
      <c r="M20" s="254" t="s">
        <v>76</v>
      </c>
      <c r="N20" s="254" t="s">
        <v>77</v>
      </c>
      <c r="O20" s="254" t="s">
        <v>78</v>
      </c>
      <c r="P20" s="255" t="s">
        <v>79</v>
      </c>
    </row>
    <row r="21" spans="1:22" x14ac:dyDescent="0.25">
      <c r="A21" s="230" t="s">
        <v>80</v>
      </c>
      <c r="G21" s="256"/>
      <c r="H21" s="256"/>
      <c r="I21" s="256">
        <f>'Rider Rates'!B149</f>
        <v>138.5</v>
      </c>
      <c r="J21" s="256">
        <f>SUM(G21:I21)</f>
        <v>138.5</v>
      </c>
      <c r="L21" s="257"/>
      <c r="M21" s="257"/>
      <c r="N21" s="257">
        <f>I21</f>
        <v>138.5</v>
      </c>
      <c r="O21" s="256">
        <f>SUM(L21:N21)</f>
        <v>138.5</v>
      </c>
      <c r="P21" s="258">
        <v>44531</v>
      </c>
    </row>
    <row r="22" spans="1:22" x14ac:dyDescent="0.25">
      <c r="A22" s="233" t="s">
        <v>174</v>
      </c>
      <c r="D22" s="259">
        <f>C15</f>
        <v>0</v>
      </c>
      <c r="E22" s="260" t="s">
        <v>19</v>
      </c>
      <c r="F22" s="261" t="s">
        <v>82</v>
      </c>
      <c r="G22" s="262"/>
      <c r="H22" s="262"/>
      <c r="I22" s="262">
        <f>'Rider Rates'!C149</f>
        <v>1.3832199999999999E-2</v>
      </c>
      <c r="J22" s="262">
        <f>SUM(G22:I22)</f>
        <v>1.3832199999999999E-2</v>
      </c>
      <c r="K22" s="263" t="s">
        <v>87</v>
      </c>
      <c r="L22" s="256"/>
      <c r="M22" s="256"/>
      <c r="N22" s="256">
        <f>IF(C15&lt;0,0,ROUND($D22*I22,2))</f>
        <v>0</v>
      </c>
      <c r="O22" s="256">
        <f>SUM(L22:N22)</f>
        <v>0</v>
      </c>
      <c r="P22" s="258">
        <f>'Rider Rates'!H149</f>
        <v>45444</v>
      </c>
    </row>
    <row r="23" spans="1:22" x14ac:dyDescent="0.25">
      <c r="A23" s="264" t="s">
        <v>84</v>
      </c>
      <c r="B23" s="264"/>
      <c r="C23" s="264"/>
      <c r="D23" s="265"/>
      <c r="E23" s="265"/>
      <c r="F23" s="264"/>
      <c r="G23" s="264"/>
      <c r="H23" s="264"/>
      <c r="I23" s="264"/>
      <c r="J23" s="264"/>
      <c r="K23" s="266"/>
      <c r="L23" s="267"/>
      <c r="M23" s="267"/>
      <c r="N23" s="267">
        <f>SUM(N21:N22)</f>
        <v>138.5</v>
      </c>
      <c r="O23" s="267">
        <f>SUM(O21:O22)</f>
        <v>138.5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85</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86</v>
      </c>
      <c r="B27" s="275"/>
      <c r="C27" s="275"/>
      <c r="D27" s="259">
        <f>IF($C$15&lt;0,0,IF($C$15&gt;833000,833000,$C$15))</f>
        <v>0</v>
      </c>
      <c r="E27" s="260" t="s">
        <v>19</v>
      </c>
      <c r="F27" s="261" t="s">
        <v>82</v>
      </c>
      <c r="G27" s="276"/>
      <c r="H27" s="276"/>
      <c r="I27" s="276">
        <f>'Rider Rates'!$B$4</f>
        <v>4.6278999999999999E-3</v>
      </c>
      <c r="J27" s="276">
        <f t="shared" ref="J27:J48" si="0">SUM(G27:I27)</f>
        <v>4.6278999999999999E-3</v>
      </c>
      <c r="K27" s="263" t="s">
        <v>87</v>
      </c>
      <c r="L27" s="91"/>
      <c r="M27" s="91"/>
      <c r="N27" s="91">
        <f t="shared" ref="N27:N32" si="1">ROUND(D27*I27,2)</f>
        <v>0</v>
      </c>
      <c r="O27" s="91">
        <f t="shared" ref="O27:O49" si="2">SUM(L27:N27)</f>
        <v>0</v>
      </c>
      <c r="P27" s="258">
        <f>'Rider Rates'!$D$4</f>
        <v>45657</v>
      </c>
      <c r="Q27" s="261"/>
      <c r="R27" s="277"/>
      <c r="S27" s="263"/>
      <c r="T27" s="273"/>
      <c r="V27" s="274"/>
    </row>
    <row r="28" spans="1:22" x14ac:dyDescent="0.25">
      <c r="A28" s="233" t="s">
        <v>88</v>
      </c>
      <c r="D28" s="259">
        <f>IF($C$15&gt;833000,$C$15-833000,0)</f>
        <v>0</v>
      </c>
      <c r="E28" s="260" t="s">
        <v>19</v>
      </c>
      <c r="F28" s="261" t="s">
        <v>82</v>
      </c>
      <c r="G28" s="276"/>
      <c r="H28" s="276"/>
      <c r="I28" s="276">
        <f>'Rider Rates'!$B$5</f>
        <v>1.7560000000000001E-4</v>
      </c>
      <c r="J28" s="276">
        <f t="shared" si="0"/>
        <v>1.7560000000000001E-4</v>
      </c>
      <c r="K28" s="263" t="s">
        <v>87</v>
      </c>
      <c r="L28" s="91"/>
      <c r="M28" s="91"/>
      <c r="N28" s="91">
        <f t="shared" si="1"/>
        <v>0</v>
      </c>
      <c r="O28" s="91">
        <f t="shared" si="2"/>
        <v>0</v>
      </c>
      <c r="P28" s="258">
        <f>'Rider Rates'!$D$4</f>
        <v>45657</v>
      </c>
      <c r="Q28" s="261"/>
      <c r="R28" s="277"/>
      <c r="S28" s="263"/>
      <c r="T28" s="273"/>
      <c r="V28" s="274"/>
    </row>
    <row r="29" spans="1:22" x14ac:dyDescent="0.25">
      <c r="A29" s="233" t="s">
        <v>89</v>
      </c>
      <c r="D29" s="259">
        <f>IF('Customer Info'!$C$33=TRUE,0,IF($C$15&lt;0,0,IF($C$15&gt;2000,2000,$C$15)))</f>
        <v>0</v>
      </c>
      <c r="E29" s="260" t="s">
        <v>19</v>
      </c>
      <c r="F29" s="261" t="s">
        <v>82</v>
      </c>
      <c r="G29" s="276"/>
      <c r="H29" s="276"/>
      <c r="I29" s="278">
        <f>'Rider Rates'!$B$8</f>
        <v>4.6499999999999996E-3</v>
      </c>
      <c r="J29" s="278">
        <f t="shared" si="0"/>
        <v>4.6499999999999996E-3</v>
      </c>
      <c r="K29" s="263" t="s">
        <v>87</v>
      </c>
      <c r="L29" s="91"/>
      <c r="M29" s="91"/>
      <c r="N29" s="91">
        <f t="shared" si="1"/>
        <v>0</v>
      </c>
      <c r="O29" s="91">
        <f t="shared" si="2"/>
        <v>0</v>
      </c>
      <c r="P29" s="258">
        <f>'Rider Rates'!$D$7</f>
        <v>44531</v>
      </c>
      <c r="Q29" s="261"/>
      <c r="R29" s="277"/>
      <c r="S29" s="263"/>
      <c r="T29" s="273"/>
      <c r="V29" s="274"/>
    </row>
    <row r="30" spans="1:22" x14ac:dyDescent="0.25">
      <c r="A30" s="233" t="s">
        <v>90</v>
      </c>
      <c r="D30" s="259">
        <f>IF('Customer Info'!$C$33=TRUE,0,IF($C$15&lt;=2000,0,IF($C$15=0,0,IF($C$15-2000&gt;13000,13000,$C$15-2000))))</f>
        <v>0</v>
      </c>
      <c r="E30" s="260" t="s">
        <v>19</v>
      </c>
      <c r="F30" s="261" t="s">
        <v>82</v>
      </c>
      <c r="G30" s="276"/>
      <c r="H30" s="276"/>
      <c r="I30" s="278">
        <f>'Rider Rates'!$B$9</f>
        <v>4.1900000000000001E-3</v>
      </c>
      <c r="J30" s="278">
        <f t="shared" si="0"/>
        <v>4.1900000000000001E-3</v>
      </c>
      <c r="K30" s="263" t="s">
        <v>87</v>
      </c>
      <c r="L30" s="91"/>
      <c r="M30" s="91"/>
      <c r="N30" s="91">
        <f t="shared" si="1"/>
        <v>0</v>
      </c>
      <c r="O30" s="91">
        <f t="shared" si="2"/>
        <v>0</v>
      </c>
      <c r="P30" s="258">
        <f>'Rider Rates'!$D$7</f>
        <v>44531</v>
      </c>
      <c r="Q30" s="261"/>
      <c r="R30" s="277"/>
      <c r="S30" s="263"/>
      <c r="T30" s="273"/>
      <c r="V30" s="274"/>
    </row>
    <row r="31" spans="1:22" x14ac:dyDescent="0.25">
      <c r="A31" s="233" t="s">
        <v>91</v>
      </c>
      <c r="D31" s="259">
        <f>IF('Customer Info'!$C$33=TRUE,0,IF($C$15=0,0,IF($C$15-15000&gt;=0,$C$15-15000,0)))</f>
        <v>0</v>
      </c>
      <c r="E31" s="260" t="s">
        <v>19</v>
      </c>
      <c r="F31" s="261" t="s">
        <v>82</v>
      </c>
      <c r="G31" s="276"/>
      <c r="H31" s="276"/>
      <c r="I31" s="278">
        <f>'Rider Rates'!$B$10</f>
        <v>3.63E-3</v>
      </c>
      <c r="J31" s="278">
        <f t="shared" si="0"/>
        <v>3.63E-3</v>
      </c>
      <c r="K31" s="263" t="s">
        <v>87</v>
      </c>
      <c r="L31" s="91"/>
      <c r="M31" s="91"/>
      <c r="N31" s="91">
        <f t="shared" si="1"/>
        <v>0</v>
      </c>
      <c r="O31" s="91">
        <f t="shared" si="2"/>
        <v>0</v>
      </c>
      <c r="P31" s="258">
        <f>'Rider Rates'!$D$7</f>
        <v>44531</v>
      </c>
      <c r="Q31" s="261"/>
      <c r="R31" s="277"/>
      <c r="S31" s="263"/>
      <c r="T31" s="273"/>
      <c r="V31" s="274"/>
    </row>
    <row r="32" spans="1:22" x14ac:dyDescent="0.25">
      <c r="A32" s="233" t="s">
        <v>92</v>
      </c>
      <c r="D32" s="259">
        <f>IF($C$15&lt;0,0,$C$15)</f>
        <v>0</v>
      </c>
      <c r="E32" s="260" t="s">
        <v>19</v>
      </c>
      <c r="F32" s="261" t="s">
        <v>82</v>
      </c>
      <c r="G32" s="276"/>
      <c r="H32" s="276"/>
      <c r="I32" s="276">
        <f>'Rider Rates'!$B$16</f>
        <v>0</v>
      </c>
      <c r="J32" s="276">
        <f>SUM(G32:I32)</f>
        <v>0</v>
      </c>
      <c r="K32" s="263" t="s">
        <v>87</v>
      </c>
      <c r="L32" s="91"/>
      <c r="M32" s="91"/>
      <c r="N32" s="91">
        <f t="shared" si="1"/>
        <v>0</v>
      </c>
      <c r="O32" s="91">
        <f t="shared" si="2"/>
        <v>0</v>
      </c>
      <c r="P32" s="258">
        <f>'Rider Rates'!$D$16</f>
        <v>45197</v>
      </c>
      <c r="Q32" s="261"/>
      <c r="R32" s="277"/>
      <c r="S32" s="263"/>
      <c r="T32" s="273"/>
      <c r="V32" s="274"/>
    </row>
    <row r="33" spans="1:22" x14ac:dyDescent="0.25">
      <c r="A33" s="233" t="s">
        <v>93</v>
      </c>
      <c r="D33" s="279">
        <f>$N$23</f>
        <v>138.5</v>
      </c>
      <c r="E33" s="260" t="s">
        <v>94</v>
      </c>
      <c r="F33" s="261" t="s">
        <v>82</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95</v>
      </c>
      <c r="D34" s="259">
        <f>C15</f>
        <v>0</v>
      </c>
      <c r="E34" s="260" t="s">
        <v>19</v>
      </c>
      <c r="F34" s="261" t="s">
        <v>82</v>
      </c>
      <c r="G34" s="276">
        <f>'Rider Rates'!B24</f>
        <v>6.7849999999999994E-2</v>
      </c>
      <c r="H34" s="276"/>
      <c r="I34" s="276"/>
      <c r="J34" s="281">
        <f>SUM(G34:H34)</f>
        <v>6.7849999999999994E-2</v>
      </c>
      <c r="K34" s="263" t="s">
        <v>87</v>
      </c>
      <c r="L34" s="91">
        <f>ROUND(D34*G34,2)</f>
        <v>0</v>
      </c>
      <c r="M34" s="91"/>
      <c r="N34" s="91"/>
      <c r="O34" s="91">
        <f t="shared" si="2"/>
        <v>0</v>
      </c>
      <c r="P34" s="258">
        <f>'Rider Rates'!$D$22</f>
        <v>45444</v>
      </c>
      <c r="Q34" s="261"/>
      <c r="R34" s="277"/>
      <c r="S34" s="263"/>
      <c r="T34" s="273"/>
      <c r="V34" s="274"/>
    </row>
    <row r="35" spans="1:22" x14ac:dyDescent="0.25">
      <c r="A35" s="233" t="s">
        <v>148</v>
      </c>
      <c r="D35" s="259">
        <f>C16</f>
        <v>0</v>
      </c>
      <c r="E35" s="260" t="s">
        <v>19</v>
      </c>
      <c r="F35" s="261" t="s">
        <v>82</v>
      </c>
      <c r="G35" s="276">
        <f>'Rider Rates'!B45</f>
        <v>2.5335000000000002E-3</v>
      </c>
      <c r="H35" s="276"/>
      <c r="I35" s="276"/>
      <c r="J35" s="281">
        <f>SUM(G35:H35)</f>
        <v>2.5335000000000002E-3</v>
      </c>
      <c r="K35" s="263" t="s">
        <v>87</v>
      </c>
      <c r="L35" s="91">
        <f>ROUND(D35*G35,2)</f>
        <v>0</v>
      </c>
      <c r="M35" s="91"/>
      <c r="N35" s="91"/>
      <c r="O35" s="91">
        <f t="shared" si="2"/>
        <v>0</v>
      </c>
      <c r="P35" s="258">
        <f>'Rider Rates'!$D$38</f>
        <v>45444</v>
      </c>
      <c r="Q35" s="261"/>
      <c r="R35" s="277"/>
      <c r="S35" s="263"/>
      <c r="T35" s="273"/>
      <c r="V35" s="274"/>
    </row>
    <row r="36" spans="1:22" x14ac:dyDescent="0.25">
      <c r="A36" s="233" t="s">
        <v>149</v>
      </c>
      <c r="D36" s="259">
        <f>C17</f>
        <v>0</v>
      </c>
      <c r="E36" s="260" t="s">
        <v>19</v>
      </c>
      <c r="F36" s="255" t="s">
        <v>82</v>
      </c>
      <c r="G36" s="276">
        <f>'Rider Rates'!C45</f>
        <v>1.07E-3</v>
      </c>
      <c r="H36" s="276"/>
      <c r="I36" s="276"/>
      <c r="J36" s="281">
        <f>SUM(G36:H36)</f>
        <v>1.07E-3</v>
      </c>
      <c r="K36" s="263" t="s">
        <v>87</v>
      </c>
      <c r="L36" s="91">
        <f>ROUND(D36*G36,2)</f>
        <v>0</v>
      </c>
      <c r="M36" s="91"/>
      <c r="N36" s="91"/>
      <c r="O36" s="91">
        <f t="shared" si="2"/>
        <v>0</v>
      </c>
      <c r="P36" s="258">
        <f>'Rider Rates'!D39</f>
        <v>45444</v>
      </c>
      <c r="Q36" s="261"/>
      <c r="R36" s="277"/>
      <c r="S36" s="263"/>
      <c r="T36" s="273"/>
      <c r="V36" s="274"/>
    </row>
    <row r="37" spans="1:22" x14ac:dyDescent="0.25">
      <c r="A37" s="233" t="s">
        <v>97</v>
      </c>
      <c r="D37" s="259">
        <f>C16+C17</f>
        <v>0</v>
      </c>
      <c r="E37" s="260" t="s">
        <v>19</v>
      </c>
      <c r="F37" s="261" t="s">
        <v>82</v>
      </c>
      <c r="G37" s="276">
        <f>'Rider Rates'!$B$49</f>
        <v>4.5009999999999999E-4</v>
      </c>
      <c r="H37" s="276"/>
      <c r="I37" s="276"/>
      <c r="J37" s="281">
        <f>SUM(G37:H37)</f>
        <v>4.5009999999999999E-4</v>
      </c>
      <c r="K37" s="263" t="s">
        <v>87</v>
      </c>
      <c r="L37" s="91">
        <f>ROUND(D37*G37,2)</f>
        <v>0</v>
      </c>
      <c r="M37" s="91"/>
      <c r="N37" s="91"/>
      <c r="O37" s="91">
        <f t="shared" si="2"/>
        <v>0</v>
      </c>
      <c r="P37" s="258">
        <f>'Rider Rates'!$D$49</f>
        <v>45657</v>
      </c>
      <c r="Q37" s="261"/>
      <c r="R37" s="277"/>
      <c r="S37" s="263"/>
      <c r="T37" s="273"/>
      <c r="V37" s="274"/>
    </row>
    <row r="38" spans="1:22" x14ac:dyDescent="0.25">
      <c r="A38" s="230" t="s">
        <v>98</v>
      </c>
      <c r="D38" s="259">
        <f>IF($C$15&lt;0,0,IF($C$15&gt;833000,833000,$C$15))</f>
        <v>0</v>
      </c>
      <c r="E38" s="260" t="s">
        <v>19</v>
      </c>
      <c r="F38" s="261" t="s">
        <v>82</v>
      </c>
      <c r="G38" s="276"/>
      <c r="H38" s="276"/>
      <c r="I38" s="276">
        <f>'Rider Rates'!D53</f>
        <v>1.8006999999999999E-3</v>
      </c>
      <c r="J38" s="276">
        <f>SUM(G38:I38)</f>
        <v>1.8006999999999999E-3</v>
      </c>
      <c r="K38" s="263" t="s">
        <v>87</v>
      </c>
      <c r="L38" s="91"/>
      <c r="M38" s="91"/>
      <c r="N38" s="91">
        <f>D38*J38</f>
        <v>0</v>
      </c>
      <c r="O38" s="91">
        <f t="shared" si="2"/>
        <v>0</v>
      </c>
      <c r="P38" s="258">
        <f>'Rider Rates'!E53</f>
        <v>45658</v>
      </c>
      <c r="Q38" s="261"/>
      <c r="R38" s="277"/>
      <c r="S38" s="263"/>
      <c r="T38" s="273"/>
      <c r="V38" s="274"/>
    </row>
    <row r="39" spans="1:22" x14ac:dyDescent="0.25">
      <c r="A39" s="233" t="s">
        <v>99</v>
      </c>
      <c r="D39" s="259">
        <f>IF($C$15&lt;0,0,$C$15)</f>
        <v>0</v>
      </c>
      <c r="E39" s="260" t="s">
        <v>19</v>
      </c>
      <c r="F39" s="261" t="s">
        <v>82</v>
      </c>
      <c r="G39" s="276"/>
      <c r="H39" s="276">
        <f>'Rider Rates'!$B$60</f>
        <v>2.3467399999999999E-2</v>
      </c>
      <c r="I39" s="276"/>
      <c r="J39" s="276">
        <f>SUM(G39:I39)</f>
        <v>2.3467399999999999E-2</v>
      </c>
      <c r="K39" s="263" t="s">
        <v>87</v>
      </c>
      <c r="L39" s="91"/>
      <c r="M39" s="91">
        <f>ROUND(D39*H39,2)</f>
        <v>0</v>
      </c>
      <c r="N39" s="282"/>
      <c r="O39" s="91">
        <f t="shared" si="2"/>
        <v>0</v>
      </c>
      <c r="P39" s="258">
        <f>'Rider Rates'!$D$60</f>
        <v>45383</v>
      </c>
      <c r="Q39" s="261"/>
      <c r="R39" s="277"/>
      <c r="S39" s="263"/>
      <c r="T39" s="273"/>
      <c r="V39" s="274"/>
    </row>
    <row r="40" spans="1:22" x14ac:dyDescent="0.25">
      <c r="A40" s="233" t="s">
        <v>101</v>
      </c>
      <c r="D40" s="259">
        <f>IF('Customer Info'!C35=TRUE,0,IF($C$15&lt;0,0,$C$15))</f>
        <v>0</v>
      </c>
      <c r="E40" s="260" t="s">
        <v>19</v>
      </c>
      <c r="F40" s="261" t="s">
        <v>82</v>
      </c>
      <c r="G40" s="276"/>
      <c r="H40" s="276"/>
      <c r="I40" s="276">
        <f>'Rider Rates'!$B$74+'Rider Rates'!$C$74</f>
        <v>0</v>
      </c>
      <c r="J40" s="276">
        <f t="shared" si="0"/>
        <v>0</v>
      </c>
      <c r="K40" s="263" t="s">
        <v>87</v>
      </c>
      <c r="L40" s="91"/>
      <c r="M40" s="91"/>
      <c r="N40" s="91">
        <f>ROUND($D$40*'Rider Rates'!$B$74,2)+ROUND($D$40*'Rider Rates'!$C$74,2)</f>
        <v>0</v>
      </c>
      <c r="O40" s="91">
        <f t="shared" si="2"/>
        <v>0</v>
      </c>
      <c r="P40" s="258">
        <f>'Rider Rates'!$D$74</f>
        <v>44531</v>
      </c>
      <c r="Q40" s="261"/>
      <c r="R40" s="277"/>
      <c r="S40" s="263"/>
      <c r="T40" s="273"/>
      <c r="V40" s="274"/>
    </row>
    <row r="41" spans="1:22" x14ac:dyDescent="0.25">
      <c r="A41" s="233" t="s">
        <v>101</v>
      </c>
      <c r="D41" s="259"/>
      <c r="E41" s="260" t="s">
        <v>57</v>
      </c>
      <c r="F41" s="261"/>
      <c r="G41" s="276"/>
      <c r="H41" s="276"/>
      <c r="I41" s="283">
        <f>'Rider Rates'!$B$81</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102</v>
      </c>
      <c r="D42" s="279">
        <f>$N$23</f>
        <v>138.5</v>
      </c>
      <c r="E42" s="260" t="s">
        <v>94</v>
      </c>
      <c r="F42" s="261" t="s">
        <v>82</v>
      </c>
      <c r="G42" s="284"/>
      <c r="H42" s="253"/>
      <c r="I42" s="285">
        <f>'Rider Rates'!$B$89</f>
        <v>4.94232E-2</v>
      </c>
      <c r="J42" s="285">
        <f t="shared" si="0"/>
        <v>4.94232E-2</v>
      </c>
      <c r="K42" s="263"/>
      <c r="L42" s="91"/>
      <c r="M42" s="91"/>
      <c r="N42" s="91">
        <f>ROUND(D42*I42,2)</f>
        <v>6.85</v>
      </c>
      <c r="O42" s="91">
        <f t="shared" si="2"/>
        <v>6.85</v>
      </c>
      <c r="P42" s="258">
        <f>'Rider Rates'!$D$89</f>
        <v>45562</v>
      </c>
      <c r="Q42" s="261"/>
      <c r="R42" s="277"/>
      <c r="S42" s="263"/>
      <c r="T42" s="273"/>
      <c r="V42" s="274"/>
    </row>
    <row r="43" spans="1:22" x14ac:dyDescent="0.25">
      <c r="A43" s="233" t="s">
        <v>103</v>
      </c>
      <c r="D43" s="279">
        <f>$N$23</f>
        <v>138.5</v>
      </c>
      <c r="E43" s="260" t="s">
        <v>94</v>
      </c>
      <c r="F43" s="261" t="s">
        <v>82</v>
      </c>
      <c r="G43" s="286"/>
      <c r="H43" s="253"/>
      <c r="I43" s="285">
        <f>'Rider Rates'!$B$91</f>
        <v>6.6985699999999995E-2</v>
      </c>
      <c r="J43" s="285">
        <f t="shared" si="0"/>
        <v>6.6985699999999995E-2</v>
      </c>
      <c r="K43" s="263"/>
      <c r="L43" s="91"/>
      <c r="M43" s="91"/>
      <c r="N43" s="91">
        <f>ROUND(D43*I43,2)</f>
        <v>9.2799999999999994</v>
      </c>
      <c r="O43" s="91">
        <f t="shared" si="2"/>
        <v>9.2799999999999994</v>
      </c>
      <c r="P43" s="258">
        <f>'Rider Rates'!$D$91</f>
        <v>45167</v>
      </c>
      <c r="Q43" s="261"/>
      <c r="R43" s="277"/>
      <c r="S43" s="263"/>
      <c r="T43" s="273"/>
      <c r="V43" s="274"/>
    </row>
    <row r="44" spans="1:22" x14ac:dyDescent="0.25">
      <c r="A44" s="233" t="s">
        <v>104</v>
      </c>
      <c r="D44" s="279"/>
      <c r="E44" s="260" t="s">
        <v>57</v>
      </c>
      <c r="F44" s="261"/>
      <c r="G44" s="286"/>
      <c r="H44" s="253"/>
      <c r="I44" s="283">
        <f>'Rider Rates'!$B$95</f>
        <v>17.53</v>
      </c>
      <c r="J44" s="283">
        <f t="shared" si="0"/>
        <v>17.53</v>
      </c>
      <c r="K44" s="263"/>
      <c r="L44" s="91"/>
      <c r="M44" s="91"/>
      <c r="N44" s="91">
        <f>I44</f>
        <v>17.53</v>
      </c>
      <c r="O44" s="91">
        <f t="shared" si="2"/>
        <v>17.53</v>
      </c>
      <c r="P44" s="258">
        <f>'Rider Rates'!$D$95</f>
        <v>45657</v>
      </c>
      <c r="Q44" s="261"/>
      <c r="R44" s="277"/>
      <c r="S44" s="263"/>
      <c r="T44" s="273"/>
      <c r="V44" s="274"/>
    </row>
    <row r="45" spans="1:22" x14ac:dyDescent="0.25">
      <c r="A45" s="233" t="s">
        <v>105</v>
      </c>
      <c r="D45" s="259">
        <f>IF($C$15&lt;0,0,$C$15)</f>
        <v>0</v>
      </c>
      <c r="E45" s="260" t="s">
        <v>19</v>
      </c>
      <c r="F45" s="261" t="s">
        <v>82</v>
      </c>
      <c r="G45" s="276"/>
      <c r="H45" s="276"/>
      <c r="I45" s="276"/>
      <c r="J45" s="276">
        <f>'Rider Rates'!$B$99</f>
        <v>0</v>
      </c>
      <c r="K45" s="263" t="s">
        <v>87</v>
      </c>
      <c r="L45" s="91"/>
      <c r="M45" s="91"/>
      <c r="N45" s="91"/>
      <c r="O45" s="91">
        <f>ROUND($D45*('Rider Rates'!B$99),2)</f>
        <v>0</v>
      </c>
      <c r="P45" s="258">
        <f>'Rider Rates'!$D$99</f>
        <v>44531</v>
      </c>
      <c r="Q45" s="261"/>
      <c r="R45" s="277"/>
      <c r="S45" s="263"/>
      <c r="T45" s="273"/>
      <c r="V45" s="274"/>
    </row>
    <row r="46" spans="1:22" x14ac:dyDescent="0.25">
      <c r="A46" s="233" t="s">
        <v>106</v>
      </c>
      <c r="D46" s="279">
        <f>$N$23</f>
        <v>138.5</v>
      </c>
      <c r="E46" s="260" t="s">
        <v>94</v>
      </c>
      <c r="F46" s="261" t="s">
        <v>82</v>
      </c>
      <c r="G46" s="286"/>
      <c r="H46" s="253"/>
      <c r="I46" s="285">
        <f>'Rider Rates'!$B$109</f>
        <v>0.2363101</v>
      </c>
      <c r="J46" s="285">
        <f t="shared" si="0"/>
        <v>0.2363101</v>
      </c>
      <c r="K46" s="263"/>
      <c r="L46" s="91"/>
      <c r="M46" s="91"/>
      <c r="N46" s="91">
        <f>ROUND(D46*I46,2)</f>
        <v>32.729999999999997</v>
      </c>
      <c r="O46" s="91">
        <f t="shared" si="2"/>
        <v>32.729999999999997</v>
      </c>
      <c r="P46" s="258">
        <f>'Rider Rates'!$D$109</f>
        <v>45622</v>
      </c>
      <c r="Q46" s="261"/>
      <c r="R46" s="277"/>
      <c r="S46" s="263"/>
      <c r="T46" s="273"/>
      <c r="V46" s="274"/>
    </row>
    <row r="47" spans="1:22" x14ac:dyDescent="0.25">
      <c r="A47" s="233" t="s">
        <v>107</v>
      </c>
      <c r="D47" s="279"/>
      <c r="E47" s="260" t="s">
        <v>57</v>
      </c>
      <c r="F47" s="261"/>
      <c r="G47" s="286"/>
      <c r="H47" s="253"/>
      <c r="I47" s="283">
        <f>'Rider Rates'!$B$113</f>
        <v>0</v>
      </c>
      <c r="J47" s="283">
        <f t="shared" si="0"/>
        <v>0</v>
      </c>
      <c r="K47" s="263"/>
      <c r="L47" s="91"/>
      <c r="M47" s="91"/>
      <c r="N47" s="91">
        <f>I47</f>
        <v>0</v>
      </c>
      <c r="O47" s="91">
        <f t="shared" si="2"/>
        <v>0</v>
      </c>
      <c r="P47" s="258">
        <f>'Rider Rates'!$D$113</f>
        <v>44894</v>
      </c>
      <c r="Q47" s="261"/>
      <c r="R47" s="277"/>
      <c r="S47" s="263"/>
      <c r="T47" s="273"/>
      <c r="V47" s="274"/>
    </row>
    <row r="48" spans="1:22" x14ac:dyDescent="0.25">
      <c r="A48" s="233" t="s">
        <v>108</v>
      </c>
      <c r="D48" s="279"/>
      <c r="E48" s="260" t="s">
        <v>57</v>
      </c>
      <c r="F48" s="261"/>
      <c r="G48" s="286"/>
      <c r="H48" s="253"/>
      <c r="I48" s="287">
        <f>'Rider Rates'!B126</f>
        <v>4.84</v>
      </c>
      <c r="J48" s="283">
        <f t="shared" si="0"/>
        <v>4.84</v>
      </c>
      <c r="K48" s="263"/>
      <c r="L48" s="91"/>
      <c r="M48" s="91"/>
      <c r="N48" s="288">
        <f>I48</f>
        <v>4.84</v>
      </c>
      <c r="O48" s="91">
        <f t="shared" si="2"/>
        <v>4.84</v>
      </c>
      <c r="P48" s="258">
        <f>'Rider Rates'!D126</f>
        <v>45593</v>
      </c>
      <c r="Q48" s="261"/>
      <c r="R48" s="277"/>
      <c r="S48" s="263"/>
      <c r="T48" s="273"/>
      <c r="V48" s="274"/>
    </row>
    <row r="49" spans="1:22" x14ac:dyDescent="0.25">
      <c r="A49" s="233" t="s">
        <v>109</v>
      </c>
      <c r="D49" s="259">
        <f>C16+C17</f>
        <v>0</v>
      </c>
      <c r="E49" s="260" t="s">
        <v>19</v>
      </c>
      <c r="F49" s="261" t="s">
        <v>82</v>
      </c>
      <c r="G49" s="276">
        <f>'Rider Rates'!$B$117</f>
        <v>3.7618E-3</v>
      </c>
      <c r="H49" s="276"/>
      <c r="I49" s="285"/>
      <c r="J49" s="281">
        <f>SUM(G49:H49)</f>
        <v>3.7618E-3</v>
      </c>
      <c r="K49" s="263" t="s">
        <v>87</v>
      </c>
      <c r="L49" s="91">
        <f>ROUND(D49*G49,2)</f>
        <v>0</v>
      </c>
      <c r="M49" s="91"/>
      <c r="N49" s="91"/>
      <c r="O49" s="91">
        <f t="shared" si="2"/>
        <v>0</v>
      </c>
      <c r="P49" s="258">
        <f>'Rider Rates'!$D$116</f>
        <v>44531</v>
      </c>
      <c r="Q49" s="261"/>
      <c r="R49" s="277"/>
      <c r="S49" s="263"/>
      <c r="T49" s="273"/>
      <c r="V49" s="274"/>
    </row>
    <row r="50" spans="1:22" x14ac:dyDescent="0.25">
      <c r="A50" s="233" t="s">
        <v>110</v>
      </c>
      <c r="D50" s="259">
        <f>IF($C$15&lt;1,0,$C$15)</f>
        <v>0</v>
      </c>
      <c r="E50" s="260" t="s">
        <v>19</v>
      </c>
      <c r="F50" s="255" t="s">
        <v>82</v>
      </c>
      <c r="G50" s="289"/>
      <c r="H50" s="289"/>
      <c r="I50" s="290">
        <f>'Rider Rates'!B122</f>
        <v>0</v>
      </c>
      <c r="J50" s="290">
        <f>SUM(G50:I50)</f>
        <v>0</v>
      </c>
      <c r="K50" s="263" t="s">
        <v>87</v>
      </c>
      <c r="L50" s="91"/>
      <c r="M50" s="91"/>
      <c r="N50" s="91">
        <f>D50*J50</f>
        <v>0</v>
      </c>
      <c r="O50" s="91">
        <f>SUM(L50:N50)</f>
        <v>0</v>
      </c>
      <c r="P50" s="258">
        <f>'Rider Rates'!D122</f>
        <v>45657</v>
      </c>
      <c r="Q50" s="261"/>
      <c r="R50" s="277"/>
      <c r="S50" s="263"/>
      <c r="T50" s="273"/>
      <c r="V50" s="274"/>
    </row>
    <row r="51" spans="1:22" x14ac:dyDescent="0.25">
      <c r="A51" s="230" t="s">
        <v>169</v>
      </c>
      <c r="D51" s="259">
        <f>IF(C15&lt;0,0,IF(C15&gt;833000,833000,C15))</f>
        <v>0</v>
      </c>
      <c r="E51" s="260" t="s">
        <v>19</v>
      </c>
      <c r="F51" s="261" t="s">
        <v>82</v>
      </c>
      <c r="G51" s="291"/>
      <c r="H51" s="291"/>
      <c r="I51" s="291">
        <f>'Rider Rates'!$B$130</f>
        <v>2.9050000000000001E-4</v>
      </c>
      <c r="J51" s="291">
        <f>SUM(G51:I51)</f>
        <v>2.9050000000000001E-4</v>
      </c>
      <c r="K51" s="263" t="s">
        <v>87</v>
      </c>
      <c r="L51" s="292"/>
      <c r="M51" s="292"/>
      <c r="N51" s="292">
        <f>IF(D51*J51&gt;'Rider Rates'!$C$130,'Rider Rates'!$C$130,D51*J51)</f>
        <v>0</v>
      </c>
      <c r="O51" s="292">
        <f>SUM(L51:N51)</f>
        <v>0</v>
      </c>
      <c r="P51" s="293">
        <f>'Rider Rates'!$E$130</f>
        <v>45658</v>
      </c>
      <c r="Q51" s="261"/>
      <c r="R51" s="277"/>
      <c r="S51" s="263"/>
      <c r="T51" s="273"/>
      <c r="V51" s="274"/>
    </row>
    <row r="52" spans="1:22" x14ac:dyDescent="0.25">
      <c r="A52" s="230" t="s">
        <v>170</v>
      </c>
      <c r="D52" s="259">
        <f>IF(C15&gt;833000,C15-833000,0)</f>
        <v>0</v>
      </c>
      <c r="E52" s="260" t="s">
        <v>19</v>
      </c>
      <c r="F52" s="261" t="s">
        <v>82</v>
      </c>
      <c r="G52" s="291"/>
      <c r="H52" s="291"/>
      <c r="I52" s="291">
        <f>'Rider Rates'!$B$131</f>
        <v>0</v>
      </c>
      <c r="J52" s="291">
        <f>SUM(G52:I52)</f>
        <v>0</v>
      </c>
      <c r="K52" s="263" t="s">
        <v>87</v>
      </c>
      <c r="L52" s="292"/>
      <c r="M52" s="292"/>
      <c r="N52" s="292">
        <f>D52*J52</f>
        <v>0</v>
      </c>
      <c r="O52" s="292">
        <f>SUM(L52:N52)</f>
        <v>0</v>
      </c>
      <c r="P52" s="293">
        <f>'Rider Rates'!$E$131</f>
        <v>45658</v>
      </c>
      <c r="Q52" s="261"/>
      <c r="R52" s="277"/>
      <c r="S52" s="263"/>
      <c r="T52" s="273"/>
      <c r="V52" s="274"/>
    </row>
    <row r="53" spans="1:22" x14ac:dyDescent="0.25">
      <c r="A53" s="230" t="s">
        <v>112</v>
      </c>
      <c r="D53" s="259">
        <f>C15</f>
        <v>0</v>
      </c>
      <c r="E53" s="260" t="s">
        <v>19</v>
      </c>
      <c r="F53" s="255" t="s">
        <v>82</v>
      </c>
      <c r="G53" s="276"/>
      <c r="H53" s="276"/>
      <c r="I53" s="276">
        <f>'Rider Rates'!$B$135</f>
        <v>0</v>
      </c>
      <c r="J53" s="281">
        <f>SUM(G53:I53)</f>
        <v>0</v>
      </c>
      <c r="K53" s="263" t="s">
        <v>87</v>
      </c>
      <c r="L53" s="91"/>
      <c r="M53" s="91"/>
      <c r="N53" s="91">
        <f>D53*J53</f>
        <v>0</v>
      </c>
      <c r="O53" s="91">
        <f>SUM(L53:N53)</f>
        <v>0</v>
      </c>
      <c r="P53" s="258">
        <f>'Rider Rates'!$D$135</f>
        <v>44531</v>
      </c>
      <c r="Q53" s="261"/>
      <c r="R53" s="277"/>
      <c r="S53" s="263"/>
      <c r="T53" s="273"/>
      <c r="V53" s="274"/>
    </row>
    <row r="54" spans="1:22" x14ac:dyDescent="0.25">
      <c r="A54" s="230" t="s">
        <v>113</v>
      </c>
      <c r="D54" s="259"/>
      <c r="E54" s="260" t="s">
        <v>57</v>
      </c>
      <c r="F54" s="261" t="s">
        <v>82</v>
      </c>
      <c r="G54" s="262"/>
      <c r="H54" s="262"/>
      <c r="I54" s="262">
        <f>'Rider Rates'!$B$142</f>
        <v>0</v>
      </c>
      <c r="J54" s="262">
        <f>SUM(G54:I54)</f>
        <v>0</v>
      </c>
      <c r="K54" s="263"/>
      <c r="L54" s="256"/>
      <c r="M54" s="256"/>
      <c r="N54" s="256">
        <f>J54</f>
        <v>0</v>
      </c>
      <c r="O54" s="256">
        <f>SUM(L54:N54)</f>
        <v>0</v>
      </c>
      <c r="P54" s="293">
        <f>'Rider Rates'!$D$142</f>
        <v>44531</v>
      </c>
      <c r="Q54" s="261"/>
      <c r="R54" s="277"/>
      <c r="S54" s="263"/>
      <c r="T54" s="273"/>
      <c r="V54" s="274"/>
    </row>
    <row r="55" spans="1:22" x14ac:dyDescent="0.25">
      <c r="A55" s="230" t="s">
        <v>114</v>
      </c>
      <c r="D55" s="259"/>
      <c r="E55" s="260"/>
      <c r="F55" s="261"/>
      <c r="G55" s="262"/>
      <c r="H55" s="262"/>
      <c r="I55" s="262"/>
      <c r="J55" s="262"/>
      <c r="K55" s="263"/>
      <c r="L55" s="256"/>
      <c r="M55" s="256"/>
      <c r="N55" s="256"/>
      <c r="O55" s="256"/>
      <c r="P55" s="293"/>
      <c r="Q55" s="261"/>
      <c r="R55" s="277"/>
      <c r="S55" s="263"/>
      <c r="T55" s="273"/>
      <c r="V55" s="274"/>
    </row>
    <row r="56" spans="1:22" x14ac:dyDescent="0.25">
      <c r="A56" s="234" t="s">
        <v>115</v>
      </c>
      <c r="B56" s="271"/>
      <c r="C56" s="271"/>
      <c r="D56" s="294"/>
      <c r="E56" s="295"/>
      <c r="F56" s="296"/>
      <c r="G56" s="296"/>
      <c r="H56" s="296"/>
      <c r="I56" s="296"/>
      <c r="J56" s="296"/>
      <c r="K56" s="297"/>
      <c r="L56" s="298">
        <f>SUM(L27:L55)</f>
        <v>0</v>
      </c>
      <c r="M56" s="298">
        <f>SUM(M27:M55)</f>
        <v>0</v>
      </c>
      <c r="N56" s="298">
        <f>SUM(N27:N55)</f>
        <v>71.22999999999999</v>
      </c>
      <c r="O56" s="298">
        <f>SUM(O27:O55)</f>
        <v>71.22999999999999</v>
      </c>
      <c r="P56" s="299"/>
      <c r="Q56" s="261"/>
      <c r="R56" s="277"/>
      <c r="S56" s="263"/>
      <c r="T56" s="273"/>
      <c r="V56" s="274"/>
    </row>
    <row r="57" spans="1:22" x14ac:dyDescent="0.25">
      <c r="D57" s="259"/>
      <c r="E57" s="260"/>
      <c r="F57" s="261"/>
      <c r="G57" s="261"/>
      <c r="H57" s="261"/>
      <c r="I57" s="261"/>
      <c r="J57" s="277"/>
      <c r="K57" s="263"/>
      <c r="L57" s="261"/>
      <c r="M57" s="261"/>
      <c r="N57" s="261"/>
      <c r="O57" s="261"/>
      <c r="P57" s="300"/>
      <c r="Q57" s="261"/>
      <c r="R57" s="277"/>
      <c r="S57" s="263"/>
      <c r="T57" s="273"/>
      <c r="V57" s="274"/>
    </row>
    <row r="58" spans="1:22" x14ac:dyDescent="0.25">
      <c r="A58" s="301" t="s">
        <v>116</v>
      </c>
      <c r="B58" s="241"/>
      <c r="C58" s="241"/>
      <c r="D58" s="241"/>
      <c r="E58" s="241"/>
      <c r="F58" s="241"/>
      <c r="G58" s="241"/>
      <c r="H58" s="241"/>
      <c r="I58" s="241"/>
      <c r="J58" s="241"/>
      <c r="K58" s="241"/>
      <c r="L58" s="302">
        <f>L23+L56</f>
        <v>0</v>
      </c>
      <c r="M58" s="302">
        <f>M23+M56</f>
        <v>0</v>
      </c>
      <c r="N58" s="302">
        <f>N23+N56</f>
        <v>209.73</v>
      </c>
      <c r="O58" s="303">
        <f>O23+O56</f>
        <v>209.73</v>
      </c>
      <c r="P58" s="303"/>
      <c r="Q58" s="261"/>
      <c r="R58" s="304"/>
      <c r="S58" s="263"/>
      <c r="T58" s="273"/>
      <c r="V58" s="263"/>
    </row>
    <row r="59" spans="1:22" x14ac:dyDescent="0.25">
      <c r="Q59" s="264"/>
      <c r="R59" s="264"/>
      <c r="S59" s="264"/>
      <c r="T59" s="305"/>
    </row>
    <row r="60" spans="1:22" x14ac:dyDescent="0.25">
      <c r="Q60" s="264"/>
      <c r="R60" s="264"/>
      <c r="S60" s="264"/>
      <c r="T60" s="305"/>
    </row>
    <row r="61" spans="1:22" x14ac:dyDescent="0.25">
      <c r="A61" s="264" t="s">
        <v>117</v>
      </c>
      <c r="O61" s="273">
        <f>O21+O56</f>
        <v>209.73</v>
      </c>
      <c r="Q61" s="264"/>
      <c r="R61" s="264"/>
      <c r="S61" s="264"/>
      <c r="T61" s="305"/>
    </row>
    <row r="62" spans="1:22" x14ac:dyDescent="0.25">
      <c r="A62" s="264" t="s">
        <v>2</v>
      </c>
      <c r="B62" s="264"/>
      <c r="C62" s="264"/>
      <c r="D62" s="264"/>
      <c r="E62" s="264"/>
      <c r="F62" s="264"/>
      <c r="G62" s="264"/>
      <c r="H62" s="264"/>
    </row>
    <row r="63" spans="1:22" x14ac:dyDescent="0.25">
      <c r="A63" s="271" t="s">
        <v>118</v>
      </c>
      <c r="O63" s="306">
        <f>IF($D$17&lt;0,O58,IF(O58&gt;O61,O58,O61))</f>
        <v>209.73</v>
      </c>
      <c r="P63" s="261"/>
    </row>
    <row r="64" spans="1:22" ht="15" customHeight="1" x14ac:dyDescent="0.25">
      <c r="A64" s="271"/>
      <c r="O64" s="306"/>
      <c r="P64" s="261"/>
    </row>
    <row r="65" spans="1:16" x14ac:dyDescent="0.25">
      <c r="A65" s="271"/>
      <c r="B65" s="264"/>
      <c r="C65" s="264"/>
      <c r="D65" s="264"/>
      <c r="E65" s="264"/>
      <c r="F65" s="264"/>
      <c r="G65" s="264"/>
      <c r="H65" s="264"/>
      <c r="I65" s="264" t="s">
        <v>119</v>
      </c>
      <c r="J65" s="264"/>
      <c r="K65" s="264"/>
      <c r="L65" s="307"/>
      <c r="M65" s="307"/>
      <c r="N65" s="307"/>
      <c r="O65" s="307">
        <f>ROUND(IF($C$15&lt;1,0,O58/($C$15*100)*10000),2)</f>
        <v>0</v>
      </c>
      <c r="P65" s="264" t="s">
        <v>120</v>
      </c>
    </row>
    <row r="66" spans="1:16" x14ac:dyDescent="0.25">
      <c r="H66" s="308"/>
      <c r="I66" s="309" t="s">
        <v>121</v>
      </c>
      <c r="O66" s="310">
        <f>ROUND(IF($C$15&lt;1,0,(L58)/($C$15*100)*10000),2)</f>
        <v>0</v>
      </c>
      <c r="P66" s="236" t="s">
        <v>120</v>
      </c>
    </row>
  </sheetData>
  <sheetProtection algorithmName="SHA-512" hashValue="mbY8sUpQREhMqO8HLwQo6Kh0acer1ma+avmA9/j2bGOi6jrFlzuW3xTX2wMbgDfFyg6peLgZTxi1zdHhXux0SQ==" saltValue="KUYRWMl6HXj2NBTS7owg8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30480</xdr:rowOff>
                  </from>
                  <to>
                    <xdr:col>0</xdr:col>
                    <xdr:colOff>381000</xdr:colOff>
                    <xdr:row>1</xdr:row>
                    <xdr:rowOff>106680</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6"/>
  <sheetViews>
    <sheetView topLeftCell="A23" zoomScale="80" zoomScaleNormal="80" workbookViewId="0">
      <selection activeCell="B22" sqref="B22"/>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58" t="s">
        <v>52</v>
      </c>
      <c r="B1" s="458"/>
      <c r="C1" s="458"/>
      <c r="D1" s="458"/>
      <c r="E1" s="458"/>
      <c r="F1" s="458"/>
      <c r="G1" s="458"/>
      <c r="H1" s="458"/>
      <c r="I1" s="458"/>
      <c r="J1" s="458"/>
      <c r="K1" s="458"/>
      <c r="L1" s="458"/>
      <c r="M1" s="458"/>
      <c r="N1" s="458"/>
      <c r="O1" s="458"/>
      <c r="P1" s="458"/>
    </row>
    <row r="2" spans="1:30" ht="21" x14ac:dyDescent="0.4">
      <c r="A2" s="458" t="s">
        <v>141</v>
      </c>
      <c r="B2" s="458"/>
      <c r="C2" s="458"/>
      <c r="D2" s="458"/>
      <c r="E2" s="458"/>
      <c r="F2" s="458"/>
      <c r="G2" s="458"/>
      <c r="H2" s="458"/>
      <c r="I2" s="458"/>
      <c r="J2" s="458"/>
      <c r="K2" s="458"/>
      <c r="L2" s="458"/>
      <c r="M2" s="458"/>
      <c r="N2" s="458"/>
      <c r="O2" s="458"/>
      <c r="P2" s="458"/>
    </row>
    <row r="3" spans="1:30" ht="17.399999999999999" x14ac:dyDescent="0.3">
      <c r="A3" s="459" t="s">
        <v>202</v>
      </c>
      <c r="B3" s="459"/>
      <c r="C3" s="459"/>
      <c r="D3" s="459"/>
      <c r="E3" s="459"/>
      <c r="F3" s="459"/>
      <c r="G3" s="459"/>
      <c r="H3" s="459"/>
      <c r="I3" s="459"/>
      <c r="J3" s="459"/>
      <c r="K3" s="459"/>
      <c r="L3" s="459"/>
      <c r="M3" s="459"/>
      <c r="N3" s="459"/>
      <c r="O3" s="459"/>
      <c r="P3" s="459"/>
    </row>
    <row r="4" spans="1:30" ht="15.6" x14ac:dyDescent="0.3">
      <c r="A4" s="460" t="str">
        <f>'Customer Info'!B12</f>
        <v>Breakdown of Charges Based on Entered Information</v>
      </c>
      <c r="B4" s="460"/>
      <c r="C4" s="460"/>
      <c r="D4" s="460"/>
      <c r="E4" s="460"/>
      <c r="F4" s="460"/>
      <c r="G4" s="460"/>
      <c r="H4" s="460"/>
      <c r="I4" s="460"/>
      <c r="J4" s="460"/>
      <c r="K4" s="460"/>
      <c r="L4" s="460"/>
      <c r="M4" s="460"/>
      <c r="N4" s="460"/>
      <c r="O4" s="460"/>
      <c r="P4" s="460"/>
    </row>
    <row r="5" spans="1:30" ht="15" x14ac:dyDescent="0.25">
      <c r="A5" s="231"/>
      <c r="B5" s="231"/>
      <c r="C5" s="231"/>
      <c r="D5" s="231"/>
      <c r="E5" s="231"/>
      <c r="F5" s="231"/>
      <c r="G5" s="231"/>
      <c r="H5" s="231" t="s">
        <v>203</v>
      </c>
      <c r="I5" s="231"/>
      <c r="J5" s="231"/>
      <c r="K5" s="231"/>
    </row>
    <row r="6" spans="1:30" x14ac:dyDescent="0.25">
      <c r="A6" s="232">
        <f ca="1">TODAY()</f>
        <v>45656</v>
      </c>
      <c r="B6" s="233"/>
      <c r="C6" s="232"/>
      <c r="D6" s="232"/>
      <c r="E6" s="232"/>
      <c r="F6" s="232"/>
      <c r="G6" s="232"/>
      <c r="H6" s="232"/>
      <c r="I6" s="232"/>
    </row>
    <row r="7" spans="1:30" ht="24.6" x14ac:dyDescent="0.4">
      <c r="A7" s="461"/>
      <c r="B7" s="461"/>
      <c r="C7" s="461"/>
      <c r="D7" s="461"/>
      <c r="E7" s="461"/>
      <c r="F7" s="461"/>
      <c r="G7" s="461"/>
      <c r="H7" s="461"/>
      <c r="I7" s="461"/>
      <c r="J7" s="461"/>
      <c r="K7" s="461"/>
      <c r="L7" s="461"/>
      <c r="M7" s="461"/>
      <c r="N7" s="461"/>
      <c r="O7" s="461"/>
      <c r="P7" s="461"/>
    </row>
    <row r="9" spans="1:30" ht="15" x14ac:dyDescent="0.25">
      <c r="A9" s="234" t="s">
        <v>5</v>
      </c>
      <c r="B9" s="235"/>
      <c r="C9" s="236">
        <f>'Customer Info'!B7</f>
        <v>0</v>
      </c>
      <c r="I9" s="237"/>
    </row>
    <row r="10" spans="1:30" ht="15" x14ac:dyDescent="0.25">
      <c r="A10" s="238" t="s">
        <v>55</v>
      </c>
      <c r="B10" s="235"/>
      <c r="C10" s="236">
        <f>'Customer Info'!B8</f>
        <v>0</v>
      </c>
    </row>
    <row r="11" spans="1:30" x14ac:dyDescent="0.25">
      <c r="A11" s="234" t="s">
        <v>124</v>
      </c>
      <c r="B11" s="239">
        <f>'Customer Info'!B9</f>
        <v>1</v>
      </c>
      <c r="C11" s="240" t="str">
        <f>LOOKUP(B11,R11:AD11,R12:AD12)</f>
        <v>January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2"/>
      <c r="B12" s="462"/>
      <c r="C12" s="462"/>
      <c r="D12" s="462"/>
      <c r="E12" s="462"/>
      <c r="F12" s="462"/>
      <c r="G12" s="462"/>
      <c r="H12" s="462"/>
      <c r="I12" s="462"/>
      <c r="J12" s="241"/>
      <c r="K12" s="241"/>
      <c r="L12" s="242"/>
      <c r="M12" s="242"/>
      <c r="N12" s="242"/>
      <c r="O12" s="242"/>
      <c r="P12" s="242"/>
      <c r="R12" s="230" t="s">
        <v>57</v>
      </c>
      <c r="S12" s="243" t="s">
        <v>58</v>
      </c>
      <c r="T12" s="243" t="s">
        <v>59</v>
      </c>
      <c r="U12" s="243" t="s">
        <v>60</v>
      </c>
      <c r="V12" s="243" t="s">
        <v>61</v>
      </c>
      <c r="W12" s="243" t="s">
        <v>62</v>
      </c>
      <c r="X12" s="243" t="s">
        <v>63</v>
      </c>
      <c r="Y12" s="243" t="s">
        <v>64</v>
      </c>
      <c r="Z12" s="243" t="s">
        <v>65</v>
      </c>
      <c r="AA12" s="243" t="s">
        <v>66</v>
      </c>
      <c r="AB12" s="243" t="s">
        <v>67</v>
      </c>
      <c r="AC12" s="243" t="s">
        <v>68</v>
      </c>
      <c r="AD12" s="243" t="s">
        <v>69</v>
      </c>
    </row>
    <row r="13" spans="1:30" x14ac:dyDescent="0.25">
      <c r="A13" s="244" t="s">
        <v>70</v>
      </c>
      <c r="B13" s="245"/>
      <c r="C13" s="245"/>
      <c r="D13" s="245"/>
      <c r="E13" s="245"/>
      <c r="F13" s="245"/>
      <c r="G13" s="245"/>
      <c r="H13" s="245"/>
      <c r="I13" s="245"/>
      <c r="R13" s="233" t="s">
        <v>145</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71</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172</v>
      </c>
      <c r="B16" s="247"/>
      <c r="C16" s="248">
        <f>'Customer Info'!B22</f>
        <v>0</v>
      </c>
      <c r="D16" s="247" t="s">
        <v>19</v>
      </c>
      <c r="E16" s="247"/>
      <c r="F16" s="249"/>
      <c r="G16" s="234" t="s">
        <v>2</v>
      </c>
      <c r="H16" s="247"/>
    </row>
    <row r="17" spans="1:22" x14ac:dyDescent="0.25">
      <c r="A17" s="247" t="s">
        <v>173</v>
      </c>
      <c r="B17" s="247"/>
      <c r="C17" s="248">
        <f>'Customer Info'!B23</f>
        <v>0</v>
      </c>
      <c r="D17" s="250" t="s">
        <v>19</v>
      </c>
      <c r="E17" s="249"/>
      <c r="F17" s="249"/>
      <c r="G17" s="234" t="s">
        <v>2</v>
      </c>
      <c r="H17" s="247"/>
      <c r="I17" s="251" t="s">
        <v>2</v>
      </c>
    </row>
    <row r="19" spans="1:22" x14ac:dyDescent="0.25">
      <c r="A19" s="244" t="s">
        <v>72</v>
      </c>
      <c r="B19" s="245"/>
      <c r="C19" s="245"/>
      <c r="D19" s="245"/>
      <c r="E19" s="245"/>
      <c r="F19" s="245"/>
      <c r="G19" s="454" t="s">
        <v>73</v>
      </c>
      <c r="H19" s="455"/>
      <c r="I19" s="455"/>
      <c r="J19" s="456"/>
      <c r="K19" s="245"/>
      <c r="L19" s="457" t="s">
        <v>74</v>
      </c>
      <c r="M19" s="457"/>
      <c r="N19" s="457"/>
      <c r="O19" s="457"/>
    </row>
    <row r="20" spans="1:22" x14ac:dyDescent="0.25">
      <c r="G20" s="252" t="s">
        <v>75</v>
      </c>
      <c r="H20" s="252" t="s">
        <v>76</v>
      </c>
      <c r="I20" s="252" t="s">
        <v>77</v>
      </c>
      <c r="J20" s="253" t="s">
        <v>78</v>
      </c>
      <c r="L20" s="254" t="s">
        <v>75</v>
      </c>
      <c r="M20" s="254" t="s">
        <v>76</v>
      </c>
      <c r="N20" s="254" t="s">
        <v>77</v>
      </c>
      <c r="O20" s="254" t="s">
        <v>78</v>
      </c>
      <c r="P20" s="255" t="s">
        <v>79</v>
      </c>
    </row>
    <row r="21" spans="1:22" x14ac:dyDescent="0.25">
      <c r="A21" s="230" t="s">
        <v>80</v>
      </c>
      <c r="G21" s="256"/>
      <c r="H21" s="256"/>
      <c r="I21" s="256">
        <f>'Rider Rates'!B150</f>
        <v>825</v>
      </c>
      <c r="J21" s="256">
        <f>SUM(G21:I21)</f>
        <v>825</v>
      </c>
      <c r="L21" s="257"/>
      <c r="M21" s="257"/>
      <c r="N21" s="257">
        <f>I21</f>
        <v>825</v>
      </c>
      <c r="O21" s="256">
        <f>SUM(L21:N21)</f>
        <v>825</v>
      </c>
      <c r="P21" s="258">
        <v>44531</v>
      </c>
    </row>
    <row r="22" spans="1:22" x14ac:dyDescent="0.25">
      <c r="A22" s="233" t="s">
        <v>174</v>
      </c>
      <c r="D22" s="259">
        <f>C15</f>
        <v>0</v>
      </c>
      <c r="E22" s="260" t="s">
        <v>19</v>
      </c>
      <c r="F22" s="261" t="s">
        <v>82</v>
      </c>
      <c r="G22" s="262"/>
      <c r="H22" s="262"/>
      <c r="I22" s="262">
        <f>'Rider Rates'!C150</f>
        <v>5.9799999999999997E-5</v>
      </c>
      <c r="J22" s="262">
        <f>SUM(G22:I22)</f>
        <v>5.9799999999999997E-5</v>
      </c>
      <c r="K22" s="263" t="s">
        <v>87</v>
      </c>
      <c r="L22" s="256"/>
      <c r="M22" s="256"/>
      <c r="N22" s="256">
        <f>IF(C15&lt;0,0,ROUND($D22*I22,2))</f>
        <v>0</v>
      </c>
      <c r="O22" s="256">
        <f>SUM(L22:N22)</f>
        <v>0</v>
      </c>
      <c r="P22" s="258">
        <f>'Rider Rates'!H150</f>
        <v>45444</v>
      </c>
    </row>
    <row r="23" spans="1:22" x14ac:dyDescent="0.25">
      <c r="A23" s="264" t="s">
        <v>84</v>
      </c>
      <c r="B23" s="264"/>
      <c r="C23" s="264"/>
      <c r="D23" s="265"/>
      <c r="E23" s="265"/>
      <c r="F23" s="264"/>
      <c r="G23" s="264"/>
      <c r="H23" s="264"/>
      <c r="I23" s="264"/>
      <c r="J23" s="264"/>
      <c r="K23" s="266"/>
      <c r="L23" s="267"/>
      <c r="M23" s="267"/>
      <c r="N23" s="267">
        <f>SUM(N21:N22)</f>
        <v>825</v>
      </c>
      <c r="O23" s="267">
        <f>SUM(O21:O22)</f>
        <v>825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85</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86</v>
      </c>
      <c r="B27" s="275"/>
      <c r="C27" s="275"/>
      <c r="D27" s="259">
        <f>IF($C$15&lt;0,0,IF($C$15&gt;833000,833000,$C$15))</f>
        <v>0</v>
      </c>
      <c r="E27" s="260" t="s">
        <v>19</v>
      </c>
      <c r="F27" s="261" t="s">
        <v>82</v>
      </c>
      <c r="G27" s="276"/>
      <c r="H27" s="276"/>
      <c r="I27" s="276">
        <f>'Rider Rates'!$B$4</f>
        <v>4.6278999999999999E-3</v>
      </c>
      <c r="J27" s="276">
        <f t="shared" ref="J27:J48" si="0">SUM(G27:I27)</f>
        <v>4.6278999999999999E-3</v>
      </c>
      <c r="K27" s="263" t="s">
        <v>87</v>
      </c>
      <c r="L27" s="91"/>
      <c r="M27" s="91"/>
      <c r="N27" s="91">
        <f t="shared" ref="N27:N32" si="1">ROUND(D27*I27,2)</f>
        <v>0</v>
      </c>
      <c r="O27" s="91">
        <f t="shared" ref="O27:O49" si="2">SUM(L27:N27)</f>
        <v>0</v>
      </c>
      <c r="P27" s="258">
        <f>'Rider Rates'!$D$4</f>
        <v>45657</v>
      </c>
      <c r="Q27" s="261"/>
      <c r="R27" s="277"/>
      <c r="S27" s="263"/>
      <c r="T27" s="273"/>
      <c r="V27" s="274"/>
    </row>
    <row r="28" spans="1:22" x14ac:dyDescent="0.25">
      <c r="A28" s="233" t="s">
        <v>88</v>
      </c>
      <c r="D28" s="259">
        <f>IF($C$15&gt;833000,$C$15-833000,0)</f>
        <v>0</v>
      </c>
      <c r="E28" s="260" t="s">
        <v>19</v>
      </c>
      <c r="F28" s="261" t="s">
        <v>82</v>
      </c>
      <c r="G28" s="276"/>
      <c r="H28" s="276"/>
      <c r="I28" s="276">
        <f>'Rider Rates'!$B$5</f>
        <v>1.7560000000000001E-4</v>
      </c>
      <c r="J28" s="276">
        <f t="shared" si="0"/>
        <v>1.7560000000000001E-4</v>
      </c>
      <c r="K28" s="263" t="s">
        <v>87</v>
      </c>
      <c r="L28" s="91"/>
      <c r="M28" s="91"/>
      <c r="N28" s="91">
        <f t="shared" si="1"/>
        <v>0</v>
      </c>
      <c r="O28" s="91">
        <f t="shared" si="2"/>
        <v>0</v>
      </c>
      <c r="P28" s="258">
        <f>'Rider Rates'!$D$4</f>
        <v>45657</v>
      </c>
      <c r="Q28" s="261"/>
      <c r="R28" s="277"/>
      <c r="S28" s="263"/>
      <c r="T28" s="273"/>
      <c r="V28" s="274"/>
    </row>
    <row r="29" spans="1:22" x14ac:dyDescent="0.25">
      <c r="A29" s="233" t="s">
        <v>89</v>
      </c>
      <c r="D29" s="259">
        <f>IF('Customer Info'!$C$33=TRUE,0,IF($C$15&lt;0,0,IF($C$15&gt;2000,2000,$C$15)))</f>
        <v>0</v>
      </c>
      <c r="E29" s="260" t="s">
        <v>19</v>
      </c>
      <c r="F29" s="261" t="s">
        <v>82</v>
      </c>
      <c r="G29" s="276"/>
      <c r="H29" s="276"/>
      <c r="I29" s="278">
        <f>'Rider Rates'!$B$8</f>
        <v>4.6499999999999996E-3</v>
      </c>
      <c r="J29" s="278">
        <f t="shared" si="0"/>
        <v>4.6499999999999996E-3</v>
      </c>
      <c r="K29" s="263" t="s">
        <v>87</v>
      </c>
      <c r="L29" s="91"/>
      <c r="M29" s="91"/>
      <c r="N29" s="91">
        <f t="shared" si="1"/>
        <v>0</v>
      </c>
      <c r="O29" s="91">
        <f t="shared" si="2"/>
        <v>0</v>
      </c>
      <c r="P29" s="258">
        <f>'Rider Rates'!$D$7</f>
        <v>44531</v>
      </c>
      <c r="Q29" s="261"/>
      <c r="R29" s="277"/>
      <c r="S29" s="263"/>
      <c r="T29" s="273"/>
      <c r="V29" s="274"/>
    </row>
    <row r="30" spans="1:22" x14ac:dyDescent="0.25">
      <c r="A30" s="233" t="s">
        <v>90</v>
      </c>
      <c r="D30" s="259">
        <f>IF('Customer Info'!$C$33=TRUE,0,IF($C$15&lt;=2000,0,IF($C$15=0,0,IF($C$15-2000&gt;13000,13000,$C$15-2000))))</f>
        <v>0</v>
      </c>
      <c r="E30" s="260" t="s">
        <v>19</v>
      </c>
      <c r="F30" s="261" t="s">
        <v>82</v>
      </c>
      <c r="G30" s="276"/>
      <c r="H30" s="276"/>
      <c r="I30" s="278">
        <f>'Rider Rates'!$B$9</f>
        <v>4.1900000000000001E-3</v>
      </c>
      <c r="J30" s="278">
        <f t="shared" si="0"/>
        <v>4.1900000000000001E-3</v>
      </c>
      <c r="K30" s="263" t="s">
        <v>87</v>
      </c>
      <c r="L30" s="91"/>
      <c r="M30" s="91"/>
      <c r="N30" s="91">
        <f t="shared" si="1"/>
        <v>0</v>
      </c>
      <c r="O30" s="91">
        <f t="shared" si="2"/>
        <v>0</v>
      </c>
      <c r="P30" s="258">
        <f>'Rider Rates'!$D$7</f>
        <v>44531</v>
      </c>
      <c r="Q30" s="261"/>
      <c r="R30" s="277"/>
      <c r="S30" s="263"/>
      <c r="T30" s="273"/>
      <c r="V30" s="274"/>
    </row>
    <row r="31" spans="1:22" x14ac:dyDescent="0.25">
      <c r="A31" s="233" t="s">
        <v>91</v>
      </c>
      <c r="D31" s="259">
        <f>IF('Customer Info'!$C$33=TRUE,0,IF($C$15=0,0,IF($C$15-15000&gt;=0,$C$15-15000,0)))</f>
        <v>0</v>
      </c>
      <c r="E31" s="260" t="s">
        <v>19</v>
      </c>
      <c r="F31" s="261" t="s">
        <v>82</v>
      </c>
      <c r="G31" s="276"/>
      <c r="H31" s="276"/>
      <c r="I31" s="278">
        <f>'Rider Rates'!$B$10</f>
        <v>3.63E-3</v>
      </c>
      <c r="J31" s="278">
        <f t="shared" si="0"/>
        <v>3.63E-3</v>
      </c>
      <c r="K31" s="263" t="s">
        <v>87</v>
      </c>
      <c r="L31" s="91"/>
      <c r="M31" s="91"/>
      <c r="N31" s="91">
        <f t="shared" si="1"/>
        <v>0</v>
      </c>
      <c r="O31" s="91">
        <f t="shared" si="2"/>
        <v>0</v>
      </c>
      <c r="P31" s="258">
        <f>'Rider Rates'!$D$7</f>
        <v>44531</v>
      </c>
      <c r="Q31" s="261"/>
      <c r="R31" s="277"/>
      <c r="S31" s="263"/>
      <c r="T31" s="273"/>
      <c r="V31" s="274"/>
    </row>
    <row r="32" spans="1:22" x14ac:dyDescent="0.25">
      <c r="A32" s="233" t="s">
        <v>92</v>
      </c>
      <c r="D32" s="259">
        <f>IF($C$15&lt;0,0,$C$15)</f>
        <v>0</v>
      </c>
      <c r="E32" s="260" t="s">
        <v>19</v>
      </c>
      <c r="F32" s="261" t="s">
        <v>82</v>
      </c>
      <c r="G32" s="276"/>
      <c r="H32" s="276"/>
      <c r="I32" s="276">
        <f>'Rider Rates'!$B$16</f>
        <v>0</v>
      </c>
      <c r="J32" s="276">
        <f>SUM(G32:I32)</f>
        <v>0</v>
      </c>
      <c r="K32" s="263" t="s">
        <v>87</v>
      </c>
      <c r="L32" s="91"/>
      <c r="M32" s="91"/>
      <c r="N32" s="91">
        <f t="shared" si="1"/>
        <v>0</v>
      </c>
      <c r="O32" s="91">
        <f t="shared" si="2"/>
        <v>0</v>
      </c>
      <c r="P32" s="258">
        <f>'Rider Rates'!$D$16</f>
        <v>45197</v>
      </c>
      <c r="Q32" s="261"/>
      <c r="R32" s="277"/>
      <c r="S32" s="263"/>
      <c r="T32" s="273"/>
      <c r="V32" s="274"/>
    </row>
    <row r="33" spans="1:22" x14ac:dyDescent="0.25">
      <c r="A33" s="233" t="s">
        <v>93</v>
      </c>
      <c r="D33" s="279">
        <f>$N$23</f>
        <v>825</v>
      </c>
      <c r="E33" s="260" t="s">
        <v>94</v>
      </c>
      <c r="F33" s="261" t="s">
        <v>82</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95</v>
      </c>
      <c r="D34" s="259">
        <f>C15</f>
        <v>0</v>
      </c>
      <c r="E34" s="260" t="s">
        <v>19</v>
      </c>
      <c r="F34" s="261" t="s">
        <v>82</v>
      </c>
      <c r="G34" s="276">
        <f>'Rider Rates'!B25</f>
        <v>6.6629999999999995E-2</v>
      </c>
      <c r="H34" s="276"/>
      <c r="I34" s="276"/>
      <c r="J34" s="281">
        <f>SUM(G34:H34)</f>
        <v>6.6629999999999995E-2</v>
      </c>
      <c r="K34" s="263" t="s">
        <v>87</v>
      </c>
      <c r="L34" s="91">
        <f>ROUND(D34*G34,2)</f>
        <v>0</v>
      </c>
      <c r="M34" s="91"/>
      <c r="N34" s="91"/>
      <c r="O34" s="91">
        <f t="shared" si="2"/>
        <v>0</v>
      </c>
      <c r="P34" s="258">
        <f>'Rider Rates'!$D$22</f>
        <v>45444</v>
      </c>
      <c r="Q34" s="261"/>
      <c r="R34" s="277"/>
      <c r="S34" s="263"/>
      <c r="T34" s="273"/>
      <c r="V34" s="274"/>
    </row>
    <row r="35" spans="1:22" x14ac:dyDescent="0.25">
      <c r="A35" s="233" t="s">
        <v>148</v>
      </c>
      <c r="D35" s="259">
        <f>C16</f>
        <v>0</v>
      </c>
      <c r="E35" s="260" t="s">
        <v>19</v>
      </c>
      <c r="F35" s="261" t="s">
        <v>82</v>
      </c>
      <c r="G35" s="276">
        <f>'Rider Rates'!B46</f>
        <v>2.0022E-3</v>
      </c>
      <c r="H35" s="276"/>
      <c r="I35" s="276"/>
      <c r="J35" s="281">
        <f>SUM(G35:H35)</f>
        <v>2.0022E-3</v>
      </c>
      <c r="K35" s="263" t="s">
        <v>87</v>
      </c>
      <c r="L35" s="91">
        <f>ROUND(D35*G35,2)</f>
        <v>0</v>
      </c>
      <c r="M35" s="91"/>
      <c r="N35" s="91"/>
      <c r="O35" s="91">
        <f t="shared" si="2"/>
        <v>0</v>
      </c>
      <c r="P35" s="258">
        <f>'Rider Rates'!$D$38</f>
        <v>45444</v>
      </c>
      <c r="Q35" s="261"/>
      <c r="R35" s="277"/>
      <c r="S35" s="263"/>
      <c r="T35" s="273"/>
      <c r="V35" s="274"/>
    </row>
    <row r="36" spans="1:22" x14ac:dyDescent="0.25">
      <c r="A36" s="233" t="s">
        <v>149</v>
      </c>
      <c r="D36" s="259">
        <f>C17</f>
        <v>0</v>
      </c>
      <c r="E36" s="260" t="s">
        <v>19</v>
      </c>
      <c r="F36" s="255" t="s">
        <v>82</v>
      </c>
      <c r="G36" s="276">
        <f>'Rider Rates'!C46</f>
        <v>8.3000000000000001E-4</v>
      </c>
      <c r="H36" s="276"/>
      <c r="I36" s="276"/>
      <c r="J36" s="281">
        <f>SUM(G36:H36)</f>
        <v>8.3000000000000001E-4</v>
      </c>
      <c r="K36" s="263" t="s">
        <v>87</v>
      </c>
      <c r="L36" s="91">
        <f>ROUND(D36*G36,2)</f>
        <v>0</v>
      </c>
      <c r="M36" s="91"/>
      <c r="N36" s="91"/>
      <c r="O36" s="91">
        <f t="shared" si="2"/>
        <v>0</v>
      </c>
      <c r="P36" s="258">
        <f>'Rider Rates'!D39</f>
        <v>45444</v>
      </c>
      <c r="Q36" s="261"/>
      <c r="R36" s="277"/>
      <c r="S36" s="263"/>
      <c r="T36" s="273"/>
      <c r="V36" s="274"/>
    </row>
    <row r="37" spans="1:22" x14ac:dyDescent="0.25">
      <c r="A37" s="233" t="s">
        <v>97</v>
      </c>
      <c r="D37" s="259">
        <f>C16+C17</f>
        <v>0</v>
      </c>
      <c r="E37" s="260" t="s">
        <v>19</v>
      </c>
      <c r="F37" s="261" t="s">
        <v>82</v>
      </c>
      <c r="G37" s="276">
        <f>'Rider Rates'!$B$49</f>
        <v>4.5009999999999999E-4</v>
      </c>
      <c r="H37" s="276"/>
      <c r="I37" s="276"/>
      <c r="J37" s="281">
        <f>SUM(G37:H37)</f>
        <v>4.5009999999999999E-4</v>
      </c>
      <c r="K37" s="263" t="s">
        <v>87</v>
      </c>
      <c r="L37" s="91">
        <f>ROUND(D37*G37,2)</f>
        <v>0</v>
      </c>
      <c r="M37" s="91"/>
      <c r="N37" s="91"/>
      <c r="O37" s="91">
        <f t="shared" si="2"/>
        <v>0</v>
      </c>
      <c r="P37" s="258">
        <f>'Rider Rates'!$D$49</f>
        <v>45657</v>
      </c>
      <c r="Q37" s="261"/>
      <c r="R37" s="277"/>
      <c r="S37" s="263"/>
      <c r="T37" s="273"/>
      <c r="V37" s="274"/>
    </row>
    <row r="38" spans="1:22" x14ac:dyDescent="0.25">
      <c r="A38" s="230" t="s">
        <v>98</v>
      </c>
      <c r="D38" s="259">
        <f>IF($C$15&lt;0,0,IF($C$15&gt;833000,833000,$C$15))</f>
        <v>0</v>
      </c>
      <c r="E38" s="260" t="s">
        <v>19</v>
      </c>
      <c r="F38" s="261" t="s">
        <v>82</v>
      </c>
      <c r="G38" s="276"/>
      <c r="H38" s="276"/>
      <c r="I38" s="276">
        <f>'Rider Rates'!D53</f>
        <v>1.8006999999999999E-3</v>
      </c>
      <c r="J38" s="276">
        <f>SUM(G38:I38)</f>
        <v>1.8006999999999999E-3</v>
      </c>
      <c r="K38" s="263" t="s">
        <v>87</v>
      </c>
      <c r="L38" s="91"/>
      <c r="M38" s="91"/>
      <c r="N38" s="91">
        <f>D38*J38</f>
        <v>0</v>
      </c>
      <c r="O38" s="91">
        <f t="shared" si="2"/>
        <v>0</v>
      </c>
      <c r="P38" s="258">
        <f>'Rider Rates'!E53</f>
        <v>45658</v>
      </c>
      <c r="Q38" s="261"/>
      <c r="R38" s="277"/>
      <c r="S38" s="263"/>
      <c r="T38" s="273"/>
      <c r="V38" s="274"/>
    </row>
    <row r="39" spans="1:22" x14ac:dyDescent="0.25">
      <c r="A39" s="233" t="s">
        <v>99</v>
      </c>
      <c r="D39" s="259">
        <f>IF($C$15&lt;0,0,$C$15)</f>
        <v>0</v>
      </c>
      <c r="E39" s="260" t="s">
        <v>19</v>
      </c>
      <c r="F39" s="261" t="s">
        <v>82</v>
      </c>
      <c r="G39" s="276"/>
      <c r="H39" s="276">
        <f>'Rider Rates'!$B$60</f>
        <v>2.3467399999999999E-2</v>
      </c>
      <c r="I39" s="276"/>
      <c r="J39" s="276">
        <f>SUM(G39:I39)</f>
        <v>2.3467399999999999E-2</v>
      </c>
      <c r="K39" s="263" t="s">
        <v>87</v>
      </c>
      <c r="L39" s="91"/>
      <c r="M39" s="91">
        <f>ROUND(D39*H39,2)</f>
        <v>0</v>
      </c>
      <c r="N39" s="282"/>
      <c r="O39" s="91">
        <f t="shared" si="2"/>
        <v>0</v>
      </c>
      <c r="P39" s="258">
        <f>'Rider Rates'!$D$60</f>
        <v>45383</v>
      </c>
      <c r="Q39" s="261"/>
      <c r="R39" s="277"/>
      <c r="S39" s="263"/>
      <c r="T39" s="273"/>
      <c r="V39" s="274"/>
    </row>
    <row r="40" spans="1:22" x14ac:dyDescent="0.25">
      <c r="A40" s="233" t="s">
        <v>101</v>
      </c>
      <c r="D40" s="259">
        <f>IF('Customer Info'!C35=TRUE,0,IF($C$15&lt;0,0,$C$15))</f>
        <v>0</v>
      </c>
      <c r="E40" s="260" t="s">
        <v>19</v>
      </c>
      <c r="F40" s="261" t="s">
        <v>82</v>
      </c>
      <c r="G40" s="276"/>
      <c r="H40" s="276"/>
      <c r="I40" s="276">
        <f>'Rider Rates'!$B$74+'Rider Rates'!$C$74</f>
        <v>0</v>
      </c>
      <c r="J40" s="276">
        <f t="shared" si="0"/>
        <v>0</v>
      </c>
      <c r="K40" s="263" t="s">
        <v>87</v>
      </c>
      <c r="L40" s="91"/>
      <c r="M40" s="91"/>
      <c r="N40" s="91">
        <f>ROUND($D$40*'Rider Rates'!$B$74,2)+ROUND($D$40*'Rider Rates'!$C$74,2)</f>
        <v>0</v>
      </c>
      <c r="O40" s="91">
        <f t="shared" si="2"/>
        <v>0</v>
      </c>
      <c r="P40" s="258">
        <f>'Rider Rates'!$D$74</f>
        <v>44531</v>
      </c>
      <c r="Q40" s="261"/>
      <c r="R40" s="277"/>
      <c r="S40" s="263"/>
      <c r="T40" s="273"/>
      <c r="V40" s="274"/>
    </row>
    <row r="41" spans="1:22" x14ac:dyDescent="0.25">
      <c r="A41" s="233" t="s">
        <v>101</v>
      </c>
      <c r="D41" s="259"/>
      <c r="E41" s="260" t="s">
        <v>57</v>
      </c>
      <c r="F41" s="261"/>
      <c r="G41" s="276"/>
      <c r="H41" s="276"/>
      <c r="I41" s="283">
        <f>'Rider Rates'!$B$81</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102</v>
      </c>
      <c r="D42" s="279">
        <f>$N$23</f>
        <v>825</v>
      </c>
      <c r="E42" s="260" t="s">
        <v>94</v>
      </c>
      <c r="F42" s="261" t="s">
        <v>82</v>
      </c>
      <c r="G42" s="284"/>
      <c r="H42" s="253"/>
      <c r="I42" s="285">
        <f>'Rider Rates'!$B$89</f>
        <v>4.94232E-2</v>
      </c>
      <c r="J42" s="285">
        <f t="shared" si="0"/>
        <v>4.94232E-2</v>
      </c>
      <c r="K42" s="263"/>
      <c r="L42" s="91"/>
      <c r="M42" s="91"/>
      <c r="N42" s="91">
        <f>ROUND(D42*I42,2)</f>
        <v>40.770000000000003</v>
      </c>
      <c r="O42" s="91">
        <f t="shared" si="2"/>
        <v>40.770000000000003</v>
      </c>
      <c r="P42" s="258">
        <f>'Rider Rates'!$D$89</f>
        <v>45562</v>
      </c>
      <c r="Q42" s="261"/>
      <c r="R42" s="277"/>
      <c r="S42" s="263"/>
      <c r="T42" s="273"/>
      <c r="V42" s="274"/>
    </row>
    <row r="43" spans="1:22" x14ac:dyDescent="0.25">
      <c r="A43" s="233" t="s">
        <v>103</v>
      </c>
      <c r="D43" s="279">
        <f>$N$23</f>
        <v>825</v>
      </c>
      <c r="E43" s="260" t="s">
        <v>94</v>
      </c>
      <c r="F43" s="261" t="s">
        <v>82</v>
      </c>
      <c r="G43" s="286"/>
      <c r="H43" s="253"/>
      <c r="I43" s="285">
        <f>'Rider Rates'!$B$91</f>
        <v>6.6985699999999995E-2</v>
      </c>
      <c r="J43" s="285">
        <f t="shared" si="0"/>
        <v>6.6985699999999995E-2</v>
      </c>
      <c r="K43" s="263"/>
      <c r="L43" s="91"/>
      <c r="M43" s="91"/>
      <c r="N43" s="91">
        <f>ROUND(D43*I43,2)</f>
        <v>55.26</v>
      </c>
      <c r="O43" s="91">
        <f t="shared" si="2"/>
        <v>55.26</v>
      </c>
      <c r="P43" s="258">
        <f>'Rider Rates'!$D$91</f>
        <v>45167</v>
      </c>
      <c r="Q43" s="261"/>
      <c r="R43" s="277"/>
      <c r="S43" s="263"/>
      <c r="T43" s="273"/>
      <c r="V43" s="274"/>
    </row>
    <row r="44" spans="1:22" x14ac:dyDescent="0.25">
      <c r="A44" s="233" t="s">
        <v>104</v>
      </c>
      <c r="D44" s="279"/>
      <c r="E44" s="260" t="s">
        <v>57</v>
      </c>
      <c r="F44" s="261"/>
      <c r="G44" s="286"/>
      <c r="H44" s="253"/>
      <c r="I44" s="283">
        <f>'Rider Rates'!$B$95</f>
        <v>17.53</v>
      </c>
      <c r="J44" s="283">
        <f t="shared" si="0"/>
        <v>17.53</v>
      </c>
      <c r="K44" s="263"/>
      <c r="L44" s="91"/>
      <c r="M44" s="91"/>
      <c r="N44" s="91">
        <f>I44</f>
        <v>17.53</v>
      </c>
      <c r="O44" s="91">
        <f t="shared" si="2"/>
        <v>17.53</v>
      </c>
      <c r="P44" s="258">
        <f>'Rider Rates'!$D$95</f>
        <v>45657</v>
      </c>
      <c r="Q44" s="261"/>
      <c r="R44" s="277"/>
      <c r="S44" s="263"/>
      <c r="T44" s="273"/>
      <c r="V44" s="274"/>
    </row>
    <row r="45" spans="1:22" x14ac:dyDescent="0.25">
      <c r="A45" s="233" t="s">
        <v>105</v>
      </c>
      <c r="D45" s="259">
        <f>IF($C$15&lt;0,0,$C$15)</f>
        <v>0</v>
      </c>
      <c r="E45" s="260" t="s">
        <v>19</v>
      </c>
      <c r="F45" s="261" t="s">
        <v>82</v>
      </c>
      <c r="G45" s="276"/>
      <c r="H45" s="276"/>
      <c r="I45" s="276"/>
      <c r="J45" s="276">
        <f>'Rider Rates'!$B$99</f>
        <v>0</v>
      </c>
      <c r="K45" s="263" t="s">
        <v>87</v>
      </c>
      <c r="L45" s="91"/>
      <c r="M45" s="91"/>
      <c r="N45" s="91"/>
      <c r="O45" s="91">
        <f>ROUND($D45*('Rider Rates'!B$99),2)</f>
        <v>0</v>
      </c>
      <c r="P45" s="258">
        <f>'Rider Rates'!$D$99</f>
        <v>44531</v>
      </c>
      <c r="Q45" s="261"/>
      <c r="R45" s="277"/>
      <c r="S45" s="263"/>
      <c r="T45" s="273"/>
      <c r="V45" s="274"/>
    </row>
    <row r="46" spans="1:22" x14ac:dyDescent="0.25">
      <c r="A46" s="233" t="s">
        <v>106</v>
      </c>
      <c r="D46" s="279">
        <f>$N$23</f>
        <v>825</v>
      </c>
      <c r="E46" s="260" t="s">
        <v>94</v>
      </c>
      <c r="F46" s="261" t="s">
        <v>82</v>
      </c>
      <c r="G46" s="286"/>
      <c r="H46" s="253"/>
      <c r="I46" s="285">
        <f>'Rider Rates'!$B$109</f>
        <v>0.2363101</v>
      </c>
      <c r="J46" s="285">
        <f t="shared" si="0"/>
        <v>0.2363101</v>
      </c>
      <c r="K46" s="263"/>
      <c r="L46" s="91"/>
      <c r="M46" s="91"/>
      <c r="N46" s="91">
        <f>ROUND(D46*I46,2)</f>
        <v>194.96</v>
      </c>
      <c r="O46" s="91">
        <f t="shared" si="2"/>
        <v>194.96</v>
      </c>
      <c r="P46" s="258">
        <f>'Rider Rates'!$D$109</f>
        <v>45622</v>
      </c>
      <c r="Q46" s="261"/>
      <c r="R46" s="277"/>
      <c r="S46" s="263"/>
      <c r="T46" s="273"/>
      <c r="V46" s="274"/>
    </row>
    <row r="47" spans="1:22" x14ac:dyDescent="0.25">
      <c r="A47" s="233" t="s">
        <v>107</v>
      </c>
      <c r="D47" s="279"/>
      <c r="E47" s="260" t="s">
        <v>57</v>
      </c>
      <c r="F47" s="261"/>
      <c r="G47" s="286"/>
      <c r="H47" s="253"/>
      <c r="I47" s="283">
        <f>'Rider Rates'!$B$113</f>
        <v>0</v>
      </c>
      <c r="J47" s="283">
        <f t="shared" si="0"/>
        <v>0</v>
      </c>
      <c r="K47" s="263"/>
      <c r="L47" s="91"/>
      <c r="M47" s="91"/>
      <c r="N47" s="91">
        <f>I47</f>
        <v>0</v>
      </c>
      <c r="O47" s="91">
        <f t="shared" si="2"/>
        <v>0</v>
      </c>
      <c r="P47" s="258">
        <f>'Rider Rates'!$D$113</f>
        <v>44894</v>
      </c>
      <c r="Q47" s="261"/>
      <c r="R47" s="277"/>
      <c r="S47" s="263"/>
      <c r="T47" s="273"/>
      <c r="V47" s="274"/>
    </row>
    <row r="48" spans="1:22" x14ac:dyDescent="0.25">
      <c r="A48" s="233" t="s">
        <v>108</v>
      </c>
      <c r="D48" s="279"/>
      <c r="E48" s="260" t="s">
        <v>57</v>
      </c>
      <c r="F48" s="261"/>
      <c r="G48" s="286"/>
      <c r="H48" s="253"/>
      <c r="I48" s="287">
        <f>'Rider Rates'!B126</f>
        <v>4.84</v>
      </c>
      <c r="J48" s="283">
        <f t="shared" si="0"/>
        <v>4.84</v>
      </c>
      <c r="K48" s="263"/>
      <c r="L48" s="91"/>
      <c r="M48" s="91"/>
      <c r="N48" s="288">
        <f>I48</f>
        <v>4.84</v>
      </c>
      <c r="O48" s="91">
        <f t="shared" si="2"/>
        <v>4.84</v>
      </c>
      <c r="P48" s="258">
        <f>'Rider Rates'!D126</f>
        <v>45593</v>
      </c>
      <c r="Q48" s="261"/>
      <c r="R48" s="277"/>
      <c r="S48" s="263"/>
      <c r="T48" s="273"/>
      <c r="V48" s="274"/>
    </row>
    <row r="49" spans="1:22" x14ac:dyDescent="0.25">
      <c r="A49" s="233" t="s">
        <v>109</v>
      </c>
      <c r="D49" s="259">
        <f>C16+C17</f>
        <v>0</v>
      </c>
      <c r="E49" s="260" t="s">
        <v>19</v>
      </c>
      <c r="F49" s="261" t="s">
        <v>82</v>
      </c>
      <c r="G49" s="276">
        <f>'Rider Rates'!B118</f>
        <v>3.6865999999999999E-3</v>
      </c>
      <c r="H49" s="276"/>
      <c r="I49" s="285"/>
      <c r="J49" s="281">
        <f>SUM(G49:H49)</f>
        <v>3.6865999999999999E-3</v>
      </c>
      <c r="K49" s="263" t="s">
        <v>87</v>
      </c>
      <c r="L49" s="91">
        <f>ROUND(D49*G49,2)</f>
        <v>0</v>
      </c>
      <c r="M49" s="91"/>
      <c r="N49" s="91"/>
      <c r="O49" s="91">
        <f t="shared" si="2"/>
        <v>0</v>
      </c>
      <c r="P49" s="258">
        <f>'Rider Rates'!$D$116</f>
        <v>44531</v>
      </c>
      <c r="Q49" s="261"/>
      <c r="R49" s="277"/>
      <c r="S49" s="263"/>
      <c r="T49" s="273"/>
      <c r="V49" s="274"/>
    </row>
    <row r="50" spans="1:22" x14ac:dyDescent="0.25">
      <c r="A50" s="233" t="s">
        <v>110</v>
      </c>
      <c r="D50" s="259">
        <f>IF($C$15&lt;1,0,$C$15)</f>
        <v>0</v>
      </c>
      <c r="E50" s="260" t="s">
        <v>19</v>
      </c>
      <c r="F50" s="255" t="s">
        <v>82</v>
      </c>
      <c r="G50" s="289"/>
      <c r="H50" s="289"/>
      <c r="I50" s="290">
        <f>'Rider Rates'!B122</f>
        <v>0</v>
      </c>
      <c r="J50" s="290">
        <f>SUM(G50:I50)</f>
        <v>0</v>
      </c>
      <c r="K50" s="263" t="s">
        <v>87</v>
      </c>
      <c r="L50" s="91"/>
      <c r="M50" s="91"/>
      <c r="N50" s="91">
        <f>D50*J50</f>
        <v>0</v>
      </c>
      <c r="O50" s="91">
        <f>SUM(L50:N50)</f>
        <v>0</v>
      </c>
      <c r="P50" s="258">
        <f>'Rider Rates'!D122</f>
        <v>45657</v>
      </c>
      <c r="Q50" s="261"/>
      <c r="R50" s="277"/>
      <c r="S50" s="263"/>
      <c r="T50" s="273"/>
      <c r="V50" s="274"/>
    </row>
    <row r="51" spans="1:22" x14ac:dyDescent="0.25">
      <c r="A51" s="230" t="s">
        <v>169</v>
      </c>
      <c r="D51" s="259">
        <f>IF(C15&lt;0,0,IF(C15&gt;833000,833000,C15))</f>
        <v>0</v>
      </c>
      <c r="E51" s="260" t="s">
        <v>19</v>
      </c>
      <c r="F51" s="261" t="s">
        <v>82</v>
      </c>
      <c r="G51" s="291"/>
      <c r="H51" s="291"/>
      <c r="I51" s="291">
        <f>'Rider Rates'!$B$130</f>
        <v>2.9050000000000001E-4</v>
      </c>
      <c r="J51" s="291">
        <f>SUM(G51:I51)</f>
        <v>2.9050000000000001E-4</v>
      </c>
      <c r="K51" s="263" t="s">
        <v>87</v>
      </c>
      <c r="L51" s="292"/>
      <c r="M51" s="292"/>
      <c r="N51" s="292">
        <f>IF(D51*J51&gt;'Rider Rates'!$C$130,'Rider Rates'!$C$130,D51*J51)</f>
        <v>0</v>
      </c>
      <c r="O51" s="292">
        <f>SUM(L51:N51)</f>
        <v>0</v>
      </c>
      <c r="P51" s="293">
        <f>'Rider Rates'!$E$130</f>
        <v>45658</v>
      </c>
      <c r="Q51" s="261"/>
      <c r="R51" s="277"/>
      <c r="S51" s="263"/>
      <c r="T51" s="273"/>
      <c r="V51" s="274"/>
    </row>
    <row r="52" spans="1:22" x14ac:dyDescent="0.25">
      <c r="A52" s="230" t="s">
        <v>170</v>
      </c>
      <c r="D52" s="259">
        <f>IF(C15&gt;833000,C15-833000,0)</f>
        <v>0</v>
      </c>
      <c r="E52" s="260" t="s">
        <v>19</v>
      </c>
      <c r="F52" s="261" t="s">
        <v>82</v>
      </c>
      <c r="G52" s="291"/>
      <c r="H52" s="291"/>
      <c r="I52" s="291">
        <f>'Rider Rates'!$B$131</f>
        <v>0</v>
      </c>
      <c r="J52" s="291">
        <f>SUM(G52:I52)</f>
        <v>0</v>
      </c>
      <c r="K52" s="263" t="s">
        <v>87</v>
      </c>
      <c r="L52" s="292"/>
      <c r="M52" s="292"/>
      <c r="N52" s="292">
        <f>D52*J52</f>
        <v>0</v>
      </c>
      <c r="O52" s="292">
        <f>SUM(L52:N52)</f>
        <v>0</v>
      </c>
      <c r="P52" s="293">
        <f>'Rider Rates'!$E$131</f>
        <v>45658</v>
      </c>
      <c r="Q52" s="261"/>
      <c r="R52" s="277"/>
      <c r="S52" s="263"/>
      <c r="T52" s="273"/>
      <c r="V52" s="274"/>
    </row>
    <row r="53" spans="1:22" x14ac:dyDescent="0.25">
      <c r="A53" s="230" t="s">
        <v>112</v>
      </c>
      <c r="D53" s="259">
        <f>C15</f>
        <v>0</v>
      </c>
      <c r="E53" s="260" t="s">
        <v>19</v>
      </c>
      <c r="F53" s="255" t="s">
        <v>82</v>
      </c>
      <c r="G53" s="276"/>
      <c r="H53" s="276"/>
      <c r="I53" s="276">
        <f>'Rider Rates'!$B$135</f>
        <v>0</v>
      </c>
      <c r="J53" s="281">
        <f>SUM(G53:I53)</f>
        <v>0</v>
      </c>
      <c r="K53" s="263" t="s">
        <v>87</v>
      </c>
      <c r="L53" s="91"/>
      <c r="M53" s="91"/>
      <c r="N53" s="91">
        <f>D53*J53</f>
        <v>0</v>
      </c>
      <c r="O53" s="91">
        <f>SUM(L53:N53)</f>
        <v>0</v>
      </c>
      <c r="P53" s="258">
        <f>'Rider Rates'!$D$135</f>
        <v>44531</v>
      </c>
      <c r="Q53" s="261"/>
      <c r="R53" s="277"/>
      <c r="S53" s="263"/>
      <c r="T53" s="273"/>
      <c r="V53" s="274"/>
    </row>
    <row r="54" spans="1:22" x14ac:dyDescent="0.25">
      <c r="A54" s="230" t="s">
        <v>113</v>
      </c>
      <c r="D54" s="259"/>
      <c r="E54" s="260" t="s">
        <v>57</v>
      </c>
      <c r="F54" s="261" t="s">
        <v>82</v>
      </c>
      <c r="G54" s="262"/>
      <c r="H54" s="262"/>
      <c r="I54" s="262">
        <f>'Rider Rates'!$B$142</f>
        <v>0</v>
      </c>
      <c r="J54" s="262">
        <f>SUM(G54:I54)</f>
        <v>0</v>
      </c>
      <c r="K54" s="263"/>
      <c r="L54" s="256"/>
      <c r="M54" s="256"/>
      <c r="N54" s="256">
        <f>J54</f>
        <v>0</v>
      </c>
      <c r="O54" s="256">
        <f>SUM(L54:N54)</f>
        <v>0</v>
      </c>
      <c r="P54" s="293">
        <f>'Rider Rates'!$D$142</f>
        <v>44531</v>
      </c>
      <c r="Q54" s="261"/>
      <c r="R54" s="277"/>
      <c r="S54" s="263"/>
      <c r="T54" s="273"/>
      <c r="V54" s="274"/>
    </row>
    <row r="55" spans="1:22" x14ac:dyDescent="0.25">
      <c r="A55" s="230" t="s">
        <v>114</v>
      </c>
      <c r="D55" s="259"/>
      <c r="E55" s="260"/>
      <c r="F55" s="261"/>
      <c r="G55" s="262"/>
      <c r="H55" s="262"/>
      <c r="I55" s="262"/>
      <c r="J55" s="262"/>
      <c r="K55" s="263"/>
      <c r="L55" s="256"/>
      <c r="M55" s="256"/>
      <c r="N55" s="256"/>
      <c r="O55" s="256"/>
      <c r="P55" s="293"/>
      <c r="Q55" s="261"/>
      <c r="R55" s="277"/>
      <c r="S55" s="263"/>
      <c r="T55" s="273"/>
      <c r="V55" s="274"/>
    </row>
    <row r="56" spans="1:22" x14ac:dyDescent="0.25">
      <c r="A56" s="234" t="s">
        <v>115</v>
      </c>
      <c r="B56" s="271"/>
      <c r="C56" s="271"/>
      <c r="D56" s="294"/>
      <c r="E56" s="295"/>
      <c r="F56" s="296"/>
      <c r="G56" s="296"/>
      <c r="H56" s="296"/>
      <c r="I56" s="296"/>
      <c r="J56" s="296"/>
      <c r="K56" s="297"/>
      <c r="L56" s="298">
        <f>SUM(L27:L55)</f>
        <v>0</v>
      </c>
      <c r="M56" s="298">
        <f>SUM(M27:M55)</f>
        <v>0</v>
      </c>
      <c r="N56" s="298">
        <f>SUM(N27:N55)</f>
        <v>313.35999999999996</v>
      </c>
      <c r="O56" s="298">
        <f>SUM(O27:O55)</f>
        <v>313.35999999999996</v>
      </c>
      <c r="P56" s="299"/>
      <c r="Q56" s="261"/>
      <c r="R56" s="277"/>
      <c r="S56" s="263"/>
      <c r="T56" s="273"/>
      <c r="V56" s="274"/>
    </row>
    <row r="57" spans="1:22" x14ac:dyDescent="0.25">
      <c r="D57" s="259"/>
      <c r="E57" s="260"/>
      <c r="F57" s="261"/>
      <c r="G57" s="261"/>
      <c r="H57" s="261"/>
      <c r="I57" s="261"/>
      <c r="J57" s="277"/>
      <c r="K57" s="263"/>
      <c r="L57" s="261"/>
      <c r="M57" s="261"/>
      <c r="N57" s="261"/>
      <c r="O57" s="261"/>
      <c r="P57" s="300"/>
      <c r="Q57" s="261"/>
      <c r="R57" s="277"/>
      <c r="S57" s="263"/>
      <c r="T57" s="273"/>
      <c r="V57" s="274"/>
    </row>
    <row r="58" spans="1:22" x14ac:dyDescent="0.25">
      <c r="A58" s="301" t="s">
        <v>116</v>
      </c>
      <c r="B58" s="241"/>
      <c r="C58" s="241"/>
      <c r="D58" s="241"/>
      <c r="E58" s="241"/>
      <c r="F58" s="241"/>
      <c r="G58" s="241"/>
      <c r="H58" s="241"/>
      <c r="I58" s="241"/>
      <c r="J58" s="241"/>
      <c r="K58" s="241"/>
      <c r="L58" s="302">
        <f>L23+L56</f>
        <v>0</v>
      </c>
      <c r="M58" s="302">
        <f>M23+M56</f>
        <v>0</v>
      </c>
      <c r="N58" s="302">
        <f>N23+N56</f>
        <v>1138.3599999999999</v>
      </c>
      <c r="O58" s="303">
        <f>O23+O56</f>
        <v>1138.3599999999999</v>
      </c>
      <c r="P58" s="303"/>
      <c r="Q58" s="261"/>
      <c r="R58" s="304"/>
      <c r="S58" s="263"/>
      <c r="T58" s="273"/>
      <c r="V58" s="263"/>
    </row>
    <row r="59" spans="1:22" x14ac:dyDescent="0.25">
      <c r="Q59" s="264"/>
      <c r="R59" s="264"/>
      <c r="S59" s="264"/>
      <c r="T59" s="305"/>
    </row>
    <row r="60" spans="1:22" x14ac:dyDescent="0.25">
      <c r="Q60" s="264"/>
      <c r="R60" s="264"/>
      <c r="S60" s="264"/>
      <c r="T60" s="305"/>
    </row>
    <row r="61" spans="1:22" x14ac:dyDescent="0.25">
      <c r="A61" s="264" t="s">
        <v>117</v>
      </c>
      <c r="O61" s="273">
        <f>O21+O56</f>
        <v>1138.3599999999999</v>
      </c>
      <c r="Q61" s="264"/>
      <c r="R61" s="264"/>
      <c r="S61" s="264"/>
      <c r="T61" s="305"/>
    </row>
    <row r="62" spans="1:22" x14ac:dyDescent="0.25">
      <c r="A62" s="264" t="s">
        <v>2</v>
      </c>
      <c r="B62" s="264"/>
      <c r="C62" s="264"/>
      <c r="D62" s="264"/>
      <c r="E62" s="264"/>
      <c r="F62" s="264"/>
      <c r="G62" s="264"/>
      <c r="H62" s="264"/>
    </row>
    <row r="63" spans="1:22" x14ac:dyDescent="0.25">
      <c r="A63" s="271" t="s">
        <v>118</v>
      </c>
      <c r="O63" s="306">
        <f>IF($D$17&lt;0,O58,IF(O58&gt;O61,O58,O61))</f>
        <v>1138.3599999999999</v>
      </c>
      <c r="P63" s="261"/>
    </row>
    <row r="64" spans="1:22" ht="15" customHeight="1" x14ac:dyDescent="0.25">
      <c r="A64" s="271"/>
      <c r="O64" s="306"/>
      <c r="P64" s="261"/>
    </row>
    <row r="65" spans="1:16" x14ac:dyDescent="0.25">
      <c r="A65" s="271"/>
      <c r="B65" s="264"/>
      <c r="C65" s="264"/>
      <c r="D65" s="264"/>
      <c r="E65" s="264"/>
      <c r="F65" s="264"/>
      <c r="G65" s="264"/>
      <c r="H65" s="264"/>
      <c r="I65" s="264" t="s">
        <v>119</v>
      </c>
      <c r="J65" s="264"/>
      <c r="K65" s="264"/>
      <c r="L65" s="307"/>
      <c r="M65" s="307"/>
      <c r="N65" s="307"/>
      <c r="O65" s="307">
        <f>ROUND(IF($C$15&lt;1,0,O58/($C$15*100)*10000),2)</f>
        <v>0</v>
      </c>
      <c r="P65" s="264" t="s">
        <v>120</v>
      </c>
    </row>
    <row r="66" spans="1:16" x14ac:dyDescent="0.25">
      <c r="H66" s="308"/>
      <c r="I66" s="309" t="s">
        <v>121</v>
      </c>
      <c r="O66" s="310">
        <f>ROUND(IF($C$15&lt;1,0,(L58)/($C$15*100)*10000),2)</f>
        <v>0</v>
      </c>
      <c r="P66" s="236" t="s">
        <v>120</v>
      </c>
    </row>
  </sheetData>
  <sheetProtection algorithmName="SHA-512" hashValue="rQeAk/I/zhw74utCEXkkwBua2UWRvkK9+EIBuifP09uhVWoPzbnc7padUQb9d5AXLc7J0RCAMTH4UxpyyjPCAA==" saltValue="UddZ7oeP+KTcrmhi4oNWL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30480</xdr:rowOff>
                  </from>
                  <to>
                    <xdr:col>0</xdr:col>
                    <xdr:colOff>381000</xdr:colOff>
                    <xdr:row>2</xdr:row>
                    <xdr:rowOff>30480</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5"/>
  <sheetViews>
    <sheetView showGridLines="0" topLeftCell="A29" zoomScale="80" zoomScaleNormal="80" workbookViewId="0">
      <selection activeCell="B22" sqref="B22"/>
    </sheetView>
  </sheetViews>
  <sheetFormatPr defaultColWidth="9.109375" defaultRowHeight="13.2" x14ac:dyDescent="0.25"/>
  <cols>
    <col min="1" max="1" width="31" style="48" customWidth="1"/>
    <col min="2" max="2" width="2.109375" style="48" customWidth="1"/>
    <col min="3" max="3" width="19.44140625" style="48" customWidth="1"/>
    <col min="4" max="4" width="15.44140625" style="48" customWidth="1"/>
    <col min="5" max="5" width="9.88671875" style="48" customWidth="1"/>
    <col min="6" max="6" width="3.5546875" style="48" customWidth="1"/>
    <col min="7" max="8" width="13.44140625" style="48" customWidth="1"/>
    <col min="9" max="9" width="14.5546875" style="48" customWidth="1"/>
    <col min="10" max="10" width="13.44140625" style="48" customWidth="1"/>
    <col min="11" max="11" width="7" style="48" customWidth="1"/>
    <col min="12" max="12" width="15.109375" style="48" customWidth="1"/>
    <col min="13" max="14" width="14.44140625" style="48" customWidth="1"/>
    <col min="15" max="15" width="16.44140625" style="48" bestFit="1" customWidth="1"/>
    <col min="16" max="16" width="13.88671875" style="48" bestFit="1" customWidth="1"/>
    <col min="17" max="17" width="9.109375" style="48"/>
    <col min="18" max="26" width="9.109375" style="48" hidden="1" customWidth="1"/>
    <col min="27" max="27" width="10.5546875" style="48" hidden="1" customWidth="1"/>
    <col min="28" max="29" width="9.109375" style="48" hidden="1" customWidth="1"/>
    <col min="30" max="30" width="10" style="48" hidden="1" customWidth="1"/>
    <col min="31" max="16384" width="9.109375" style="48"/>
  </cols>
  <sheetData>
    <row r="1" spans="1:256" ht="21" x14ac:dyDescent="0.4">
      <c r="A1" s="474" t="s">
        <v>52</v>
      </c>
      <c r="B1" s="474"/>
      <c r="C1" s="474"/>
      <c r="D1" s="474"/>
      <c r="E1" s="474"/>
      <c r="F1" s="474"/>
      <c r="G1" s="474"/>
      <c r="H1" s="474"/>
      <c r="I1" s="474"/>
      <c r="J1" s="474"/>
      <c r="K1" s="474"/>
      <c r="L1" s="474"/>
      <c r="M1" s="474"/>
      <c r="N1" s="474"/>
      <c r="O1" s="474"/>
      <c r="P1" s="474"/>
    </row>
    <row r="2" spans="1:256" ht="21" x14ac:dyDescent="0.4">
      <c r="A2" s="472" t="s">
        <v>141</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472"/>
      <c r="BD2" s="472"/>
      <c r="BE2" s="472"/>
      <c r="BF2" s="472"/>
      <c r="BG2" s="472"/>
      <c r="BH2" s="472"/>
      <c r="BI2" s="472"/>
      <c r="BJ2" s="472"/>
      <c r="BK2" s="472"/>
      <c r="BL2" s="472"/>
      <c r="BM2" s="472"/>
      <c r="BN2" s="472"/>
      <c r="BO2" s="472"/>
      <c r="BP2" s="472"/>
      <c r="BQ2" s="472"/>
      <c r="BR2" s="472"/>
      <c r="BS2" s="472"/>
      <c r="BT2" s="472"/>
      <c r="BU2" s="472"/>
      <c r="BV2" s="472"/>
      <c r="BW2" s="472"/>
      <c r="BX2" s="472"/>
      <c r="BY2" s="472"/>
      <c r="BZ2" s="472"/>
      <c r="CA2" s="472"/>
      <c r="CB2" s="472"/>
      <c r="CC2" s="472"/>
      <c r="CD2" s="472"/>
      <c r="CE2" s="472"/>
      <c r="CF2" s="472"/>
      <c r="CG2" s="472"/>
      <c r="CH2" s="472"/>
      <c r="CI2" s="472"/>
      <c r="CJ2" s="472"/>
      <c r="CK2" s="472"/>
      <c r="CL2" s="472"/>
      <c r="CM2" s="472"/>
      <c r="CN2" s="472"/>
      <c r="CO2" s="472"/>
      <c r="CP2" s="472"/>
      <c r="CQ2" s="472"/>
      <c r="CR2" s="472"/>
      <c r="CS2" s="472"/>
      <c r="CT2" s="472"/>
      <c r="CU2" s="472"/>
      <c r="CV2" s="472"/>
      <c r="CW2" s="472"/>
      <c r="CX2" s="472"/>
      <c r="CY2" s="472"/>
      <c r="CZ2" s="472"/>
      <c r="DA2" s="472"/>
      <c r="DB2" s="472"/>
      <c r="DC2" s="472"/>
      <c r="DD2" s="472"/>
      <c r="DE2" s="472"/>
      <c r="DF2" s="472"/>
      <c r="DG2" s="472"/>
      <c r="DH2" s="472"/>
      <c r="DI2" s="472"/>
      <c r="DJ2" s="472"/>
      <c r="DK2" s="472"/>
      <c r="DL2" s="472"/>
      <c r="DM2" s="472"/>
      <c r="DN2" s="472"/>
      <c r="DO2" s="472"/>
      <c r="DP2" s="472"/>
      <c r="DQ2" s="472"/>
      <c r="DR2" s="472"/>
      <c r="DS2" s="472"/>
      <c r="DT2" s="472"/>
      <c r="DU2" s="472"/>
      <c r="DV2" s="472"/>
      <c r="DW2" s="472"/>
      <c r="DX2" s="472"/>
      <c r="DY2" s="472"/>
      <c r="DZ2" s="472"/>
      <c r="EA2" s="472"/>
      <c r="EB2" s="472"/>
      <c r="EC2" s="472"/>
      <c r="ED2" s="472"/>
      <c r="EE2" s="472"/>
      <c r="EF2" s="472"/>
      <c r="EG2" s="472"/>
      <c r="EH2" s="472"/>
      <c r="EI2" s="472"/>
      <c r="EJ2" s="472"/>
      <c r="EK2" s="472"/>
      <c r="EL2" s="472"/>
      <c r="EM2" s="472"/>
      <c r="EN2" s="472"/>
      <c r="EO2" s="472"/>
      <c r="EP2" s="472"/>
      <c r="EQ2" s="472"/>
      <c r="ER2" s="472"/>
      <c r="ES2" s="472"/>
      <c r="ET2" s="472"/>
      <c r="EU2" s="472"/>
      <c r="EV2" s="472"/>
      <c r="EW2" s="472"/>
      <c r="EX2" s="472"/>
      <c r="EY2" s="472"/>
      <c r="EZ2" s="472"/>
      <c r="FA2" s="472"/>
      <c r="FB2" s="472"/>
      <c r="FC2" s="472"/>
      <c r="FD2" s="472"/>
      <c r="FE2" s="472"/>
      <c r="FF2" s="472"/>
      <c r="FG2" s="472"/>
      <c r="FH2" s="472"/>
      <c r="FI2" s="472"/>
      <c r="FJ2" s="472"/>
      <c r="FK2" s="472"/>
      <c r="FL2" s="472"/>
      <c r="FM2" s="472"/>
      <c r="FN2" s="472"/>
      <c r="FO2" s="472"/>
      <c r="FP2" s="472"/>
      <c r="FQ2" s="472"/>
      <c r="FR2" s="472"/>
      <c r="FS2" s="472"/>
      <c r="FT2" s="472"/>
      <c r="FU2" s="472"/>
      <c r="FV2" s="472"/>
      <c r="FW2" s="472"/>
      <c r="FX2" s="472"/>
      <c r="FY2" s="472"/>
      <c r="FZ2" s="472"/>
      <c r="GA2" s="472"/>
      <c r="GB2" s="472"/>
      <c r="GC2" s="472"/>
      <c r="GD2" s="472"/>
      <c r="GE2" s="472"/>
      <c r="GF2" s="472"/>
      <c r="GG2" s="472"/>
      <c r="GH2" s="472"/>
      <c r="GI2" s="472"/>
      <c r="GJ2" s="472"/>
      <c r="GK2" s="472"/>
      <c r="GL2" s="472"/>
      <c r="GM2" s="472"/>
      <c r="GN2" s="472"/>
      <c r="GO2" s="472"/>
      <c r="GP2" s="472"/>
      <c r="GQ2" s="472"/>
      <c r="GR2" s="472"/>
      <c r="GS2" s="472"/>
      <c r="GT2" s="472"/>
      <c r="GU2" s="472"/>
      <c r="GV2" s="472"/>
      <c r="GW2" s="472"/>
      <c r="GX2" s="472"/>
      <c r="GY2" s="472"/>
      <c r="GZ2" s="472"/>
      <c r="HA2" s="472"/>
      <c r="HB2" s="472"/>
      <c r="HC2" s="472"/>
      <c r="HD2" s="472"/>
      <c r="HE2" s="472"/>
      <c r="HF2" s="472"/>
      <c r="HG2" s="472"/>
      <c r="HH2" s="472"/>
      <c r="HI2" s="472"/>
      <c r="HJ2" s="472"/>
      <c r="HK2" s="472"/>
      <c r="HL2" s="472"/>
      <c r="HM2" s="472"/>
      <c r="HN2" s="472"/>
      <c r="HO2" s="472"/>
      <c r="HP2" s="472"/>
      <c r="HQ2" s="472"/>
      <c r="HR2" s="472"/>
      <c r="HS2" s="472"/>
      <c r="HT2" s="472"/>
      <c r="HU2" s="472"/>
      <c r="HV2" s="472"/>
      <c r="HW2" s="472"/>
      <c r="HX2" s="472"/>
      <c r="HY2" s="472"/>
      <c r="HZ2" s="472"/>
      <c r="IA2" s="472"/>
      <c r="IB2" s="472"/>
      <c r="IC2" s="472"/>
      <c r="ID2" s="472"/>
      <c r="IE2" s="472"/>
      <c r="IF2" s="472"/>
      <c r="IG2" s="472"/>
      <c r="IH2" s="472"/>
      <c r="II2" s="472"/>
      <c r="IJ2" s="472"/>
      <c r="IK2" s="472"/>
      <c r="IL2" s="472"/>
      <c r="IM2" s="472"/>
      <c r="IN2" s="472"/>
      <c r="IO2" s="472"/>
      <c r="IP2" s="472"/>
      <c r="IQ2" s="472"/>
      <c r="IR2" s="472"/>
      <c r="IS2" s="472"/>
      <c r="IT2" s="472"/>
      <c r="IU2" s="472"/>
      <c r="IV2" s="472"/>
    </row>
    <row r="3" spans="1:256" ht="17.399999999999999" x14ac:dyDescent="0.3">
      <c r="A3" s="473" t="s">
        <v>204</v>
      </c>
      <c r="B3" s="473"/>
      <c r="C3" s="473"/>
      <c r="D3" s="473"/>
      <c r="E3" s="473"/>
      <c r="F3" s="473"/>
      <c r="G3" s="473"/>
      <c r="H3" s="473"/>
      <c r="I3" s="473"/>
      <c r="J3" s="473"/>
      <c r="K3" s="473"/>
      <c r="L3" s="473"/>
      <c r="M3" s="473"/>
      <c r="N3" s="473"/>
      <c r="O3" s="473"/>
      <c r="P3" s="473"/>
    </row>
    <row r="4" spans="1:256" ht="15.6" x14ac:dyDescent="0.3">
      <c r="A4" s="464" t="s">
        <v>11</v>
      </c>
      <c r="B4" s="464"/>
      <c r="C4" s="464"/>
      <c r="D4" s="464"/>
      <c r="E4" s="464"/>
      <c r="F4" s="464"/>
      <c r="G4" s="464"/>
      <c r="H4" s="464"/>
      <c r="I4" s="464"/>
      <c r="J4" s="464"/>
      <c r="K4" s="464"/>
      <c r="L4" s="464"/>
      <c r="M4" s="464"/>
      <c r="N4" s="464"/>
      <c r="O4" s="464"/>
      <c r="P4" s="464"/>
    </row>
    <row r="5" spans="1:256" ht="15" x14ac:dyDescent="0.25">
      <c r="A5" s="311"/>
      <c r="B5" s="311"/>
      <c r="C5" s="311"/>
      <c r="D5" s="311"/>
      <c r="E5" s="311"/>
      <c r="F5" s="311"/>
      <c r="G5" s="311"/>
      <c r="H5" s="311"/>
      <c r="I5" s="311"/>
      <c r="J5" s="311"/>
      <c r="K5" s="311"/>
    </row>
    <row r="6" spans="1:256" x14ac:dyDescent="0.25">
      <c r="A6" s="312">
        <f ca="1">TODAY()</f>
        <v>45656</v>
      </c>
      <c r="B6" s="313" t="s">
        <v>205</v>
      </c>
      <c r="C6" s="312"/>
      <c r="D6" s="312"/>
      <c r="E6" s="312"/>
      <c r="F6" s="312"/>
      <c r="G6" s="312"/>
      <c r="H6" s="312"/>
      <c r="I6" s="312"/>
    </row>
    <row r="7" spans="1:256" ht="24.6" x14ac:dyDescent="0.4">
      <c r="A7" s="465"/>
      <c r="B7" s="465"/>
      <c r="C7" s="465"/>
      <c r="D7" s="465"/>
      <c r="E7" s="465"/>
      <c r="F7" s="465"/>
      <c r="G7" s="465"/>
      <c r="H7" s="465"/>
      <c r="I7" s="465"/>
      <c r="J7" s="465"/>
      <c r="K7" s="465"/>
      <c r="L7" s="465"/>
      <c r="M7" s="465"/>
      <c r="N7" s="465"/>
      <c r="O7" s="465"/>
      <c r="P7" s="465"/>
    </row>
    <row r="8" spans="1:256" ht="15" x14ac:dyDescent="0.25">
      <c r="A8" s="314" t="s">
        <v>5</v>
      </c>
      <c r="B8" s="315"/>
      <c r="C8" s="59">
        <f>'Customer Info'!B7</f>
        <v>0</v>
      </c>
      <c r="D8"/>
      <c r="I8" s="316"/>
    </row>
    <row r="9" spans="1:256" ht="15" x14ac:dyDescent="0.25">
      <c r="A9" s="317" t="s">
        <v>55</v>
      </c>
      <c r="B9" s="315"/>
      <c r="C9" s="59">
        <f>'Customer Info'!B8</f>
        <v>0</v>
      </c>
      <c r="D9"/>
    </row>
    <row r="10" spans="1:256" x14ac:dyDescent="0.25">
      <c r="A10" s="314" t="s">
        <v>124</v>
      </c>
      <c r="B10" s="62">
        <f>'Customer Info'!B9</f>
        <v>1</v>
      </c>
      <c r="C10" s="63" t="str">
        <f>LOOKUP(B10,R10:AD10,R11:AD11)</f>
        <v>January</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5">
      <c r="A11" s="466"/>
      <c r="B11" s="466"/>
      <c r="C11" s="466"/>
      <c r="D11" s="466"/>
      <c r="E11" s="466"/>
      <c r="F11" s="466"/>
      <c r="G11" s="466"/>
      <c r="H11" s="466"/>
      <c r="I11" s="466"/>
      <c r="R11" s="48" t="s">
        <v>57</v>
      </c>
      <c r="S11" s="318" t="s">
        <v>58</v>
      </c>
      <c r="T11" s="318" t="s">
        <v>59</v>
      </c>
      <c r="U11" s="318" t="s">
        <v>60</v>
      </c>
      <c r="V11" s="318" t="s">
        <v>61</v>
      </c>
      <c r="W11" s="318" t="s">
        <v>62</v>
      </c>
      <c r="X11" s="318" t="s">
        <v>63</v>
      </c>
      <c r="Y11" s="318" t="s">
        <v>64</v>
      </c>
      <c r="Z11" s="318" t="s">
        <v>65</v>
      </c>
      <c r="AA11" s="318" t="s">
        <v>66</v>
      </c>
      <c r="AB11" s="318" t="s">
        <v>67</v>
      </c>
      <c r="AC11" s="318" t="s">
        <v>68</v>
      </c>
      <c r="AD11" s="318" t="s">
        <v>69</v>
      </c>
    </row>
    <row r="12" spans="1:256" x14ac:dyDescent="0.25">
      <c r="A12" s="319" t="s">
        <v>70</v>
      </c>
      <c r="B12" s="320"/>
      <c r="C12" s="320"/>
      <c r="D12" s="320"/>
      <c r="E12" s="320"/>
      <c r="F12" s="320"/>
      <c r="G12" s="320"/>
      <c r="H12" s="320"/>
      <c r="I12" s="320"/>
      <c r="J12" s="320"/>
      <c r="K12" s="320"/>
      <c r="L12" s="320"/>
      <c r="M12" s="320"/>
      <c r="N12" s="320"/>
      <c r="O12" s="320"/>
      <c r="P12" s="320"/>
      <c r="R12" s="48" t="s">
        <v>145</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5">
      <c r="C13" s="318" t="s">
        <v>184</v>
      </c>
      <c r="D13" s="318" t="s">
        <v>185</v>
      </c>
    </row>
    <row r="14" spans="1:256" x14ac:dyDescent="0.25">
      <c r="A14" s="322" t="s">
        <v>186</v>
      </c>
      <c r="B14" s="322"/>
      <c r="C14" s="206">
        <f>'Customer Info'!B19</f>
        <v>0</v>
      </c>
      <c r="D14" s="206">
        <f>ROUND(C14*C20,1)</f>
        <v>0</v>
      </c>
      <c r="E14" s="322" t="s">
        <v>13</v>
      </c>
      <c r="F14" s="323"/>
      <c r="G14" s="322" t="s">
        <v>2</v>
      </c>
      <c r="I14" s="207" t="s">
        <v>2</v>
      </c>
      <c r="J14" s="322"/>
      <c r="K14" s="322"/>
      <c r="L14" s="322"/>
      <c r="M14" s="322"/>
      <c r="N14" s="322"/>
    </row>
    <row r="15" spans="1:256" x14ac:dyDescent="0.25">
      <c r="A15" s="322" t="s">
        <v>187</v>
      </c>
      <c r="B15" s="322"/>
      <c r="C15" s="206">
        <f>'Customer Info'!B20</f>
        <v>0</v>
      </c>
      <c r="D15" s="206">
        <f>C15*C20</f>
        <v>0</v>
      </c>
      <c r="E15" s="322" t="s">
        <v>13</v>
      </c>
      <c r="F15" s="323"/>
      <c r="G15" s="322" t="s">
        <v>188</v>
      </c>
      <c r="I15" s="324" t="str">
        <f>IF(MAX(C14,C15)&gt;0,C16/(MAX(C14,C15)*730), " ")</f>
        <v xml:space="preserve"> </v>
      </c>
      <c r="J15" s="322"/>
      <c r="K15" s="322"/>
      <c r="L15" s="322"/>
      <c r="M15" s="322"/>
      <c r="N15" s="322"/>
      <c r="X15" s="321"/>
      <c r="Y15" s="321"/>
      <c r="Z15" s="321"/>
      <c r="AA15" s="321"/>
    </row>
    <row r="16" spans="1:256" x14ac:dyDescent="0.25">
      <c r="A16" s="322" t="s">
        <v>137</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5">
      <c r="A17" s="322" t="s">
        <v>206</v>
      </c>
      <c r="B17" s="322"/>
      <c r="C17" s="159">
        <f>'Customer Info'!$B$28</f>
        <v>0</v>
      </c>
      <c r="D17" s="159">
        <f>$C$17*$C$20</f>
        <v>0</v>
      </c>
      <c r="E17" s="322" t="s">
        <v>207</v>
      </c>
      <c r="F17" s="323"/>
      <c r="K17" s="322"/>
      <c r="L17" s="322"/>
      <c r="M17" s="322"/>
      <c r="N17" s="322"/>
    </row>
    <row r="18" spans="1:30" x14ac:dyDescent="0.25">
      <c r="A18" s="322" t="s">
        <v>208</v>
      </c>
      <c r="B18" s="322"/>
      <c r="C18" s="325">
        <f>IF('Customer Info'!$B$19=0,0,ROUND(MAX(ROUND('Customer Info'!$B$19*'GS PRI'!C20,1),ROUND('Customer Info'!$B$20*'GS PRI'!C20,1))/'Customer Info'!$D$30,1))</f>
        <v>0</v>
      </c>
      <c r="D18" s="206">
        <f>$C$18</f>
        <v>0</v>
      </c>
      <c r="E18" s="322" t="s">
        <v>209</v>
      </c>
      <c r="F18" s="323"/>
      <c r="K18" s="322"/>
      <c r="L18" s="322"/>
      <c r="M18" s="322"/>
      <c r="N18" s="322"/>
    </row>
    <row r="19" spans="1:30" x14ac:dyDescent="0.25">
      <c r="A19" s="322" t="s">
        <v>210</v>
      </c>
      <c r="B19" s="322"/>
      <c r="C19" s="159"/>
      <c r="D19" s="325">
        <f>MAX(100,ROUND(1.15*(MAX('Customer Info'!$B$19*'GS PRI'!C20,'Customer Info'!$B$20*'GS PRI'!C20)),1))</f>
        <v>100</v>
      </c>
      <c r="E19" s="322" t="s">
        <v>209</v>
      </c>
      <c r="F19" s="323"/>
      <c r="K19" s="322"/>
      <c r="L19" s="322"/>
      <c r="M19" s="322"/>
      <c r="N19" s="322"/>
    </row>
    <row r="20" spans="1:30" x14ac:dyDescent="0.25">
      <c r="A20" s="322" t="s">
        <v>189</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5">
      <c r="A21" s="322" t="s">
        <v>2</v>
      </c>
      <c r="B21" s="322"/>
      <c r="C21" s="210" t="s">
        <v>2</v>
      </c>
      <c r="D21" s="467" t="s">
        <v>2</v>
      </c>
      <c r="E21" s="467"/>
      <c r="F21" s="467"/>
      <c r="G21" s="467"/>
      <c r="H21" s="467"/>
      <c r="K21" s="322"/>
      <c r="L21" s="322"/>
      <c r="M21" s="322"/>
      <c r="N21" s="322"/>
      <c r="O21" s="188"/>
    </row>
    <row r="22" spans="1:30" x14ac:dyDescent="0.25">
      <c r="A22" s="322" t="s">
        <v>2</v>
      </c>
      <c r="B22" s="322"/>
      <c r="C22" s="210" t="s">
        <v>2</v>
      </c>
      <c r="D22" s="467" t="s">
        <v>2</v>
      </c>
      <c r="E22" s="467"/>
      <c r="F22" s="467"/>
      <c r="G22" s="467"/>
      <c r="H22" s="467"/>
      <c r="I22" s="314"/>
      <c r="J22" s="314"/>
      <c r="K22" s="322"/>
      <c r="L22" s="322"/>
      <c r="M22" s="322"/>
      <c r="N22" s="322"/>
      <c r="O22" s="188"/>
    </row>
    <row r="23" spans="1:30" x14ac:dyDescent="0.25">
      <c r="A23" s="322"/>
      <c r="B23" s="322"/>
      <c r="C23" s="323"/>
      <c r="D23" s="323"/>
      <c r="E23" s="323"/>
      <c r="F23" s="323"/>
      <c r="G23" s="314"/>
      <c r="H23" s="314"/>
      <c r="I23" s="314"/>
      <c r="J23" s="314"/>
      <c r="K23" s="322"/>
      <c r="L23" s="322"/>
      <c r="M23" s="322"/>
      <c r="N23" s="322"/>
      <c r="O23" s="322"/>
    </row>
    <row r="24" spans="1:30" x14ac:dyDescent="0.25">
      <c r="A24" s="319" t="s">
        <v>72</v>
      </c>
      <c r="B24" s="320"/>
      <c r="C24" s="320"/>
      <c r="D24" s="320"/>
      <c r="E24" s="320"/>
      <c r="F24" s="320"/>
      <c r="G24" s="468" t="s">
        <v>73</v>
      </c>
      <c r="H24" s="469"/>
      <c r="I24" s="469"/>
      <c r="J24" s="470"/>
      <c r="K24" s="320"/>
      <c r="L24" s="471" t="s">
        <v>74</v>
      </c>
      <c r="M24" s="471"/>
      <c r="N24" s="471"/>
      <c r="O24" s="471"/>
    </row>
    <row r="25" spans="1:30" x14ac:dyDescent="0.25">
      <c r="G25" s="326" t="s">
        <v>75</v>
      </c>
      <c r="H25" s="326" t="s">
        <v>76</v>
      </c>
      <c r="I25" s="326" t="s">
        <v>77</v>
      </c>
      <c r="J25" s="327" t="s">
        <v>78</v>
      </c>
      <c r="L25" s="328" t="s">
        <v>75</v>
      </c>
      <c r="M25" s="328" t="s">
        <v>76</v>
      </c>
      <c r="N25" s="328" t="s">
        <v>77</v>
      </c>
      <c r="O25" s="328" t="s">
        <v>78</v>
      </c>
      <c r="P25" s="329" t="s">
        <v>79</v>
      </c>
    </row>
    <row r="26" spans="1:30" x14ac:dyDescent="0.25">
      <c r="A26" s="48" t="s">
        <v>80</v>
      </c>
      <c r="G26" s="189"/>
      <c r="H26" s="189"/>
      <c r="I26" s="189">
        <v>9.4</v>
      </c>
      <c r="J26" s="189">
        <f>SUM(G26:I26)</f>
        <v>9.4</v>
      </c>
      <c r="L26" s="330"/>
      <c r="M26" s="330"/>
      <c r="N26" s="330">
        <f>I26</f>
        <v>9.4</v>
      </c>
      <c r="O26" s="128">
        <f>SUM(L26:N26)</f>
        <v>9.4</v>
      </c>
      <c r="P26" s="331">
        <v>44531</v>
      </c>
    </row>
    <row r="27" spans="1:30" x14ac:dyDescent="0.25">
      <c r="A27" s="48" t="s">
        <v>168</v>
      </c>
      <c r="D27" s="332">
        <f>D16</f>
        <v>0</v>
      </c>
      <c r="E27" s="333" t="s">
        <v>19</v>
      </c>
      <c r="F27" s="334" t="s">
        <v>82</v>
      </c>
      <c r="G27" s="191"/>
      <c r="H27" s="189"/>
      <c r="I27" s="189"/>
      <c r="J27" s="191"/>
      <c r="K27" s="335" t="s">
        <v>87</v>
      </c>
      <c r="L27" s="189"/>
      <c r="M27" s="330"/>
      <c r="N27" s="189"/>
      <c r="O27" s="128"/>
      <c r="P27" s="331"/>
    </row>
    <row r="28" spans="1:30" x14ac:dyDescent="0.25">
      <c r="A28" s="48" t="s">
        <v>211</v>
      </c>
      <c r="D28" s="336">
        <f>ROUND(MAX(D14,D15,('Customer Info'!B15-100)*0.6,('Customer Info'!B17-100)*0.6),1)</f>
        <v>0</v>
      </c>
      <c r="E28" s="322" t="s">
        <v>13</v>
      </c>
      <c r="F28" s="329" t="s">
        <v>82</v>
      </c>
      <c r="G28" s="337"/>
      <c r="H28" s="337"/>
      <c r="I28" s="337">
        <v>7.01</v>
      </c>
      <c r="J28" s="337">
        <f>SUM(G28:I28)</f>
        <v>7.01</v>
      </c>
      <c r="K28" s="46" t="s">
        <v>165</v>
      </c>
      <c r="L28" s="189"/>
      <c r="M28" s="189"/>
      <c r="N28" s="189">
        <f>ROUND($D28*I28,2)</f>
        <v>0</v>
      </c>
      <c r="O28" s="128">
        <f>SUM(L28:N28)</f>
        <v>0</v>
      </c>
      <c r="P28" s="331">
        <v>44531</v>
      </c>
    </row>
    <row r="29" spans="1:30" x14ac:dyDescent="0.25">
      <c r="A29" s="48" t="s">
        <v>212</v>
      </c>
      <c r="D29" s="336">
        <f>IF(D18&lt;=100,0,ROUND(IF(D18-D19&gt;0,D18-D19),1))</f>
        <v>0</v>
      </c>
      <c r="E29" s="322" t="s">
        <v>213</v>
      </c>
      <c r="F29" s="329" t="s">
        <v>82</v>
      </c>
      <c r="G29" s="338"/>
      <c r="H29" s="337"/>
      <c r="I29" s="337">
        <v>1.25</v>
      </c>
      <c r="J29" s="338">
        <f>SUM(G29:I29)</f>
        <v>1.25</v>
      </c>
      <c r="K29" s="46" t="s">
        <v>165</v>
      </c>
      <c r="L29" s="189"/>
      <c r="M29" s="189"/>
      <c r="N29" s="189">
        <f>ROUND($D29*I29,2)</f>
        <v>0</v>
      </c>
      <c r="O29" s="189">
        <f>SUM(L29:N29)</f>
        <v>0</v>
      </c>
      <c r="P29" s="331">
        <v>44531</v>
      </c>
    </row>
    <row r="30" spans="1:30" x14ac:dyDescent="0.25">
      <c r="A30" s="339" t="s">
        <v>84</v>
      </c>
      <c r="B30" s="339"/>
      <c r="C30" s="339"/>
      <c r="D30" s="340"/>
      <c r="E30" s="340"/>
      <c r="F30" s="339"/>
      <c r="G30" s="339"/>
      <c r="H30" s="339"/>
      <c r="I30" s="339"/>
      <c r="J30" s="339"/>
      <c r="K30" s="341"/>
      <c r="L30" s="171"/>
      <c r="M30" s="171"/>
      <c r="N30" s="171">
        <f>SUM(N26:N29)</f>
        <v>9.4</v>
      </c>
      <c r="O30" s="171">
        <f>SUM(O26:O29)</f>
        <v>9.4</v>
      </c>
    </row>
    <row r="31" spans="1:30" x14ac:dyDescent="0.25">
      <c r="A31" s="342"/>
      <c r="B31" s="342"/>
      <c r="C31" s="343"/>
      <c r="D31" s="343"/>
      <c r="E31" s="343"/>
      <c r="F31" s="343"/>
      <c r="G31" s="344"/>
      <c r="H31" s="344"/>
      <c r="I31" s="344"/>
      <c r="J31" s="344"/>
      <c r="K31" s="342"/>
      <c r="L31" s="342"/>
      <c r="M31" s="342"/>
      <c r="N31" s="342"/>
      <c r="O31" s="342"/>
      <c r="P31" s="342"/>
    </row>
    <row r="32" spans="1:30" x14ac:dyDescent="0.25">
      <c r="A32" s="345" t="s">
        <v>85</v>
      </c>
      <c r="D32" s="332"/>
      <c r="E32" s="332"/>
      <c r="K32" s="46"/>
      <c r="L32" s="46"/>
      <c r="M32" s="46"/>
      <c r="N32" s="46"/>
      <c r="O32" s="213"/>
      <c r="P32" s="213"/>
    </row>
    <row r="33" spans="1:220" x14ac:dyDescent="0.25">
      <c r="A33" s="339"/>
      <c r="D33" s="332"/>
      <c r="E33" s="332"/>
      <c r="K33" s="46"/>
      <c r="L33" s="46"/>
      <c r="M33" s="46"/>
      <c r="N33" s="46"/>
      <c r="O33" s="213"/>
    </row>
    <row r="34" spans="1:220" x14ac:dyDescent="0.25">
      <c r="A34" s="313" t="s">
        <v>86</v>
      </c>
      <c r="D34" s="4">
        <f>IF($C$16&lt;0,0,IF($C$16&gt;833000,833000,$C$16))</f>
        <v>0</v>
      </c>
      <c r="E34" s="346" t="s">
        <v>19</v>
      </c>
      <c r="F34" s="329" t="s">
        <v>82</v>
      </c>
      <c r="G34" s="167"/>
      <c r="H34" s="191"/>
      <c r="I34" s="100">
        <f>'Rider Rates'!$B$4</f>
        <v>4.6278999999999999E-3</v>
      </c>
      <c r="J34" s="214">
        <f>SUM(G34:I34)</f>
        <v>4.6278999999999999E-3</v>
      </c>
      <c r="K34" s="46" t="s">
        <v>87</v>
      </c>
      <c r="L34" s="189"/>
      <c r="M34" s="189"/>
      <c r="N34" s="189">
        <f>ROUND($D34*I34,2)</f>
        <v>0</v>
      </c>
      <c r="O34" s="189">
        <f t="shared" ref="O34:O50" si="0">SUM(L34:N34)</f>
        <v>0</v>
      </c>
      <c r="P34" s="92">
        <f>'Rider Rates'!$D$4</f>
        <v>45657</v>
      </c>
    </row>
    <row r="35" spans="1:220" x14ac:dyDescent="0.25">
      <c r="A35" s="313" t="s">
        <v>88</v>
      </c>
      <c r="D35" s="4">
        <f>IF($C$16-833000&gt;0,$C$16-D34,0)</f>
        <v>0</v>
      </c>
      <c r="E35" s="346" t="s">
        <v>19</v>
      </c>
      <c r="F35" s="329" t="s">
        <v>82</v>
      </c>
      <c r="G35" s="167"/>
      <c r="H35" s="191"/>
      <c r="I35" s="100">
        <f>'Rider Rates'!$B$5</f>
        <v>1.7560000000000001E-4</v>
      </c>
      <c r="J35" s="215">
        <f>SUM(G35:I35)</f>
        <v>1.7560000000000001E-4</v>
      </c>
      <c r="K35" s="46" t="s">
        <v>87</v>
      </c>
      <c r="L35" s="189"/>
      <c r="M35" s="189"/>
      <c r="N35" s="189">
        <f>ROUND($D35*I35,2)</f>
        <v>0</v>
      </c>
      <c r="O35" s="189">
        <f t="shared" si="0"/>
        <v>0</v>
      </c>
      <c r="P35" s="92">
        <f>'Rider Rates'!$D$4</f>
        <v>45657</v>
      </c>
    </row>
    <row r="36" spans="1:220" x14ac:dyDescent="0.25">
      <c r="A36" s="313" t="s">
        <v>190</v>
      </c>
      <c r="B36" s="48" t="s">
        <v>2</v>
      </c>
      <c r="D36" s="4">
        <f>IF('Customer Info'!$C$33=TRUE,0,IF(C16&lt;0,0,IF(C16&gt;2000,2000,C16)))</f>
        <v>0</v>
      </c>
      <c r="E36" s="346" t="s">
        <v>19</v>
      </c>
      <c r="F36" s="329" t="s">
        <v>82</v>
      </c>
      <c r="G36" s="167"/>
      <c r="H36" s="191"/>
      <c r="I36" s="112">
        <f>'Rider Rates'!$B$8</f>
        <v>4.6499999999999996E-3</v>
      </c>
      <c r="J36" s="216">
        <f>SUM(G36:I36)</f>
        <v>4.6499999999999996E-3</v>
      </c>
      <c r="K36" s="46" t="s">
        <v>87</v>
      </c>
      <c r="L36" s="189"/>
      <c r="M36" s="189"/>
      <c r="N36" s="189">
        <f>ROUND($D36*I36,2)</f>
        <v>0</v>
      </c>
      <c r="O36" s="189">
        <f t="shared" si="0"/>
        <v>0</v>
      </c>
      <c r="P36" s="92">
        <f>'Rider Rates'!$D$7</f>
        <v>44531</v>
      </c>
    </row>
    <row r="37" spans="1:220" x14ac:dyDescent="0.25">
      <c r="A37" s="313" t="s">
        <v>191</v>
      </c>
      <c r="B37" s="48" t="s">
        <v>2</v>
      </c>
      <c r="D37" s="4">
        <f>IF('Customer Info'!$C$33=TRUE,0,IF(C16&gt;15000,13000,IF(C16&gt;2000,C16-2000,0)))</f>
        <v>0</v>
      </c>
      <c r="E37" s="346" t="s">
        <v>19</v>
      </c>
      <c r="F37" s="329" t="s">
        <v>82</v>
      </c>
      <c r="G37" s="167"/>
      <c r="H37" s="191"/>
      <c r="I37" s="112">
        <f>'Rider Rates'!$B$9</f>
        <v>4.1900000000000001E-3</v>
      </c>
      <c r="J37" s="216">
        <f>SUM(G37:I37)</f>
        <v>4.1900000000000001E-3</v>
      </c>
      <c r="K37" s="46" t="s">
        <v>87</v>
      </c>
      <c r="L37" s="189"/>
      <c r="M37" s="189"/>
      <c r="N37" s="189">
        <f>ROUND($D37*I37,2)</f>
        <v>0</v>
      </c>
      <c r="O37" s="189">
        <f t="shared" si="0"/>
        <v>0</v>
      </c>
      <c r="P37" s="92">
        <f>'Rider Rates'!$D$7</f>
        <v>44531</v>
      </c>
    </row>
    <row r="38" spans="1:220" x14ac:dyDescent="0.25">
      <c r="A38" s="313" t="s">
        <v>192</v>
      </c>
      <c r="B38" s="48" t="s">
        <v>2</v>
      </c>
      <c r="D38" s="4">
        <f>IF('Customer Info'!$C$33=TRUE,0,IF(C16-D36-D37&gt;0,C16-D36-D37,0))</f>
        <v>0</v>
      </c>
      <c r="E38" s="346" t="s">
        <v>19</v>
      </c>
      <c r="F38" s="329" t="s">
        <v>82</v>
      </c>
      <c r="G38" s="167"/>
      <c r="H38" s="191"/>
      <c r="I38" s="112">
        <f>'Rider Rates'!$B$10</f>
        <v>3.63E-3</v>
      </c>
      <c r="J38" s="216">
        <f>SUM(G38:I38)</f>
        <v>3.63E-3</v>
      </c>
      <c r="K38" s="46" t="s">
        <v>87</v>
      </c>
      <c r="L38" s="189"/>
      <c r="M38" s="189"/>
      <c r="N38" s="189">
        <f>ROUND($D38*I38,2)</f>
        <v>0</v>
      </c>
      <c r="O38" s="189">
        <f t="shared" si="0"/>
        <v>0</v>
      </c>
      <c r="P38" s="92">
        <f>'Rider Rates'!$D$7</f>
        <v>44531</v>
      </c>
    </row>
    <row r="39" spans="1:220" x14ac:dyDescent="0.25">
      <c r="A39" s="313" t="s">
        <v>93</v>
      </c>
      <c r="B39" s="313"/>
      <c r="C39" s="313"/>
      <c r="D39" s="217">
        <f>$N$30</f>
        <v>9.4</v>
      </c>
      <c r="E39" s="333" t="s">
        <v>94</v>
      </c>
      <c r="F39" s="334" t="s">
        <v>82</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5">
      <c r="A40" s="313" t="s">
        <v>95</v>
      </c>
      <c r="B40" s="313"/>
      <c r="C40" s="313"/>
      <c r="D40" s="111">
        <f>'Customer Info'!$B$22+'Customer Info'!$B$23-'Customer Info'!$B$24</f>
        <v>0</v>
      </c>
      <c r="E40" s="333" t="s">
        <v>19</v>
      </c>
      <c r="F40" s="334" t="s">
        <v>82</v>
      </c>
      <c r="G40" s="100">
        <f>'Rider Rates'!B23</f>
        <v>7.0209999999999995E-2</v>
      </c>
      <c r="H40" s="100"/>
      <c r="I40" s="100"/>
      <c r="J40" s="348">
        <f>SUM(G40:H40)</f>
        <v>7.0209999999999995E-2</v>
      </c>
      <c r="K40" s="335" t="s">
        <v>87</v>
      </c>
      <c r="L40" s="89">
        <f>ROUND(D40*G40,2)</f>
        <v>0</v>
      </c>
      <c r="M40" s="89"/>
      <c r="N40" s="89"/>
      <c r="O40" s="89">
        <f t="shared" si="0"/>
        <v>0</v>
      </c>
      <c r="P40" s="92">
        <f>'Rider Rates'!$D$23</f>
        <v>45444</v>
      </c>
    </row>
    <row r="41" spans="1:220" x14ac:dyDescent="0.25">
      <c r="A41" s="313" t="s">
        <v>96</v>
      </c>
      <c r="B41" s="313"/>
      <c r="C41" s="313"/>
      <c r="D41" s="111">
        <f>'Customer Info'!$B$22+'Customer Info'!$B$23-'Customer Info'!$B$24</f>
        <v>0</v>
      </c>
      <c r="E41" s="333" t="s">
        <v>19</v>
      </c>
      <c r="F41" s="334" t="s">
        <v>82</v>
      </c>
      <c r="G41" s="100">
        <f>'Rider Rates'!B37</f>
        <v>2.65E-3</v>
      </c>
      <c r="H41" s="100"/>
      <c r="I41" s="100"/>
      <c r="J41" s="348">
        <f>SUM(G41:H41)</f>
        <v>2.65E-3</v>
      </c>
      <c r="K41" s="335" t="s">
        <v>87</v>
      </c>
      <c r="L41" s="89">
        <f>ROUND(D41*G41,2)</f>
        <v>0</v>
      </c>
      <c r="M41" s="89"/>
      <c r="N41" s="89"/>
      <c r="O41" s="89">
        <f t="shared" si="0"/>
        <v>0</v>
      </c>
      <c r="P41" s="92">
        <f>'Rider Rates'!$D$42</f>
        <v>45444</v>
      </c>
    </row>
    <row r="42" spans="1:220" x14ac:dyDescent="0.25">
      <c r="A42" s="313" t="s">
        <v>97</v>
      </c>
      <c r="B42" s="313"/>
      <c r="C42" s="313"/>
      <c r="D42" s="111">
        <f>'Customer Info'!$B$22+'Customer Info'!$B$23-'Customer Info'!$B$24</f>
        <v>0</v>
      </c>
      <c r="E42" s="333" t="s">
        <v>19</v>
      </c>
      <c r="F42" s="334" t="s">
        <v>82</v>
      </c>
      <c r="G42" s="100">
        <f>'Rider Rates'!$B$49</f>
        <v>4.5009999999999999E-4</v>
      </c>
      <c r="H42" s="100"/>
      <c r="I42" s="100"/>
      <c r="J42" s="348">
        <f>SUM(G42:H42)</f>
        <v>4.5009999999999999E-4</v>
      </c>
      <c r="K42" s="335" t="s">
        <v>87</v>
      </c>
      <c r="L42" s="89">
        <f>ROUND(D42*G42,2)</f>
        <v>0</v>
      </c>
      <c r="M42" s="89"/>
      <c r="N42" s="89"/>
      <c r="O42" s="89">
        <f t="shared" si="0"/>
        <v>0</v>
      </c>
      <c r="P42" s="92">
        <f>'Rider Rates'!$D$49</f>
        <v>45657</v>
      </c>
    </row>
    <row r="43" spans="1:220" x14ac:dyDescent="0.25">
      <c r="A43" s="313" t="s">
        <v>98</v>
      </c>
      <c r="B43" s="313"/>
      <c r="C43" s="313"/>
      <c r="D43" s="4">
        <f>IF($C$16&lt;0,0,IF($C$16&gt;833000,833000,$C$16))</f>
        <v>0</v>
      </c>
      <c r="E43" s="333" t="s">
        <v>19</v>
      </c>
      <c r="F43" s="334" t="s">
        <v>82</v>
      </c>
      <c r="G43" s="100"/>
      <c r="H43" s="100"/>
      <c r="I43" s="100">
        <f>'Rider Rates'!D53</f>
        <v>1.8006999999999999E-3</v>
      </c>
      <c r="J43" s="100">
        <f>SUM(G43:I43)</f>
        <v>1.8006999999999999E-3</v>
      </c>
      <c r="K43" s="335" t="s">
        <v>87</v>
      </c>
      <c r="L43" s="89"/>
      <c r="M43" s="89"/>
      <c r="N43" s="189">
        <f>D43*J43</f>
        <v>0</v>
      </c>
      <c r="O43" s="89">
        <f t="shared" si="0"/>
        <v>0</v>
      </c>
      <c r="P43" s="92">
        <f>'Rider Rates'!E53</f>
        <v>45658</v>
      </c>
    </row>
    <row r="44" spans="1:220" x14ac:dyDescent="0.25">
      <c r="A44" s="313" t="s">
        <v>99</v>
      </c>
      <c r="B44" s="313"/>
      <c r="C44" s="313"/>
      <c r="D44" s="4">
        <f>IF($C$16&lt;0,0,$C$16)</f>
        <v>0</v>
      </c>
      <c r="E44" s="333" t="s">
        <v>19</v>
      </c>
      <c r="F44" s="334" t="s">
        <v>82</v>
      </c>
      <c r="G44" s="100"/>
      <c r="H44" s="100">
        <f>'Rider Rates'!$B$61</f>
        <v>6.0079999999999997E-4</v>
      </c>
      <c r="I44" s="100"/>
      <c r="J44" s="100">
        <f>SUM(G44:I44)</f>
        <v>6.0079999999999997E-4</v>
      </c>
      <c r="K44" s="335" t="s">
        <v>87</v>
      </c>
      <c r="L44" s="89"/>
      <c r="M44" s="89">
        <f>ROUND(D44*H44,2)</f>
        <v>0</v>
      </c>
      <c r="N44" s="116"/>
      <c r="O44" s="89">
        <f t="shared" si="0"/>
        <v>0</v>
      </c>
      <c r="P44" s="92">
        <f>'Rider Rates'!$D$61</f>
        <v>45383</v>
      </c>
    </row>
    <row r="45" spans="1:220" x14ac:dyDescent="0.25">
      <c r="A45" s="313" t="s">
        <v>99</v>
      </c>
      <c r="B45" s="313"/>
      <c r="C45" s="313"/>
      <c r="D45" s="349">
        <f>D14</f>
        <v>0</v>
      </c>
      <c r="E45" s="346" t="s">
        <v>214</v>
      </c>
      <c r="F45" s="329" t="s">
        <v>82</v>
      </c>
      <c r="G45" s="100"/>
      <c r="H45" s="90">
        <f>'Rider Rates'!$B$66</f>
        <v>6.73</v>
      </c>
      <c r="I45" s="100"/>
      <c r="J45" s="90">
        <f>SUM(G45:I45)</f>
        <v>6.73</v>
      </c>
      <c r="K45" s="335" t="s">
        <v>165</v>
      </c>
      <c r="L45" s="89"/>
      <c r="M45" s="89">
        <f>ROUND(D45*H45,2)</f>
        <v>0</v>
      </c>
      <c r="N45" s="116"/>
      <c r="O45" s="89">
        <f t="shared" si="0"/>
        <v>0</v>
      </c>
      <c r="P45" s="92">
        <f>'Rider Rates'!$D$66</f>
        <v>45383</v>
      </c>
    </row>
    <row r="46" spans="1:220" x14ac:dyDescent="0.25">
      <c r="A46" s="313" t="s">
        <v>193</v>
      </c>
      <c r="B46" s="313"/>
      <c r="C46" s="313"/>
      <c r="D46" s="4">
        <f>IF('Customer Info'!C35=TRUE,0,IF($C$16&lt;0,0,$C$16))</f>
        <v>0</v>
      </c>
      <c r="E46" s="333" t="s">
        <v>19</v>
      </c>
      <c r="F46" s="334" t="s">
        <v>82</v>
      </c>
      <c r="G46" s="100"/>
      <c r="H46" s="100"/>
      <c r="I46" s="100">
        <f>'Rider Rates'!$B$75+'Rider Rates'!$C$75</f>
        <v>0</v>
      </c>
      <c r="J46" s="100">
        <f>SUM(G46:I46)</f>
        <v>0</v>
      </c>
      <c r="K46" s="335" t="s">
        <v>87</v>
      </c>
      <c r="L46" s="89"/>
      <c r="M46" s="89"/>
      <c r="N46" s="189">
        <v>0</v>
      </c>
      <c r="O46" s="128">
        <f t="shared" si="0"/>
        <v>0</v>
      </c>
      <c r="P46" s="92">
        <f>'Rider Rates'!$D$75</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5">
      <c r="A47" s="313" t="s">
        <v>193</v>
      </c>
      <c r="B47" s="313"/>
      <c r="C47" s="313"/>
      <c r="D47" s="349">
        <f>IF('Customer Info'!C35=TRUE,0,$D$28)</f>
        <v>0</v>
      </c>
      <c r="E47" s="333" t="s">
        <v>13</v>
      </c>
      <c r="F47" s="334" t="s">
        <v>82</v>
      </c>
      <c r="G47" s="100"/>
      <c r="H47" s="100"/>
      <c r="I47" s="90">
        <f>'Rider Rates'!$B$85</f>
        <v>0</v>
      </c>
      <c r="J47" s="90">
        <f>SUM(G47:I47)</f>
        <v>0</v>
      </c>
      <c r="K47" s="335" t="s">
        <v>87</v>
      </c>
      <c r="L47" s="89"/>
      <c r="M47" s="89"/>
      <c r="N47" s="189">
        <f>ROUND($D47*I47,2)</f>
        <v>0</v>
      </c>
      <c r="O47" s="128">
        <f t="shared" si="0"/>
        <v>0</v>
      </c>
      <c r="P47" s="92">
        <f>'Rider Rates'!$D$85</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5">
      <c r="A48" s="313" t="s">
        <v>102</v>
      </c>
      <c r="B48" s="313"/>
      <c r="C48" s="313"/>
      <c r="D48" s="217">
        <f>$N$30</f>
        <v>9.4</v>
      </c>
      <c r="E48" s="333" t="s">
        <v>94</v>
      </c>
      <c r="F48" s="334" t="s">
        <v>82</v>
      </c>
      <c r="G48" s="117"/>
      <c r="H48" s="118"/>
      <c r="I48" s="119">
        <f>'Rider Rates'!$B$89</f>
        <v>4.94232E-2</v>
      </c>
      <c r="J48" s="347">
        <f>SUM(H48:I48)</f>
        <v>4.94232E-2</v>
      </c>
      <c r="K48" s="335"/>
      <c r="L48" s="89"/>
      <c r="M48" s="89"/>
      <c r="N48" s="89">
        <f>ROUND(N$30*I48,2)</f>
        <v>0.46</v>
      </c>
      <c r="O48" s="128">
        <f t="shared" si="0"/>
        <v>0.46</v>
      </c>
      <c r="P48" s="92">
        <f>'Rider Rates'!$D$89</f>
        <v>45562</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5">
      <c r="A49" s="313" t="s">
        <v>103</v>
      </c>
      <c r="B49" s="313"/>
      <c r="C49" s="313"/>
      <c r="D49" s="217">
        <f>$N$30</f>
        <v>9.4</v>
      </c>
      <c r="E49" s="333" t="s">
        <v>94</v>
      </c>
      <c r="F49" s="334" t="s">
        <v>82</v>
      </c>
      <c r="G49" s="120"/>
      <c r="H49" s="85"/>
      <c r="I49" s="119">
        <f>'Rider Rates'!$B$91</f>
        <v>6.6985699999999995E-2</v>
      </c>
      <c r="J49" s="347">
        <f>SUM(H49:I49)</f>
        <v>6.6985699999999995E-2</v>
      </c>
      <c r="K49" s="335"/>
      <c r="L49" s="89"/>
      <c r="M49" s="89"/>
      <c r="N49" s="89">
        <f>ROUND(N$30*I49,2)</f>
        <v>0.63</v>
      </c>
      <c r="O49" s="128">
        <f t="shared" si="0"/>
        <v>0.63</v>
      </c>
      <c r="P49" s="92">
        <f>'Rider Rates'!$D$91</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5">
      <c r="A50" s="313" t="s">
        <v>104</v>
      </c>
      <c r="B50" s="313"/>
      <c r="C50" s="313"/>
      <c r="D50" s="113"/>
      <c r="E50" s="333" t="s">
        <v>57</v>
      </c>
      <c r="F50" s="334"/>
      <c r="G50" s="120"/>
      <c r="H50" s="85"/>
      <c r="I50" s="121">
        <f>'Rider Rates'!$B$95</f>
        <v>17.53</v>
      </c>
      <c r="J50" s="350">
        <f>SUM(G50:I50)</f>
        <v>17.53</v>
      </c>
      <c r="K50" s="335"/>
      <c r="L50" s="89"/>
      <c r="M50" s="89"/>
      <c r="N50" s="89">
        <f>I50</f>
        <v>17.53</v>
      </c>
      <c r="O50" s="89">
        <f t="shared" si="0"/>
        <v>17.53</v>
      </c>
      <c r="P50" s="92">
        <f>'Rider Rates'!$D$95</f>
        <v>45657</v>
      </c>
    </row>
    <row r="51" spans="1:221" x14ac:dyDescent="0.25">
      <c r="A51" s="313" t="s">
        <v>178</v>
      </c>
      <c r="B51" s="313"/>
      <c r="C51" s="313"/>
      <c r="D51" s="4">
        <f>$D$34</f>
        <v>0</v>
      </c>
      <c r="E51" s="333" t="s">
        <v>19</v>
      </c>
      <c r="F51" s="334" t="s">
        <v>82</v>
      </c>
      <c r="G51" s="100"/>
      <c r="H51" s="100"/>
      <c r="I51" s="100"/>
      <c r="J51" s="100">
        <v>0</v>
      </c>
      <c r="K51" s="335" t="s">
        <v>87</v>
      </c>
      <c r="L51" s="89"/>
      <c r="M51" s="89"/>
      <c r="N51" s="189"/>
      <c r="O51" s="89">
        <v>0</v>
      </c>
      <c r="P51" s="92">
        <f>'Rider Rates'!$D$100</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5">
      <c r="A52" s="313" t="s">
        <v>179</v>
      </c>
      <c r="B52" s="313"/>
      <c r="C52" s="313"/>
      <c r="D52" s="4">
        <f>$D$35</f>
        <v>0</v>
      </c>
      <c r="E52" s="333" t="s">
        <v>19</v>
      </c>
      <c r="F52" s="334" t="s">
        <v>82</v>
      </c>
      <c r="G52" s="100"/>
      <c r="H52" s="100"/>
      <c r="I52" s="100"/>
      <c r="J52" s="100">
        <v>0</v>
      </c>
      <c r="K52" s="335" t="s">
        <v>87</v>
      </c>
      <c r="L52" s="89"/>
      <c r="M52" s="89"/>
      <c r="N52" s="189"/>
      <c r="O52" s="89">
        <v>0</v>
      </c>
      <c r="P52" s="92">
        <f>'Rider Rates'!$D$101</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5">
      <c r="A53" s="313" t="s">
        <v>106</v>
      </c>
      <c r="B53" s="313"/>
      <c r="C53" s="313"/>
      <c r="D53" s="217">
        <f>$N$30</f>
        <v>9.4</v>
      </c>
      <c r="E53" s="333" t="s">
        <v>94</v>
      </c>
      <c r="F53" s="334" t="s">
        <v>82</v>
      </c>
      <c r="G53" s="120"/>
      <c r="H53" s="85"/>
      <c r="I53" s="119">
        <f>'Rider Rates'!$B$109</f>
        <v>0.2363101</v>
      </c>
      <c r="J53" s="347">
        <f>SUM(H53:I53)</f>
        <v>0.2363101</v>
      </c>
      <c r="K53" s="335"/>
      <c r="L53" s="89"/>
      <c r="M53" s="89"/>
      <c r="N53" s="89">
        <f>ROUND(N$30*I53,2)</f>
        <v>2.2200000000000002</v>
      </c>
      <c r="O53" s="89">
        <f t="shared" ref="O53:O61" si="1">SUM(L53:N53)</f>
        <v>2.2200000000000002</v>
      </c>
      <c r="P53" s="92">
        <f>'Rider Rates'!$D$109</f>
        <v>45622</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5">
      <c r="A54" s="313" t="s">
        <v>107</v>
      </c>
      <c r="B54" s="313"/>
      <c r="C54" s="313"/>
      <c r="D54" s="113"/>
      <c r="E54" s="333" t="s">
        <v>57</v>
      </c>
      <c r="F54" s="334"/>
      <c r="G54" s="120"/>
      <c r="H54" s="85"/>
      <c r="I54" s="121">
        <f>'Rider Rates'!$B$113</f>
        <v>0</v>
      </c>
      <c r="J54" s="350">
        <f>SUM(G54:I54)</f>
        <v>0</v>
      </c>
      <c r="K54" s="335"/>
      <c r="L54" s="89"/>
      <c r="M54" s="89"/>
      <c r="N54" s="89">
        <f>I54</f>
        <v>0</v>
      </c>
      <c r="O54" s="89">
        <f t="shared" si="1"/>
        <v>0</v>
      </c>
      <c r="P54" s="92">
        <f>'Rider Rates'!$D$113</f>
        <v>44894</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5">
      <c r="A55" s="313" t="s">
        <v>108</v>
      </c>
      <c r="B55" s="313"/>
      <c r="C55" s="313"/>
      <c r="D55" s="113"/>
      <c r="E55" s="333" t="s">
        <v>57</v>
      </c>
      <c r="F55" s="334"/>
      <c r="G55" s="120"/>
      <c r="H55" s="85"/>
      <c r="I55" s="123">
        <f>'Rider Rates'!B126</f>
        <v>4.84</v>
      </c>
      <c r="J55" s="350">
        <f>SUM(G55:I55)</f>
        <v>4.84</v>
      </c>
      <c r="K55" s="335"/>
      <c r="L55" s="89"/>
      <c r="M55" s="89"/>
      <c r="N55" s="125">
        <f>I55</f>
        <v>4.84</v>
      </c>
      <c r="O55" s="89">
        <f t="shared" si="1"/>
        <v>4.84</v>
      </c>
      <c r="P55" s="92">
        <f>'Rider Rates'!D126</f>
        <v>45593</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5">
      <c r="A56" s="313" t="s">
        <v>109</v>
      </c>
      <c r="B56" s="313"/>
      <c r="C56" s="313"/>
      <c r="D56" s="111">
        <f>IF('Customer Info'!$C$33=TRUE,0,'Customer Info'!$B$22+'Customer Info'!$B$23-'Customer Info'!$B$24)</f>
        <v>0</v>
      </c>
      <c r="E56" s="333" t="s">
        <v>19</v>
      </c>
      <c r="F56" s="334" t="s">
        <v>82</v>
      </c>
      <c r="G56" s="100">
        <f>'Rider Rates'!$B$116</f>
        <v>3.8972999999999998E-3</v>
      </c>
      <c r="H56" s="100"/>
      <c r="I56" s="119"/>
      <c r="J56" s="348">
        <f>SUM(G56:H56)</f>
        <v>3.8972999999999998E-3</v>
      </c>
      <c r="K56" s="335" t="s">
        <v>87</v>
      </c>
      <c r="L56" s="89">
        <f>ROUND(D56*G56,2)</f>
        <v>0</v>
      </c>
      <c r="M56" s="89"/>
      <c r="N56" s="89"/>
      <c r="O56" s="89">
        <f t="shared" si="1"/>
        <v>0</v>
      </c>
      <c r="P56" s="92">
        <f>'Rider Rates'!$D$117</f>
        <v>44531</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5">
      <c r="A57" s="313" t="s">
        <v>110</v>
      </c>
      <c r="B57" s="313"/>
      <c r="C57" s="313"/>
      <c r="D57" s="4">
        <f>IF($C$16&lt;1,0,$C$16)</f>
        <v>0</v>
      </c>
      <c r="E57" s="333" t="s">
        <v>19</v>
      </c>
      <c r="F57" s="334" t="s">
        <v>82</v>
      </c>
      <c r="G57" s="99"/>
      <c r="H57" s="99"/>
      <c r="I57" s="183">
        <f>'Rider Rates'!B122</f>
        <v>0</v>
      </c>
      <c r="J57" s="183">
        <f>SUM(G57:I57)</f>
        <v>0</v>
      </c>
      <c r="K57" s="335" t="s">
        <v>87</v>
      </c>
      <c r="L57" s="89"/>
      <c r="M57" s="89"/>
      <c r="N57" s="89">
        <f>D57*I57</f>
        <v>0</v>
      </c>
      <c r="O57" s="89">
        <f t="shared" si="1"/>
        <v>0</v>
      </c>
      <c r="P57" s="92">
        <f>'Rider Rates'!D122</f>
        <v>45657</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5">
      <c r="A58" s="313" t="s">
        <v>169</v>
      </c>
      <c r="B58" s="313"/>
      <c r="C58" s="313"/>
      <c r="D58" s="111">
        <f>IF(C16&lt;0,0,IF(C16&gt;833000,833000,C16))</f>
        <v>0</v>
      </c>
      <c r="E58" s="333" t="s">
        <v>19</v>
      </c>
      <c r="F58" s="334" t="s">
        <v>82</v>
      </c>
      <c r="G58" s="195"/>
      <c r="H58" s="195"/>
      <c r="I58" s="195">
        <f>'Rider Rates'!$B$130</f>
        <v>2.9050000000000001E-4</v>
      </c>
      <c r="J58" s="351">
        <f>SUM(G58:I58)</f>
        <v>2.9050000000000001E-4</v>
      </c>
      <c r="K58" s="335" t="s">
        <v>87</v>
      </c>
      <c r="L58" s="352"/>
      <c r="M58" s="352"/>
      <c r="N58" s="352">
        <f>IF(D58*J58&gt;'Rider Rates'!$C$130,'Rider Rates'!$C$130,D58*J58)</f>
        <v>0</v>
      </c>
      <c r="O58" s="352">
        <f t="shared" si="1"/>
        <v>0</v>
      </c>
      <c r="P58" s="129">
        <f>'Rider Rates'!$E$130</f>
        <v>45658</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5">
      <c r="A59" s="313" t="s">
        <v>170</v>
      </c>
      <c r="B59" s="313"/>
      <c r="C59" s="313"/>
      <c r="D59" s="4">
        <f>IF(C16&gt;833000,C16-833000,0)</f>
        <v>0</v>
      </c>
      <c r="E59" s="333" t="s">
        <v>19</v>
      </c>
      <c r="F59" s="334" t="s">
        <v>82</v>
      </c>
      <c r="G59" s="195"/>
      <c r="H59" s="195"/>
      <c r="I59" s="195">
        <f>'Rider Rates'!$B$131</f>
        <v>0</v>
      </c>
      <c r="J59" s="351">
        <f>SUM(G59:I59)</f>
        <v>0</v>
      </c>
      <c r="K59" s="335" t="s">
        <v>87</v>
      </c>
      <c r="L59" s="352"/>
      <c r="M59" s="352"/>
      <c r="N59" s="352">
        <f>D59*J59</f>
        <v>0</v>
      </c>
      <c r="O59" s="352">
        <f t="shared" si="1"/>
        <v>0</v>
      </c>
      <c r="P59" s="129">
        <f>'Rider Rates'!$E$131</f>
        <v>45658</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5">
      <c r="A60" s="313" t="s">
        <v>112</v>
      </c>
      <c r="B60" s="313"/>
      <c r="C60" s="313"/>
      <c r="D60" s="111">
        <f>D16</f>
        <v>0</v>
      </c>
      <c r="E60" s="333" t="s">
        <v>19</v>
      </c>
      <c r="F60" s="334" t="s">
        <v>82</v>
      </c>
      <c r="G60" s="100"/>
      <c r="H60" s="100"/>
      <c r="I60" s="100">
        <f>'Rider Rates'!$B$135</f>
        <v>0</v>
      </c>
      <c r="J60" s="348">
        <f>SUM(G60:I60)</f>
        <v>0</v>
      </c>
      <c r="K60" s="335" t="s">
        <v>87</v>
      </c>
      <c r="L60" s="89"/>
      <c r="M60" s="89"/>
      <c r="N60" s="89">
        <f>D60*J60</f>
        <v>0</v>
      </c>
      <c r="O60" s="89">
        <f t="shared" si="1"/>
        <v>0</v>
      </c>
      <c r="P60" s="92">
        <f>'Rider Rates'!$D$135</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5">
      <c r="A61" s="313" t="s">
        <v>113</v>
      </c>
      <c r="B61" s="313"/>
      <c r="C61" s="313"/>
      <c r="D61" s="353"/>
      <c r="E61" s="333" t="s">
        <v>57</v>
      </c>
      <c r="F61" s="334" t="s">
        <v>82</v>
      </c>
      <c r="G61" s="127"/>
      <c r="H61" s="127"/>
      <c r="I61" s="127">
        <f>'Rider Rates'!$B$142</f>
        <v>0</v>
      </c>
      <c r="J61" s="127">
        <f>SUM(G61:I61)</f>
        <v>0</v>
      </c>
      <c r="K61" s="335"/>
      <c r="L61" s="128"/>
      <c r="M61" s="128"/>
      <c r="N61" s="128">
        <f>J61</f>
        <v>0</v>
      </c>
      <c r="O61" s="128">
        <f t="shared" si="1"/>
        <v>0</v>
      </c>
      <c r="P61" s="129">
        <f>'Rider Rates'!$D$142</f>
        <v>44531</v>
      </c>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5">
      <c r="A62" s="313" t="s">
        <v>114</v>
      </c>
      <c r="B62" s="313"/>
      <c r="C62" s="313"/>
      <c r="D62" s="353"/>
      <c r="E62" s="333"/>
      <c r="F62" s="334"/>
      <c r="G62" s="127"/>
      <c r="H62" s="127"/>
      <c r="I62" s="127"/>
      <c r="J62" s="127"/>
      <c r="K62" s="335"/>
      <c r="L62" s="128"/>
      <c r="M62" s="128"/>
      <c r="N62" s="128"/>
      <c r="O62" s="128"/>
      <c r="P62" s="354"/>
      <c r="Q62" s="334"/>
      <c r="R62" s="101"/>
      <c r="S62" s="335"/>
      <c r="T62" s="95"/>
      <c r="U62" s="313"/>
      <c r="V62" s="96"/>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I62" s="313"/>
      <c r="CJ62" s="313"/>
      <c r="CK62" s="313"/>
      <c r="CL62" s="313"/>
      <c r="CM62" s="313"/>
      <c r="CN62" s="313"/>
      <c r="CO62" s="313"/>
      <c r="CP62" s="313"/>
      <c r="CQ62" s="313"/>
      <c r="CR62" s="313"/>
      <c r="CS62" s="313"/>
      <c r="CT62" s="313"/>
      <c r="CU62" s="313"/>
      <c r="CV62" s="313"/>
      <c r="CW62" s="313"/>
      <c r="CX62" s="313"/>
      <c r="CY62" s="313"/>
      <c r="CZ62" s="313"/>
      <c r="DA62" s="313"/>
      <c r="DB62" s="313"/>
      <c r="DC62" s="313"/>
      <c r="DD62" s="313"/>
      <c r="DE62" s="313"/>
      <c r="DF62" s="313"/>
      <c r="DG62" s="313"/>
      <c r="DH62" s="313"/>
      <c r="DI62" s="313"/>
      <c r="DJ62" s="313"/>
      <c r="DK62" s="313"/>
      <c r="DL62" s="313"/>
      <c r="DM62" s="313"/>
      <c r="DN62" s="313"/>
      <c r="DO62" s="313"/>
      <c r="DP62" s="313"/>
      <c r="DQ62" s="313"/>
      <c r="DR62" s="313"/>
      <c r="DS62" s="313"/>
      <c r="DT62" s="313"/>
      <c r="DU62" s="313"/>
      <c r="DV62" s="313"/>
      <c r="DW62" s="313"/>
      <c r="DX62" s="313"/>
      <c r="DY62" s="313"/>
      <c r="DZ62" s="313"/>
      <c r="EA62" s="313"/>
      <c r="EB62" s="313"/>
      <c r="EC62" s="313"/>
      <c r="ED62" s="313"/>
      <c r="EE62" s="313"/>
      <c r="EF62" s="313"/>
      <c r="EG62" s="313"/>
      <c r="EH62" s="313"/>
      <c r="EI62" s="313"/>
      <c r="EJ62" s="313"/>
      <c r="EK62" s="313"/>
      <c r="EL62" s="313"/>
      <c r="EM62" s="313"/>
      <c r="EN62" s="313"/>
      <c r="EO62" s="313"/>
      <c r="EP62" s="313"/>
      <c r="EQ62" s="313"/>
      <c r="ER62" s="313"/>
      <c r="ES62" s="313"/>
      <c r="ET62" s="313"/>
      <c r="EU62" s="313"/>
      <c r="EV62" s="313"/>
      <c r="EW62" s="313"/>
      <c r="EX62" s="313"/>
      <c r="EY62" s="313"/>
      <c r="EZ62" s="313"/>
      <c r="FA62" s="313"/>
      <c r="FB62" s="313"/>
      <c r="FC62" s="313"/>
      <c r="FD62" s="313"/>
      <c r="FE62" s="313"/>
      <c r="FF62" s="313"/>
      <c r="FG62" s="313"/>
      <c r="FH62" s="313"/>
      <c r="FI62" s="313"/>
      <c r="FJ62" s="313"/>
      <c r="FK62" s="313"/>
      <c r="FL62" s="313"/>
      <c r="FM62" s="313"/>
      <c r="FN62" s="313"/>
      <c r="FO62" s="313"/>
      <c r="FP62" s="313"/>
      <c r="FQ62" s="313"/>
      <c r="FR62" s="313"/>
      <c r="FS62" s="313"/>
      <c r="FT62" s="313"/>
      <c r="FU62" s="313"/>
      <c r="FV62" s="313"/>
      <c r="FW62" s="313"/>
      <c r="FX62" s="313"/>
      <c r="FY62" s="313"/>
      <c r="FZ62" s="313"/>
      <c r="GA62" s="313"/>
      <c r="GB62" s="313"/>
      <c r="GC62" s="313"/>
      <c r="GD62" s="313"/>
      <c r="GE62" s="313"/>
      <c r="GF62" s="313"/>
      <c r="GG62" s="313"/>
      <c r="GH62" s="313"/>
      <c r="GI62" s="313"/>
      <c r="GJ62" s="313"/>
      <c r="GK62" s="313"/>
      <c r="GL62" s="313"/>
      <c r="GM62" s="313"/>
      <c r="GN62" s="313"/>
      <c r="GO62" s="313"/>
      <c r="GP62" s="313"/>
      <c r="GQ62" s="313"/>
      <c r="GR62" s="313"/>
      <c r="GS62" s="313"/>
      <c r="GT62" s="313"/>
      <c r="GU62" s="313"/>
      <c r="GV62" s="313"/>
      <c r="GW62" s="313"/>
      <c r="GX62" s="313"/>
      <c r="GY62" s="313"/>
      <c r="GZ62" s="313"/>
      <c r="HA62" s="313"/>
      <c r="HB62" s="313"/>
      <c r="HC62" s="313"/>
      <c r="HD62" s="313"/>
      <c r="HE62" s="313"/>
      <c r="HF62" s="313"/>
      <c r="HG62" s="313"/>
      <c r="HH62" s="313"/>
      <c r="HI62" s="313"/>
      <c r="HJ62" s="313"/>
      <c r="HK62" s="313"/>
      <c r="HL62" s="313"/>
      <c r="HM62" s="313"/>
    </row>
    <row r="63" spans="1:221" x14ac:dyDescent="0.25">
      <c r="A63" s="355" t="s">
        <v>115</v>
      </c>
      <c r="B63" s="356"/>
      <c r="C63" s="356"/>
      <c r="D63" s="357"/>
      <c r="E63" s="358"/>
      <c r="F63" s="359"/>
      <c r="G63" s="359"/>
      <c r="H63" s="359"/>
      <c r="I63" s="359"/>
      <c r="J63" s="359"/>
      <c r="K63" s="360"/>
      <c r="L63" s="361">
        <f>SUM(L34:L62)</f>
        <v>0</v>
      </c>
      <c r="M63" s="361">
        <f>SUM(M34:M62)</f>
        <v>0</v>
      </c>
      <c r="N63" s="361">
        <f>SUM(N34:N62)</f>
        <v>25.68</v>
      </c>
      <c r="O63" s="361">
        <f>SUM(O34:O62)</f>
        <v>25.68</v>
      </c>
      <c r="P63" s="362"/>
    </row>
    <row r="64" spans="1:221" x14ac:dyDescent="0.25">
      <c r="A64" s="339"/>
      <c r="D64" s="332"/>
      <c r="E64" s="346"/>
      <c r="F64" s="329"/>
      <c r="G64" s="218"/>
      <c r="H64" s="218"/>
      <c r="I64" s="218"/>
      <c r="J64" s="218"/>
      <c r="K64" s="46"/>
      <c r="L64" s="46"/>
      <c r="M64" s="46"/>
      <c r="N64" s="46"/>
      <c r="O64" s="213"/>
      <c r="P64" s="46"/>
    </row>
    <row r="65" spans="1:16" x14ac:dyDescent="0.25">
      <c r="A65" s="363" t="s">
        <v>181</v>
      </c>
      <c r="B65" s="364"/>
      <c r="C65" s="364"/>
      <c r="D65" s="364"/>
      <c r="E65" s="364"/>
      <c r="F65" s="364"/>
      <c r="G65" s="364"/>
      <c r="H65" s="364"/>
      <c r="I65" s="364"/>
      <c r="J65" s="364"/>
      <c r="K65" s="364"/>
      <c r="L65" s="219">
        <f>L30+L63</f>
        <v>0</v>
      </c>
      <c r="M65" s="219">
        <f>M30+M63</f>
        <v>0</v>
      </c>
      <c r="N65" s="219">
        <f>N30+N63</f>
        <v>35.08</v>
      </c>
      <c r="O65" s="219">
        <f>O30+O63</f>
        <v>35.08</v>
      </c>
      <c r="P65" s="219"/>
    </row>
    <row r="66" spans="1:16" x14ac:dyDescent="0.25">
      <c r="A66" s="339"/>
      <c r="B66" s="339"/>
      <c r="C66" s="339"/>
      <c r="D66" s="339"/>
      <c r="E66" s="339"/>
      <c r="F66" s="339"/>
      <c r="G66" s="339"/>
      <c r="H66" s="339"/>
      <c r="I66" s="339"/>
      <c r="J66" s="339"/>
      <c r="K66" s="339"/>
      <c r="L66" s="339"/>
      <c r="M66" s="339"/>
      <c r="N66" s="339"/>
      <c r="O66" s="171"/>
      <c r="P66" s="171"/>
    </row>
    <row r="67" spans="1:16" x14ac:dyDescent="0.25">
      <c r="A67" s="339" t="s">
        <v>194</v>
      </c>
      <c r="B67" s="339"/>
      <c r="C67" s="339"/>
      <c r="D67" s="339"/>
      <c r="E67" s="339"/>
      <c r="F67" s="339"/>
      <c r="G67" s="339"/>
      <c r="H67" s="339"/>
      <c r="I67" s="339"/>
      <c r="J67" s="339"/>
      <c r="K67" s="339"/>
      <c r="L67" s="339"/>
      <c r="M67" s="339"/>
      <c r="N67" s="339"/>
      <c r="O67" s="171">
        <f>O26+O28+O63</f>
        <v>35.08</v>
      </c>
      <c r="P67" s="331">
        <v>40967</v>
      </c>
    </row>
    <row r="68" spans="1:16" x14ac:dyDescent="0.25">
      <c r="A68" s="339"/>
      <c r="B68" s="339"/>
      <c r="C68" s="339"/>
      <c r="D68" s="339"/>
      <c r="E68" s="339"/>
      <c r="F68" s="339"/>
      <c r="G68" s="220"/>
      <c r="H68" s="220"/>
      <c r="I68" s="220"/>
      <c r="J68" s="220"/>
      <c r="K68" s="46"/>
      <c r="L68" s="46"/>
      <c r="M68" s="46"/>
      <c r="N68" s="46"/>
      <c r="O68" s="171"/>
    </row>
    <row r="69" spans="1:16" x14ac:dyDescent="0.25">
      <c r="A69" s="345" t="s">
        <v>118</v>
      </c>
      <c r="B69" s="339"/>
      <c r="C69" s="339"/>
      <c r="D69" s="339"/>
      <c r="E69" s="339"/>
      <c r="F69" s="339"/>
      <c r="G69" s="220"/>
      <c r="H69" s="220"/>
      <c r="I69" s="220"/>
      <c r="J69" s="220"/>
      <c r="K69" s="46"/>
      <c r="L69" s="46"/>
      <c r="M69" s="46"/>
      <c r="N69" s="46"/>
      <c r="O69" s="142">
        <f>MAX($O$65,$O$67)</f>
        <v>35.08</v>
      </c>
    </row>
    <row r="70" spans="1:16" x14ac:dyDescent="0.25">
      <c r="A70" s="339"/>
      <c r="B70" s="339"/>
      <c r="C70" s="339"/>
      <c r="D70" s="339"/>
      <c r="E70" s="339"/>
      <c r="F70" s="339"/>
      <c r="G70" s="220"/>
      <c r="H70" s="220"/>
      <c r="I70" s="220"/>
      <c r="J70" s="220"/>
      <c r="K70" s="46"/>
      <c r="L70" s="46"/>
      <c r="M70" s="46"/>
      <c r="N70" s="46"/>
      <c r="O70" s="171"/>
    </row>
    <row r="71" spans="1:16" x14ac:dyDescent="0.25">
      <c r="A71" s="339"/>
      <c r="B71" s="339"/>
      <c r="C71" s="339"/>
      <c r="D71" s="339"/>
      <c r="E71" s="339"/>
      <c r="F71" s="339"/>
      <c r="G71" s="365" t="s">
        <v>195</v>
      </c>
      <c r="H71" s="220"/>
      <c r="I71" s="339"/>
      <c r="J71" s="220"/>
      <c r="K71" s="46"/>
      <c r="L71" s="366"/>
      <c r="M71" s="366"/>
      <c r="N71" s="366"/>
      <c r="O71" s="366">
        <f>ROUND(IF($C$16&lt;1,0,$O$69/($C$16*100)*10000),2)</f>
        <v>0</v>
      </c>
      <c r="P71" s="339" t="s">
        <v>120</v>
      </c>
    </row>
    <row r="72" spans="1:16" x14ac:dyDescent="0.25">
      <c r="A72" s="339"/>
      <c r="B72" s="339"/>
      <c r="C72" s="339"/>
      <c r="D72" s="339"/>
      <c r="E72" s="339"/>
      <c r="F72" s="339"/>
      <c r="G72" s="367" t="s">
        <v>121</v>
      </c>
      <c r="H72" s="221"/>
      <c r="I72" s="368"/>
      <c r="J72" s="221"/>
      <c r="K72" s="369"/>
      <c r="L72" s="313"/>
      <c r="M72" s="313"/>
      <c r="N72" s="313"/>
      <c r="O72" s="370">
        <f>ROUND(IF($C$16&lt;1,0,(L65)/($C$16*100)*10000),2)</f>
        <v>0</v>
      </c>
      <c r="P72" s="371" t="s">
        <v>120</v>
      </c>
    </row>
    <row r="73" spans="1:16" x14ac:dyDescent="0.25">
      <c r="A73" s="339"/>
      <c r="B73" s="339"/>
      <c r="C73" s="339"/>
      <c r="D73" s="339"/>
      <c r="E73" s="339"/>
      <c r="F73" s="339"/>
      <c r="G73" s="365"/>
      <c r="H73" s="220"/>
      <c r="I73" s="365"/>
      <c r="J73" s="220"/>
      <c r="K73" s="46"/>
      <c r="L73" s="46"/>
      <c r="M73" s="46"/>
      <c r="N73" s="46"/>
      <c r="O73" s="223"/>
      <c r="P73" s="339"/>
    </row>
    <row r="74" spans="1:16" ht="20.25" customHeight="1" x14ac:dyDescent="0.4">
      <c r="B74" s="339"/>
      <c r="C74" s="339"/>
      <c r="D74" s="224" t="s">
        <v>2</v>
      </c>
      <c r="F74" s="329"/>
      <c r="G74" s="225"/>
      <c r="H74" s="226"/>
      <c r="I74" s="213"/>
      <c r="J74" s="226"/>
      <c r="K74" s="339"/>
      <c r="L74" s="339"/>
      <c r="M74" s="339"/>
      <c r="N74" s="213"/>
    </row>
    <row r="75" spans="1:16" x14ac:dyDescent="0.25">
      <c r="A75" s="339"/>
      <c r="B75" s="339"/>
      <c r="C75" s="339"/>
      <c r="D75" s="372"/>
      <c r="F75" s="329"/>
      <c r="G75" s="226"/>
      <c r="H75" s="226"/>
      <c r="I75" s="227"/>
      <c r="J75" s="226"/>
      <c r="K75" s="339"/>
      <c r="L75" s="339"/>
      <c r="M75" s="339"/>
      <c r="N75" s="339"/>
      <c r="O75" s="171"/>
    </row>
    <row r="76" spans="1:16" x14ac:dyDescent="0.25">
      <c r="A76" s="339"/>
      <c r="B76" s="339"/>
      <c r="C76" s="339"/>
      <c r="D76" s="372"/>
      <c r="F76" s="329"/>
      <c r="G76" s="226"/>
      <c r="H76" s="226"/>
      <c r="I76" s="226"/>
      <c r="J76" s="226"/>
      <c r="K76" s="339"/>
      <c r="L76" s="339"/>
      <c r="M76" s="339"/>
      <c r="N76" s="339"/>
      <c r="O76" s="171"/>
    </row>
    <row r="77" spans="1:16" x14ac:dyDescent="0.25">
      <c r="A77" s="345"/>
      <c r="B77" s="339"/>
      <c r="C77" s="339"/>
      <c r="D77" s="339"/>
      <c r="E77" s="339"/>
      <c r="F77" s="339"/>
      <c r="G77" s="339"/>
      <c r="H77" s="339"/>
      <c r="J77" s="339"/>
      <c r="K77" s="339"/>
      <c r="L77" s="171"/>
      <c r="M77" s="171"/>
      <c r="N77" s="171"/>
      <c r="O77" s="142"/>
    </row>
    <row r="78" spans="1:16" x14ac:dyDescent="0.25">
      <c r="B78" s="339"/>
      <c r="C78" s="339"/>
      <c r="D78" s="339"/>
      <c r="E78" s="339"/>
      <c r="F78" s="339"/>
      <c r="G78" s="365"/>
      <c r="H78" s="339"/>
      <c r="I78" s="339"/>
      <c r="J78" s="339"/>
      <c r="K78" s="339"/>
      <c r="L78" s="373"/>
      <c r="M78" s="373"/>
      <c r="N78" s="373"/>
      <c r="O78" s="223"/>
      <c r="P78" s="339"/>
    </row>
    <row r="79" spans="1:16" x14ac:dyDescent="0.25">
      <c r="G79" s="368"/>
      <c r="H79" s="374"/>
      <c r="I79" s="368"/>
      <c r="J79" s="374"/>
      <c r="K79" s="374"/>
      <c r="L79" s="149"/>
      <c r="M79" s="149"/>
      <c r="N79" s="149"/>
      <c r="O79" s="150"/>
      <c r="P79" s="371"/>
    </row>
    <row r="81" spans="1:1" x14ac:dyDescent="0.25">
      <c r="A81" s="463"/>
    </row>
    <row r="82" spans="1:1" x14ac:dyDescent="0.25">
      <c r="A82" s="463"/>
    </row>
    <row r="83" spans="1:1" x14ac:dyDescent="0.25">
      <c r="A83" s="463"/>
    </row>
    <row r="84" spans="1:1" x14ac:dyDescent="0.25">
      <c r="A84" s="463"/>
    </row>
    <row r="85" spans="1:1" x14ac:dyDescent="0.25">
      <c r="A85" s="463"/>
    </row>
    <row r="86" spans="1:1" x14ac:dyDescent="0.25">
      <c r="A86" s="463"/>
    </row>
    <row r="87" spans="1:1" x14ac:dyDescent="0.25">
      <c r="A87" s="463"/>
    </row>
    <row r="88" spans="1:1" x14ac:dyDescent="0.25">
      <c r="A88" s="463"/>
    </row>
    <row r="89" spans="1:1" x14ac:dyDescent="0.25">
      <c r="A89" s="463"/>
    </row>
    <row r="90" spans="1:1" x14ac:dyDescent="0.25">
      <c r="A90" s="463"/>
    </row>
    <row r="91" spans="1:1" x14ac:dyDescent="0.25">
      <c r="A91" s="463"/>
    </row>
    <row r="92" spans="1:1" x14ac:dyDescent="0.25">
      <c r="A92" s="463"/>
    </row>
    <row r="93" spans="1:1" x14ac:dyDescent="0.25">
      <c r="A93" s="463"/>
    </row>
    <row r="94" spans="1:1" x14ac:dyDescent="0.25">
      <c r="A94" s="463"/>
    </row>
    <row r="95" spans="1:1" x14ac:dyDescent="0.25">
      <c r="A95" s="463"/>
    </row>
  </sheetData>
  <sheetProtection algorithmName="SHA-512" hashValue="NzqqS+PDIUkgGD1CjburBSAOEqm/HR5q8+XUMBbi92D75TAJYI2s+yFeVUoz4KrkKHkVY9cZKzGNmL4tI6ZZZA==" saltValue="PyxkZy+9lsBypjTjJQCZc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1:A95"/>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274320</xdr:colOff>
                    <xdr:row>89</xdr:row>
                    <xdr:rowOff>45720</xdr:rowOff>
                  </from>
                  <to>
                    <xdr:col>16</xdr:col>
                    <xdr:colOff>30480</xdr:colOff>
                    <xdr:row>90</xdr:row>
                    <xdr:rowOff>106680</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6"/>
  <sheetViews>
    <sheetView showGridLines="0" topLeftCell="A10" workbookViewId="0">
      <selection activeCell="B22" sqref="B22"/>
    </sheetView>
  </sheetViews>
  <sheetFormatPr defaultColWidth="9.109375" defaultRowHeight="9.9" customHeight="1" x14ac:dyDescent="0.2"/>
  <cols>
    <col min="1" max="1" width="130.5546875" style="51" customWidth="1"/>
    <col min="2" max="16384" width="9.109375" style="46"/>
  </cols>
  <sheetData>
    <row r="1" spans="1:1" ht="34.799999999999997" x14ac:dyDescent="0.2">
      <c r="A1" s="45" t="s">
        <v>33</v>
      </c>
    </row>
    <row r="2" spans="1:1" ht="23.4" x14ac:dyDescent="0.2">
      <c r="A2" s="47" t="s">
        <v>34</v>
      </c>
    </row>
    <row r="3" spans="1:1" ht="9.9" customHeight="1" x14ac:dyDescent="0.25">
      <c r="A3" s="48"/>
    </row>
    <row r="4" spans="1:1" ht="24" customHeight="1" x14ac:dyDescent="0.2">
      <c r="A4" s="47" t="s">
        <v>35</v>
      </c>
    </row>
    <row r="5" spans="1:1" ht="9.9" customHeight="1" x14ac:dyDescent="0.25">
      <c r="A5" s="48"/>
    </row>
    <row r="6" spans="1:1" ht="12" x14ac:dyDescent="0.2">
      <c r="A6" s="45" t="s">
        <v>36</v>
      </c>
    </row>
    <row r="7" spans="1:1" ht="9.9" customHeight="1" x14ac:dyDescent="0.2">
      <c r="A7" s="45"/>
    </row>
    <row r="8" spans="1:1" ht="34.799999999999997" x14ac:dyDescent="0.2">
      <c r="A8" s="45" t="s">
        <v>37</v>
      </c>
    </row>
    <row r="9" spans="1:1" ht="9.9" customHeight="1" x14ac:dyDescent="0.2">
      <c r="A9" s="47"/>
    </row>
    <row r="10" spans="1:1" ht="36" customHeight="1" x14ac:dyDescent="0.2">
      <c r="A10" s="45" t="s">
        <v>38</v>
      </c>
    </row>
    <row r="11" spans="1:1" ht="9.6" customHeight="1" x14ac:dyDescent="0.2">
      <c r="A11" s="45"/>
    </row>
    <row r="12" spans="1:1" ht="36" customHeight="1" x14ac:dyDescent="0.2">
      <c r="A12" s="45" t="s">
        <v>39</v>
      </c>
    </row>
    <row r="13" spans="1:1" ht="9.9" customHeight="1" x14ac:dyDescent="0.2">
      <c r="A13" s="45"/>
    </row>
    <row r="14" spans="1:1" ht="38.25" customHeight="1" x14ac:dyDescent="0.2">
      <c r="A14" s="45" t="s">
        <v>40</v>
      </c>
    </row>
    <row r="15" spans="1:1" ht="9.9" customHeight="1" x14ac:dyDescent="0.2">
      <c r="A15" s="45"/>
    </row>
    <row r="16" spans="1:1" ht="23.4" x14ac:dyDescent="0.2">
      <c r="A16" s="45" t="s">
        <v>41</v>
      </c>
    </row>
    <row r="17" spans="1:1" ht="9.9" customHeight="1" x14ac:dyDescent="0.2">
      <c r="A17" s="45"/>
    </row>
    <row r="18" spans="1:1" ht="23.4" x14ac:dyDescent="0.2">
      <c r="A18" s="45" t="s">
        <v>42</v>
      </c>
    </row>
    <row r="19" spans="1:1" ht="9.9" customHeight="1" x14ac:dyDescent="0.2">
      <c r="A19" s="45"/>
    </row>
    <row r="20" spans="1:1" ht="39.75" customHeight="1" x14ac:dyDescent="0.2">
      <c r="A20" s="45" t="s">
        <v>43</v>
      </c>
    </row>
    <row r="21" spans="1:1" ht="9.9" customHeight="1" x14ac:dyDescent="0.2">
      <c r="A21" s="45"/>
    </row>
    <row r="22" spans="1:1" ht="23.4" x14ac:dyDescent="0.2">
      <c r="A22" s="45" t="s">
        <v>44</v>
      </c>
    </row>
    <row r="23" spans="1:1" ht="9.9" customHeight="1" x14ac:dyDescent="0.2">
      <c r="A23" s="45"/>
    </row>
    <row r="24" spans="1:1" ht="23.4" x14ac:dyDescent="0.2">
      <c r="A24" s="45" t="s">
        <v>45</v>
      </c>
    </row>
    <row r="25" spans="1:1" ht="9.9" customHeight="1" x14ac:dyDescent="0.2">
      <c r="A25" s="45"/>
    </row>
    <row r="26" spans="1:1" ht="23.4" x14ac:dyDescent="0.2">
      <c r="A26" s="45" t="s">
        <v>46</v>
      </c>
    </row>
    <row r="27" spans="1:1" ht="9.9" customHeight="1" x14ac:dyDescent="0.2">
      <c r="A27" s="45"/>
    </row>
    <row r="28" spans="1:1" ht="23.4" x14ac:dyDescent="0.2">
      <c r="A28" s="49" t="s">
        <v>47</v>
      </c>
    </row>
    <row r="29" spans="1:1" ht="12" x14ac:dyDescent="0.2">
      <c r="A29" s="45"/>
    </row>
    <row r="30" spans="1:1" ht="45" customHeight="1" x14ac:dyDescent="0.2">
      <c r="A30" s="45" t="s">
        <v>48</v>
      </c>
    </row>
    <row r="32" spans="1:1" ht="36" customHeight="1" x14ac:dyDescent="0.2">
      <c r="A32" s="45" t="s">
        <v>49</v>
      </c>
    </row>
    <row r="33" spans="1:1" ht="9.9" customHeight="1" x14ac:dyDescent="0.2">
      <c r="A33" s="50"/>
    </row>
    <row r="34" spans="1:1" ht="12" x14ac:dyDescent="0.2">
      <c r="A34" s="49" t="s">
        <v>50</v>
      </c>
    </row>
    <row r="36" spans="1:1" ht="12" x14ac:dyDescent="0.2">
      <c r="A36" s="49" t="s">
        <v>51</v>
      </c>
    </row>
  </sheetData>
  <sheetProtection algorithmName="SHA-512" hashValue="sw0gObdE36b6XGnCdbYwMZs4Su3J2jA6HrrOBqogBlstBCDwjV0vGamzVAOELVdHTOfvhpszozV1WUb108PetQ==" saltValue="afL40i11CNkivVBCsQjmIA=="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5"/>
  <sheetViews>
    <sheetView showGridLines="0" topLeftCell="A4"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196</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197</v>
      </c>
      <c r="C6" s="229"/>
      <c r="D6" s="229"/>
      <c r="E6" s="229"/>
      <c r="F6" s="229"/>
      <c r="G6" s="229"/>
      <c r="H6" s="229"/>
      <c r="I6" s="229"/>
      <c r="J6" s="229"/>
      <c r="K6" s="229"/>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5">
      <c r="C13" s="68" t="s">
        <v>184</v>
      </c>
      <c r="D13" s="68" t="s">
        <v>185</v>
      </c>
    </row>
    <row r="14" spans="1:256" x14ac:dyDescent="0.25">
      <c r="A14" s="158" t="s">
        <v>186</v>
      </c>
      <c r="B14" s="158"/>
      <c r="C14" s="206">
        <f>'Customer Info'!B19</f>
        <v>0</v>
      </c>
      <c r="D14" s="206">
        <f>ROUND(C14*C20,1)</f>
        <v>0</v>
      </c>
      <c r="E14" s="158" t="s">
        <v>13</v>
      </c>
      <c r="F14" s="160"/>
      <c r="G14" s="158" t="s">
        <v>2</v>
      </c>
      <c r="I14" s="207" t="s">
        <v>2</v>
      </c>
      <c r="J14" s="158"/>
      <c r="K14" s="158"/>
      <c r="L14" s="158"/>
      <c r="M14" s="158"/>
      <c r="N14" s="158"/>
    </row>
    <row r="15" spans="1:256" x14ac:dyDescent="0.25">
      <c r="A15" s="158" t="s">
        <v>187</v>
      </c>
      <c r="B15" s="158"/>
      <c r="C15" s="206">
        <f>'Customer Info'!B20</f>
        <v>0</v>
      </c>
      <c r="D15" s="206">
        <f>C15*C20</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5">
      <c r="A17" s="158" t="s">
        <v>206</v>
      </c>
      <c r="B17" s="158"/>
      <c r="C17" s="159">
        <f>'Customer Info'!$B$28</f>
        <v>0</v>
      </c>
      <c r="D17" s="159">
        <f>$C$17</f>
        <v>0</v>
      </c>
      <c r="E17" s="158" t="s">
        <v>207</v>
      </c>
      <c r="F17" s="160"/>
      <c r="G17" s="158"/>
      <c r="H17" s="158"/>
      <c r="I17" s="158"/>
      <c r="J17" s="158"/>
      <c r="K17" s="158"/>
      <c r="L17" s="158"/>
      <c r="M17" s="158"/>
      <c r="N17" s="158"/>
      <c r="O17" s="158"/>
    </row>
    <row r="18" spans="1:30" x14ac:dyDescent="0.25">
      <c r="A18" s="158" t="s">
        <v>208</v>
      </c>
      <c r="B18" s="158"/>
      <c r="C18" s="325">
        <f>IF('Customer Info'!$B$19=0,0,ROUND(MAX(ROUND('Customer Info'!$B$19*'GS PRI'!C20,1),ROUND('Customer Info'!$B$20*'GS PRI'!C20,1))/'Customer Info'!$D$30,1))</f>
        <v>0</v>
      </c>
      <c r="D18" s="206">
        <f>$C$18</f>
        <v>0</v>
      </c>
      <c r="E18" s="158" t="s">
        <v>209</v>
      </c>
      <c r="F18" s="160"/>
      <c r="G18" s="158"/>
      <c r="H18" s="158"/>
      <c r="I18" s="158"/>
      <c r="J18" s="158"/>
      <c r="K18" s="158"/>
      <c r="L18" s="158"/>
      <c r="M18" s="158"/>
      <c r="N18" s="158"/>
      <c r="O18" s="158"/>
    </row>
    <row r="19" spans="1:30" x14ac:dyDescent="0.25">
      <c r="A19" s="158" t="s">
        <v>210</v>
      </c>
      <c r="B19" s="158"/>
      <c r="C19" s="159"/>
      <c r="D19" s="325">
        <f>MAX(100,ROUND(1.15*(MAX('Customer Info'!$B$19*'GS PRI'!C20,'Customer Info'!$B$20*'GS PRI'!C20)),1))</f>
        <v>100</v>
      </c>
      <c r="E19" s="158" t="s">
        <v>209</v>
      </c>
      <c r="F19" s="160"/>
      <c r="K19" s="158"/>
      <c r="L19" s="158"/>
      <c r="M19" s="158"/>
      <c r="N19" s="158"/>
    </row>
    <row r="20" spans="1:30" x14ac:dyDescent="0.25">
      <c r="A20" s="158" t="s">
        <v>189</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5">
      <c r="A21" s="158" t="s">
        <v>2</v>
      </c>
      <c r="B21" s="158"/>
      <c r="C21" s="210" t="s">
        <v>2</v>
      </c>
      <c r="D21" s="453" t="s">
        <v>2</v>
      </c>
      <c r="E21" s="453"/>
      <c r="F21" s="453"/>
      <c r="G21" s="453"/>
      <c r="H21" s="453"/>
      <c r="K21" s="158"/>
      <c r="L21" s="158"/>
      <c r="M21" s="158"/>
      <c r="N21" s="158"/>
      <c r="O21" s="188"/>
    </row>
    <row r="22" spans="1:30" x14ac:dyDescent="0.25">
      <c r="A22" s="158" t="s">
        <v>2</v>
      </c>
      <c r="B22" s="158"/>
      <c r="C22" s="210" t="s">
        <v>2</v>
      </c>
      <c r="D22" s="453" t="s">
        <v>2</v>
      </c>
      <c r="E22" s="453"/>
      <c r="F22" s="453"/>
      <c r="G22" s="453"/>
      <c r="H22" s="453"/>
      <c r="I22" s="57"/>
      <c r="J22" s="57"/>
      <c r="K22" s="158"/>
      <c r="L22" s="158"/>
      <c r="M22" s="158"/>
      <c r="N22" s="158"/>
      <c r="O22" s="188"/>
    </row>
    <row r="23" spans="1:30" x14ac:dyDescent="0.25">
      <c r="A23" s="158"/>
      <c r="B23" s="158"/>
      <c r="C23" s="160"/>
      <c r="D23" s="160"/>
      <c r="E23" s="160"/>
      <c r="F23" s="160"/>
      <c r="G23" s="57"/>
      <c r="H23" s="57"/>
      <c r="I23" s="57"/>
      <c r="J23" s="57"/>
      <c r="K23" s="158"/>
      <c r="L23" s="158"/>
      <c r="M23" s="158"/>
      <c r="N23" s="158"/>
      <c r="O23" s="158"/>
    </row>
    <row r="24" spans="1:30" x14ac:dyDescent="0.25">
      <c r="A24" s="162" t="s">
        <v>72</v>
      </c>
      <c r="B24" s="163"/>
      <c r="C24" s="163"/>
      <c r="D24" s="163"/>
      <c r="E24" s="163"/>
      <c r="F24" s="163"/>
      <c r="G24" s="445" t="s">
        <v>73</v>
      </c>
      <c r="H24" s="446"/>
      <c r="I24" s="446"/>
      <c r="J24" s="447"/>
      <c r="K24" s="163"/>
      <c r="L24" s="448" t="s">
        <v>74</v>
      </c>
      <c r="M24" s="448"/>
      <c r="N24" s="448"/>
      <c r="O24" s="448"/>
    </row>
    <row r="25" spans="1:30" x14ac:dyDescent="0.25">
      <c r="G25" s="164" t="s">
        <v>75</v>
      </c>
      <c r="H25" s="164" t="s">
        <v>76</v>
      </c>
      <c r="I25" s="164" t="s">
        <v>77</v>
      </c>
      <c r="J25" s="118" t="s">
        <v>78</v>
      </c>
      <c r="L25" s="165" t="s">
        <v>75</v>
      </c>
      <c r="M25" s="165" t="s">
        <v>76</v>
      </c>
      <c r="N25" s="165" t="s">
        <v>77</v>
      </c>
      <c r="O25" s="165" t="s">
        <v>78</v>
      </c>
      <c r="P25" s="166" t="s">
        <v>79</v>
      </c>
    </row>
    <row r="26" spans="1:30" x14ac:dyDescent="0.25">
      <c r="A26" t="s">
        <v>80</v>
      </c>
      <c r="G26" s="189"/>
      <c r="H26" s="189"/>
      <c r="I26" s="189">
        <v>138.5</v>
      </c>
      <c r="J26" s="189">
        <f>SUM(G26:I26)</f>
        <v>138.5</v>
      </c>
      <c r="L26" s="190"/>
      <c r="M26" s="190"/>
      <c r="N26" s="190">
        <f>I26</f>
        <v>138.5</v>
      </c>
      <c r="O26" s="128">
        <f>SUM(L26:N26)</f>
        <v>138.5</v>
      </c>
      <c r="P26" s="92">
        <v>44531</v>
      </c>
    </row>
    <row r="27" spans="1:30" x14ac:dyDescent="0.25">
      <c r="A27" t="s">
        <v>168</v>
      </c>
      <c r="D27" s="4">
        <f>D16</f>
        <v>0</v>
      </c>
      <c r="E27" s="97" t="s">
        <v>19</v>
      </c>
      <c r="F27" s="84" t="s">
        <v>82</v>
      </c>
      <c r="G27" s="191"/>
      <c r="H27" s="189"/>
      <c r="I27" s="189"/>
      <c r="J27" s="191"/>
      <c r="K27" s="94" t="s">
        <v>87</v>
      </c>
      <c r="L27" s="189"/>
      <c r="M27" s="190"/>
      <c r="N27" s="189"/>
      <c r="O27" s="128"/>
      <c r="P27" s="92"/>
    </row>
    <row r="28" spans="1:30" x14ac:dyDescent="0.25">
      <c r="A28" t="s">
        <v>211</v>
      </c>
      <c r="D28" s="375">
        <f>ROUND(MAX(D14,D15,('Customer Info'!B15-100)*0.6,('Customer Info'!B17-100)*0.6),1)</f>
        <v>0</v>
      </c>
      <c r="E28" s="158" t="s">
        <v>13</v>
      </c>
      <c r="F28" s="1" t="s">
        <v>82</v>
      </c>
      <c r="G28" s="337"/>
      <c r="H28" s="337"/>
      <c r="I28" s="337">
        <v>6.33</v>
      </c>
      <c r="J28" s="337">
        <f>SUM(G28:I28)</f>
        <v>6.33</v>
      </c>
      <c r="K28" s="154" t="s">
        <v>165</v>
      </c>
      <c r="L28" s="189"/>
      <c r="M28" s="189"/>
      <c r="N28" s="189">
        <f>ROUND($D28*I28,2)</f>
        <v>0</v>
      </c>
      <c r="O28" s="128">
        <f>SUM(L28:N28)</f>
        <v>0</v>
      </c>
      <c r="P28" s="92">
        <v>45627</v>
      </c>
    </row>
    <row r="29" spans="1:30" x14ac:dyDescent="0.25">
      <c r="A29" t="s">
        <v>212</v>
      </c>
      <c r="D29" s="349">
        <f>IF(D18&lt;=100,0,ROUND(IF(D18-D19&gt;0,D18-D19),1))</f>
        <v>0</v>
      </c>
      <c r="E29" s="158" t="s">
        <v>213</v>
      </c>
      <c r="F29" s="1" t="s">
        <v>82</v>
      </c>
      <c r="G29" s="338"/>
      <c r="H29" s="337"/>
      <c r="I29" s="337">
        <v>1.21</v>
      </c>
      <c r="J29" s="338">
        <f>SUM(G29:I29)</f>
        <v>1.21</v>
      </c>
      <c r="K29" s="154" t="s">
        <v>165</v>
      </c>
      <c r="L29" s="189"/>
      <c r="M29" s="189"/>
      <c r="N29" s="189">
        <f>ROUND($D29*I29,2)</f>
        <v>0</v>
      </c>
      <c r="O29" s="189">
        <f>SUM(L29:N29)</f>
        <v>0</v>
      </c>
      <c r="P29" s="92">
        <v>44531</v>
      </c>
    </row>
    <row r="30" spans="1:30" x14ac:dyDescent="0.25">
      <c r="A30" s="144" t="s">
        <v>84</v>
      </c>
      <c r="B30" s="144"/>
      <c r="C30" s="144"/>
      <c r="D30" s="170"/>
      <c r="E30" s="170"/>
      <c r="F30" s="144"/>
      <c r="G30" s="144"/>
      <c r="H30" s="144"/>
      <c r="I30" s="144"/>
      <c r="J30" s="144"/>
      <c r="K30" s="172"/>
      <c r="L30" s="171"/>
      <c r="M30" s="171"/>
      <c r="N30" s="171">
        <f>SUM(N26:N29)</f>
        <v>138.5</v>
      </c>
      <c r="O30" s="171">
        <f>SUM(O26:O29)</f>
        <v>138.5</v>
      </c>
    </row>
    <row r="31" spans="1:30" x14ac:dyDescent="0.25">
      <c r="A31" s="192"/>
      <c r="B31" s="192"/>
      <c r="C31" s="193"/>
      <c r="D31" s="193"/>
      <c r="E31" s="193"/>
      <c r="F31" s="193"/>
      <c r="G31" s="194"/>
      <c r="H31" s="194"/>
      <c r="I31" s="194"/>
      <c r="J31" s="194"/>
      <c r="K31" s="192"/>
      <c r="L31" s="192"/>
      <c r="M31" s="192"/>
      <c r="N31" s="192"/>
      <c r="O31" s="192"/>
      <c r="P31" s="192"/>
    </row>
    <row r="32" spans="1:30" x14ac:dyDescent="0.25">
      <c r="A32" s="155" t="s">
        <v>85</v>
      </c>
      <c r="D32" s="4"/>
      <c r="E32" s="4"/>
      <c r="K32" s="154"/>
      <c r="L32" s="154"/>
      <c r="M32" s="154"/>
      <c r="N32" s="154"/>
      <c r="O32" s="213"/>
      <c r="P32" s="213"/>
    </row>
    <row r="33" spans="1:220" x14ac:dyDescent="0.25">
      <c r="A33" s="144"/>
      <c r="D33" s="4"/>
      <c r="E33" s="4"/>
      <c r="K33" s="154"/>
      <c r="L33" s="154"/>
      <c r="M33" s="154"/>
      <c r="N33" s="154"/>
      <c r="O33" s="213"/>
    </row>
    <row r="34" spans="1:220" x14ac:dyDescent="0.25">
      <c r="A34" s="72" t="s">
        <v>86</v>
      </c>
      <c r="D34" s="4">
        <f>IF($C$16&lt;0,0,IF($C$16&gt;833000,833000,$C$16))</f>
        <v>0</v>
      </c>
      <c r="E34" s="152" t="s">
        <v>19</v>
      </c>
      <c r="F34" s="1" t="s">
        <v>82</v>
      </c>
      <c r="G34" s="167"/>
      <c r="H34" s="191"/>
      <c r="I34" s="100">
        <f>'Rider Rates'!$B$4</f>
        <v>4.6278999999999999E-3</v>
      </c>
      <c r="J34" s="214">
        <f>SUM(G34:I34)</f>
        <v>4.6278999999999999E-3</v>
      </c>
      <c r="K34" s="154" t="s">
        <v>87</v>
      </c>
      <c r="L34" s="189"/>
      <c r="M34" s="189"/>
      <c r="N34" s="189">
        <f>ROUND($D34*I34,2)</f>
        <v>0</v>
      </c>
      <c r="O34" s="189">
        <f>SUM(L34:N34)</f>
        <v>0</v>
      </c>
      <c r="P34" s="92">
        <f>'Rider Rates'!$D$4</f>
        <v>45657</v>
      </c>
    </row>
    <row r="35" spans="1:220" x14ac:dyDescent="0.25">
      <c r="A35" s="72" t="s">
        <v>88</v>
      </c>
      <c r="D35" s="4">
        <f>IF($C$16-833000&gt;0,$C$16-D34,0)</f>
        <v>0</v>
      </c>
      <c r="E35" s="152" t="s">
        <v>19</v>
      </c>
      <c r="F35" s="1" t="s">
        <v>82</v>
      </c>
      <c r="G35" s="167"/>
      <c r="H35" s="191"/>
      <c r="I35" s="100">
        <f>'Rider Rates'!$B$5</f>
        <v>1.7560000000000001E-4</v>
      </c>
      <c r="J35" s="215">
        <f>SUM(G35:I35)</f>
        <v>1.7560000000000001E-4</v>
      </c>
      <c r="K35" s="154" t="s">
        <v>87</v>
      </c>
      <c r="L35" s="189"/>
      <c r="M35" s="189"/>
      <c r="N35" s="189">
        <f>ROUND($D35*I35,2)</f>
        <v>0</v>
      </c>
      <c r="O35" s="189">
        <f>SUM(L35:N35)</f>
        <v>0</v>
      </c>
      <c r="P35" s="92">
        <f>'Rider Rates'!$D$4</f>
        <v>45657</v>
      </c>
    </row>
    <row r="36" spans="1:220" x14ac:dyDescent="0.25">
      <c r="A36" s="72" t="s">
        <v>190</v>
      </c>
      <c r="B36" t="s">
        <v>2</v>
      </c>
      <c r="D36" s="4">
        <f>IF('Customer Info'!$C$33=TRUE,0,IF(C16&lt;0,0,IF(C16&gt;2000,2000,C16)))</f>
        <v>0</v>
      </c>
      <c r="E36" s="152" t="s">
        <v>19</v>
      </c>
      <c r="F36" s="1" t="s">
        <v>82</v>
      </c>
      <c r="G36" s="167"/>
      <c r="H36" s="191"/>
      <c r="I36" s="112">
        <f>'Rider Rates'!$B$8</f>
        <v>4.6499999999999996E-3</v>
      </c>
      <c r="J36" s="216">
        <f>SUM(G36:I36)</f>
        <v>4.6499999999999996E-3</v>
      </c>
      <c r="K36" s="154" t="s">
        <v>87</v>
      </c>
      <c r="L36" s="189"/>
      <c r="M36" s="189"/>
      <c r="N36" s="189">
        <f>ROUND($D36*I36,2)</f>
        <v>0</v>
      </c>
      <c r="O36" s="189">
        <f>SUM(L36:N36)</f>
        <v>0</v>
      </c>
      <c r="P36" s="92">
        <f>'Rider Rates'!$D$7</f>
        <v>44531</v>
      </c>
    </row>
    <row r="37" spans="1:220" x14ac:dyDescent="0.25">
      <c r="A37" s="72" t="s">
        <v>191</v>
      </c>
      <c r="B37" t="s">
        <v>2</v>
      </c>
      <c r="D37" s="4">
        <f>IF('Customer Info'!$C$33=TRUE,0,IF(C16&gt;15000,13000,IF(C16&gt;2000,C16-2000,0)))</f>
        <v>0</v>
      </c>
      <c r="E37" s="152" t="s">
        <v>19</v>
      </c>
      <c r="F37" s="1" t="s">
        <v>82</v>
      </c>
      <c r="G37" s="167"/>
      <c r="H37" s="191"/>
      <c r="I37" s="112">
        <f>'Rider Rates'!$B$9</f>
        <v>4.1900000000000001E-3</v>
      </c>
      <c r="J37" s="216">
        <f>SUM(G37:I37)</f>
        <v>4.1900000000000001E-3</v>
      </c>
      <c r="K37" s="154" t="s">
        <v>87</v>
      </c>
      <c r="L37" s="189"/>
      <c r="M37" s="189"/>
      <c r="N37" s="189">
        <f>ROUND($D37*I37,2)</f>
        <v>0</v>
      </c>
      <c r="O37" s="189">
        <f>SUM(L37:N37)</f>
        <v>0</v>
      </c>
      <c r="P37" s="92">
        <f>'Rider Rates'!$D$7</f>
        <v>44531</v>
      </c>
    </row>
    <row r="38" spans="1:220" x14ac:dyDescent="0.25">
      <c r="A38" s="72" t="s">
        <v>192</v>
      </c>
      <c r="B38" t="s">
        <v>2</v>
      </c>
      <c r="D38" s="4">
        <f>IF('Customer Info'!$C$33=TRUE,0,IF(C16-D36-D37&gt;0,C16-D36-D37,0))</f>
        <v>0</v>
      </c>
      <c r="E38" s="152" t="s">
        <v>19</v>
      </c>
      <c r="F38" s="1" t="s">
        <v>82</v>
      </c>
      <c r="G38" s="167"/>
      <c r="H38" s="191"/>
      <c r="I38" s="112">
        <f>'Rider Rates'!$B$10</f>
        <v>3.63E-3</v>
      </c>
      <c r="J38" s="216">
        <f>SUM(G38:I38)</f>
        <v>3.63E-3</v>
      </c>
      <c r="K38" s="154" t="s">
        <v>87</v>
      </c>
      <c r="L38" s="189"/>
      <c r="M38" s="189"/>
      <c r="N38" s="189">
        <f>ROUND($D38*I38,2)</f>
        <v>0</v>
      </c>
      <c r="O38" s="189">
        <f>SUM(L38:N38)</f>
        <v>0</v>
      </c>
      <c r="P38" s="92">
        <f>'Rider Rates'!$D$7</f>
        <v>44531</v>
      </c>
    </row>
    <row r="39" spans="1:220" x14ac:dyDescent="0.25">
      <c r="A39" s="72" t="s">
        <v>93</v>
      </c>
      <c r="B39" s="72"/>
      <c r="C39" s="72"/>
      <c r="D39" s="217">
        <f>$N$30</f>
        <v>138.5</v>
      </c>
      <c r="E39" s="97" t="s">
        <v>94</v>
      </c>
      <c r="F39" s="84" t="s">
        <v>82</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5">
      <c r="A40" s="76" t="s">
        <v>95</v>
      </c>
      <c r="B40" s="72"/>
      <c r="C40" s="72"/>
      <c r="D40" s="111">
        <f>'Customer Info'!$B$22+'Customer Info'!$B$23-'Customer Info'!$B$24</f>
        <v>0</v>
      </c>
      <c r="E40" s="97" t="s">
        <v>19</v>
      </c>
      <c r="F40" s="84" t="s">
        <v>82</v>
      </c>
      <c r="G40" s="100">
        <f>'Rider Rates'!B24</f>
        <v>6.7849999999999994E-2</v>
      </c>
      <c r="H40" s="100"/>
      <c r="I40" s="100"/>
      <c r="J40" s="115">
        <f>SUM(G40:H40)</f>
        <v>6.7849999999999994E-2</v>
      </c>
      <c r="K40" s="94" t="s">
        <v>87</v>
      </c>
      <c r="L40" s="89">
        <f>ROUND(D40*G40,2)</f>
        <v>0</v>
      </c>
      <c r="M40" s="89"/>
      <c r="N40" s="89"/>
      <c r="O40" s="89">
        <f t="shared" si="0"/>
        <v>0</v>
      </c>
      <c r="P40" s="92">
        <f>'Rider Rates'!$D$23</f>
        <v>45444</v>
      </c>
    </row>
    <row r="41" spans="1:220" x14ac:dyDescent="0.25">
      <c r="A41" s="72" t="s">
        <v>96</v>
      </c>
      <c r="B41" s="72"/>
      <c r="C41" s="72"/>
      <c r="D41" s="111">
        <f>'Customer Info'!$B$22+'Customer Info'!$B$23-'Customer Info'!$B$24</f>
        <v>0</v>
      </c>
      <c r="E41" s="97" t="s">
        <v>19</v>
      </c>
      <c r="F41" s="84" t="s">
        <v>82</v>
      </c>
      <c r="G41" s="100">
        <f>'Rider Rates'!$B$42</f>
        <v>2.14E-3</v>
      </c>
      <c r="H41" s="100"/>
      <c r="I41" s="100"/>
      <c r="J41" s="115">
        <f>SUM(G41:H41)</f>
        <v>2.14E-3</v>
      </c>
      <c r="K41" s="94" t="s">
        <v>87</v>
      </c>
      <c r="L41" s="89">
        <f>ROUND(D41*G41,2)</f>
        <v>0</v>
      </c>
      <c r="M41" s="89"/>
      <c r="N41" s="89"/>
      <c r="O41" s="89">
        <f t="shared" si="0"/>
        <v>0</v>
      </c>
      <c r="P41" s="92">
        <f>'Rider Rates'!$D$42</f>
        <v>45444</v>
      </c>
    </row>
    <row r="42" spans="1:220" x14ac:dyDescent="0.25">
      <c r="A42" s="76" t="s">
        <v>97</v>
      </c>
      <c r="B42" s="72"/>
      <c r="C42" s="72"/>
      <c r="D42" s="111">
        <f>'Customer Info'!$B$22+'Customer Info'!$B$23-'Customer Info'!$B$24</f>
        <v>0</v>
      </c>
      <c r="E42" s="97" t="s">
        <v>19</v>
      </c>
      <c r="F42" s="84" t="s">
        <v>82</v>
      </c>
      <c r="G42" s="100">
        <f>'Rider Rates'!$B$49</f>
        <v>4.5009999999999999E-4</v>
      </c>
      <c r="H42" s="100"/>
      <c r="I42" s="100"/>
      <c r="J42" s="115">
        <f>SUM(G42:H42)</f>
        <v>4.5009999999999999E-4</v>
      </c>
      <c r="K42" s="94" t="s">
        <v>87</v>
      </c>
      <c r="L42" s="89">
        <f>ROUND(D42*G42,2)</f>
        <v>0</v>
      </c>
      <c r="M42" s="89"/>
      <c r="N42" s="89"/>
      <c r="O42" s="89">
        <f t="shared" si="0"/>
        <v>0</v>
      </c>
      <c r="P42" s="92">
        <f>'Rider Rates'!$D$49</f>
        <v>45657</v>
      </c>
    </row>
    <row r="43" spans="1:220" x14ac:dyDescent="0.25">
      <c r="A43" s="72" t="s">
        <v>98</v>
      </c>
      <c r="B43" s="72"/>
      <c r="C43" s="72"/>
      <c r="D43" s="4">
        <f>IF($C$16&lt;0,0,IF($C$16&gt;833000,833000,$C$16))</f>
        <v>0</v>
      </c>
      <c r="E43" s="97" t="s">
        <v>19</v>
      </c>
      <c r="F43" s="84" t="s">
        <v>82</v>
      </c>
      <c r="G43" s="100"/>
      <c r="H43" s="100"/>
      <c r="I43" s="100">
        <f>'Rider Rates'!D53</f>
        <v>1.8006999999999999E-3</v>
      </c>
      <c r="J43" s="100">
        <f>SUM(G43:I43)</f>
        <v>1.8006999999999999E-3</v>
      </c>
      <c r="K43" s="94" t="s">
        <v>87</v>
      </c>
      <c r="L43" s="89"/>
      <c r="M43" s="89"/>
      <c r="N43" s="189">
        <f>D43*J43</f>
        <v>0</v>
      </c>
      <c r="O43" s="89">
        <f t="shared" si="0"/>
        <v>0</v>
      </c>
      <c r="P43" s="92">
        <f>'Rider Rates'!E53</f>
        <v>45658</v>
      </c>
    </row>
    <row r="44" spans="1:220" x14ac:dyDescent="0.25">
      <c r="A44" s="76" t="s">
        <v>99</v>
      </c>
      <c r="B44" s="72"/>
      <c r="C44" s="72"/>
      <c r="D44" s="4">
        <f>IF($C$16&lt;0,0,$C$16)</f>
        <v>0</v>
      </c>
      <c r="E44" s="97" t="s">
        <v>19</v>
      </c>
      <c r="F44" s="84" t="s">
        <v>82</v>
      </c>
      <c r="G44" s="100"/>
      <c r="H44" s="100">
        <f>'Rider Rates'!B62</f>
        <v>5.8060000000000002E-4</v>
      </c>
      <c r="I44" s="100"/>
      <c r="J44" s="100">
        <f>SUM(G44:I44)</f>
        <v>5.8060000000000002E-4</v>
      </c>
      <c r="K44" s="94" t="s">
        <v>87</v>
      </c>
      <c r="L44" s="89"/>
      <c r="M44" s="89">
        <f>ROUND(D44*H44,2)</f>
        <v>0</v>
      </c>
      <c r="N44" s="116"/>
      <c r="O44" s="89">
        <f t="shared" si="0"/>
        <v>0</v>
      </c>
      <c r="P44" s="92">
        <f>'Rider Rates'!$D$61</f>
        <v>45383</v>
      </c>
    </row>
    <row r="45" spans="1:220" x14ac:dyDescent="0.25">
      <c r="A45" s="76" t="s">
        <v>99</v>
      </c>
      <c r="B45" s="72"/>
      <c r="C45" s="72"/>
      <c r="D45" s="349">
        <f>D14</f>
        <v>0</v>
      </c>
      <c r="E45" s="152" t="s">
        <v>214</v>
      </c>
      <c r="F45" s="1" t="s">
        <v>82</v>
      </c>
      <c r="G45" s="100"/>
      <c r="H45" s="90">
        <f>'Rider Rates'!B67</f>
        <v>6.76</v>
      </c>
      <c r="I45" s="100"/>
      <c r="J45" s="90">
        <f>SUM(G45:I45)</f>
        <v>6.76</v>
      </c>
      <c r="K45" s="94" t="s">
        <v>165</v>
      </c>
      <c r="L45" s="89"/>
      <c r="M45" s="89">
        <f>ROUND(D45*H45,2)</f>
        <v>0</v>
      </c>
      <c r="N45" s="116"/>
      <c r="O45" s="89">
        <f t="shared" si="0"/>
        <v>0</v>
      </c>
      <c r="P45" s="92">
        <f>'Rider Rates'!$D$66</f>
        <v>45383</v>
      </c>
    </row>
    <row r="46" spans="1:220" x14ac:dyDescent="0.25">
      <c r="A46" s="76" t="s">
        <v>193</v>
      </c>
      <c r="B46" s="72"/>
      <c r="C46" s="72"/>
      <c r="D46" s="4">
        <f>IF('Customer Info'!C35=TRUE,0,IF($C$16&lt;0,0,$C$16))</f>
        <v>0</v>
      </c>
      <c r="E46" s="97" t="s">
        <v>19</v>
      </c>
      <c r="F46" s="84" t="s">
        <v>82</v>
      </c>
      <c r="G46" s="100"/>
      <c r="H46" s="100"/>
      <c r="I46" s="100">
        <f>'Rider Rates'!$B$75+'Rider Rates'!$C$75</f>
        <v>0</v>
      </c>
      <c r="J46" s="100">
        <f>SUM(G46:I46)</f>
        <v>0</v>
      </c>
      <c r="K46" s="94" t="s">
        <v>87</v>
      </c>
      <c r="L46" s="89"/>
      <c r="M46" s="89"/>
      <c r="N46" s="189">
        <f>ROUND($D$46*'Rider Rates'!$B$75,2)+ROUND($D$46*'Rider Rates'!$C$75,2)</f>
        <v>0</v>
      </c>
      <c r="O46" s="128">
        <f t="shared" si="0"/>
        <v>0</v>
      </c>
      <c r="P46" s="92">
        <f>'Rider Rates'!$D$75</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5">
      <c r="A47" s="76" t="s">
        <v>193</v>
      </c>
      <c r="B47" s="72"/>
      <c r="C47" s="72"/>
      <c r="D47" s="349">
        <f>IF('Customer Info'!C35=TRUE,0,$D$28)</f>
        <v>0</v>
      </c>
      <c r="E47" s="97" t="s">
        <v>13</v>
      </c>
      <c r="F47" s="84" t="s">
        <v>82</v>
      </c>
      <c r="G47" s="100"/>
      <c r="H47" s="100"/>
      <c r="I47" s="90">
        <f>'Rider Rates'!$B$85</f>
        <v>0</v>
      </c>
      <c r="J47" s="90">
        <f>SUM(G47:I47)</f>
        <v>0</v>
      </c>
      <c r="K47" s="94" t="s">
        <v>87</v>
      </c>
      <c r="L47" s="89"/>
      <c r="M47" s="89"/>
      <c r="N47" s="189">
        <f>ROUND($D47*I47,2)</f>
        <v>0</v>
      </c>
      <c r="O47" s="128">
        <f>SUM(L47:N47)</f>
        <v>0</v>
      </c>
      <c r="P47" s="92">
        <f>'Rider Rates'!$D$85</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5">
      <c r="A48" s="76" t="s">
        <v>102</v>
      </c>
      <c r="B48" s="72"/>
      <c r="C48" s="72"/>
      <c r="D48" s="217">
        <f>$N$30</f>
        <v>138.5</v>
      </c>
      <c r="E48" s="97" t="s">
        <v>94</v>
      </c>
      <c r="F48" s="84" t="s">
        <v>82</v>
      </c>
      <c r="G48" s="117"/>
      <c r="H48" s="118"/>
      <c r="I48" s="119">
        <f>'Rider Rates'!$B$89</f>
        <v>4.94232E-2</v>
      </c>
      <c r="J48" s="119">
        <f>SUM(H48:I48)</f>
        <v>4.94232E-2</v>
      </c>
      <c r="K48" s="94"/>
      <c r="L48" s="89"/>
      <c r="M48" s="89"/>
      <c r="N48" s="89">
        <f>ROUND(N$30*I48,2)</f>
        <v>6.85</v>
      </c>
      <c r="O48" s="128">
        <f t="shared" si="0"/>
        <v>6.85</v>
      </c>
      <c r="P48" s="92">
        <f>'Rider Rates'!$D$89</f>
        <v>45562</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5">
      <c r="A49" s="76" t="s">
        <v>103</v>
      </c>
      <c r="B49" s="72"/>
      <c r="C49" s="72"/>
      <c r="D49" s="217">
        <f>$N$30</f>
        <v>138.5</v>
      </c>
      <c r="E49" s="97" t="s">
        <v>94</v>
      </c>
      <c r="F49" s="84" t="s">
        <v>82</v>
      </c>
      <c r="G49" s="120"/>
      <c r="H49" s="85"/>
      <c r="I49" s="119">
        <f>'Rider Rates'!$B$91</f>
        <v>6.6985699999999995E-2</v>
      </c>
      <c r="J49" s="119">
        <f>SUM(H49:I49)</f>
        <v>6.6985699999999995E-2</v>
      </c>
      <c r="K49" s="94"/>
      <c r="L49" s="89"/>
      <c r="M49" s="89"/>
      <c r="N49" s="89">
        <f>ROUND(N$30*I49,2)</f>
        <v>9.2799999999999994</v>
      </c>
      <c r="O49" s="128">
        <f t="shared" si="0"/>
        <v>9.2799999999999994</v>
      </c>
      <c r="P49" s="92">
        <f>'Rider Rates'!$D$91</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5">
      <c r="A50" s="76" t="s">
        <v>104</v>
      </c>
      <c r="B50" s="72"/>
      <c r="C50" s="72"/>
      <c r="D50" s="113"/>
      <c r="E50" s="97" t="s">
        <v>57</v>
      </c>
      <c r="F50" s="84"/>
      <c r="G50" s="120"/>
      <c r="H50" s="85"/>
      <c r="I50" s="121">
        <f>'Rider Rates'!$B$95</f>
        <v>17.53</v>
      </c>
      <c r="J50" s="121">
        <f>SUM(G50:I50)</f>
        <v>17.53</v>
      </c>
      <c r="K50" s="94"/>
      <c r="L50" s="89"/>
      <c r="M50" s="89"/>
      <c r="N50" s="89">
        <f>I50</f>
        <v>17.53</v>
      </c>
      <c r="O50" s="89">
        <f>SUM(L50:N50)</f>
        <v>17.53</v>
      </c>
      <c r="P50" s="92">
        <f>'Rider Rates'!$D$95</f>
        <v>45657</v>
      </c>
    </row>
    <row r="51" spans="1:221" x14ac:dyDescent="0.25">
      <c r="A51" s="72" t="s">
        <v>178</v>
      </c>
      <c r="B51" s="72"/>
      <c r="C51" s="72"/>
      <c r="D51" s="4">
        <f>$D$34</f>
        <v>0</v>
      </c>
      <c r="E51" s="97" t="s">
        <v>19</v>
      </c>
      <c r="F51" s="84" t="s">
        <v>82</v>
      </c>
      <c r="G51" s="100"/>
      <c r="H51" s="100"/>
      <c r="I51" s="100"/>
      <c r="J51" s="100">
        <f>'Rider Rates'!$B$100</f>
        <v>0</v>
      </c>
      <c r="K51" s="94" t="s">
        <v>87</v>
      </c>
      <c r="L51" s="89"/>
      <c r="M51" s="89"/>
      <c r="N51" s="189"/>
      <c r="O51" s="89">
        <f>ROUND($D51*('Rider Rates'!B$100),2)</f>
        <v>0</v>
      </c>
      <c r="P51" s="92">
        <f>'Rider Rates'!$D$100</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179</v>
      </c>
      <c r="B52" s="72"/>
      <c r="C52" s="72"/>
      <c r="D52" s="4">
        <f>$D$35</f>
        <v>0</v>
      </c>
      <c r="E52" s="97" t="s">
        <v>19</v>
      </c>
      <c r="F52" s="84" t="s">
        <v>82</v>
      </c>
      <c r="G52" s="100"/>
      <c r="H52" s="100"/>
      <c r="I52" s="100"/>
      <c r="J52" s="100">
        <f>'Rider Rates'!$B$101</f>
        <v>0</v>
      </c>
      <c r="K52" s="94" t="s">
        <v>87</v>
      </c>
      <c r="L52" s="89"/>
      <c r="M52" s="89"/>
      <c r="N52" s="189"/>
      <c r="O52" s="89">
        <f>ROUND($D52*('Rider Rates'!B$101),2)</f>
        <v>0</v>
      </c>
      <c r="P52" s="92">
        <f>'Rider Rates'!$D$101</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106</v>
      </c>
      <c r="B53" s="72"/>
      <c r="C53" s="72"/>
      <c r="D53" s="217">
        <f>$N$30</f>
        <v>138.5</v>
      </c>
      <c r="E53" s="97" t="s">
        <v>94</v>
      </c>
      <c r="F53" s="84" t="s">
        <v>82</v>
      </c>
      <c r="G53" s="120"/>
      <c r="H53" s="85"/>
      <c r="I53" s="119">
        <f>'Rider Rates'!$B$109</f>
        <v>0.2363101</v>
      </c>
      <c r="J53" s="119">
        <f>SUM(H53:I53)</f>
        <v>0.2363101</v>
      </c>
      <c r="K53" s="94"/>
      <c r="L53" s="89"/>
      <c r="M53" s="89"/>
      <c r="N53" s="89">
        <f>ROUND(N$30*I53,2)</f>
        <v>32.729999999999997</v>
      </c>
      <c r="O53" s="89">
        <f t="shared" si="0"/>
        <v>32.729999999999997</v>
      </c>
      <c r="P53" s="92">
        <f>'Rider Rates'!$D$109</f>
        <v>45622</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107</v>
      </c>
      <c r="B54" s="72"/>
      <c r="C54" s="72"/>
      <c r="D54" s="113"/>
      <c r="E54" s="97" t="s">
        <v>57</v>
      </c>
      <c r="F54" s="84"/>
      <c r="G54" s="120"/>
      <c r="H54" s="85"/>
      <c r="I54" s="121">
        <f>'Rider Rates'!$B$113</f>
        <v>0</v>
      </c>
      <c r="J54" s="121">
        <f>SUM(G54:I54)</f>
        <v>0</v>
      </c>
      <c r="K54" s="94"/>
      <c r="L54" s="89"/>
      <c r="M54" s="89"/>
      <c r="N54" s="89">
        <f>I54</f>
        <v>0</v>
      </c>
      <c r="O54" s="89">
        <f t="shared" ref="O54:O59" si="1">SUM(L54:N54)</f>
        <v>0</v>
      </c>
      <c r="P54" s="92">
        <f>'Rider Rates'!$D$113</f>
        <v>44894</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6" t="s">
        <v>108</v>
      </c>
      <c r="B55" s="72"/>
      <c r="C55" s="72"/>
      <c r="D55" s="113"/>
      <c r="E55" s="97" t="s">
        <v>57</v>
      </c>
      <c r="F55" s="84"/>
      <c r="G55" s="120"/>
      <c r="H55" s="85"/>
      <c r="I55" s="123">
        <f>'Rider Rates'!B126</f>
        <v>4.84</v>
      </c>
      <c r="J55" s="121">
        <f>SUM(G55:I55)</f>
        <v>4.84</v>
      </c>
      <c r="K55" s="94"/>
      <c r="L55" s="89"/>
      <c r="M55" s="89"/>
      <c r="N55" s="125">
        <f>I55</f>
        <v>4.84</v>
      </c>
      <c r="O55" s="89">
        <f t="shared" si="1"/>
        <v>4.84</v>
      </c>
      <c r="P55" s="92">
        <f>'Rider Rates'!D126</f>
        <v>45593</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6" t="s">
        <v>109</v>
      </c>
      <c r="B56" s="72"/>
      <c r="C56" s="72"/>
      <c r="D56" s="111">
        <f>IF('Customer Info'!$C$33=TRUE,0,'Customer Info'!$B$22+'Customer Info'!$B$23-'Customer Info'!$B$24)</f>
        <v>0</v>
      </c>
      <c r="E56" s="97" t="s">
        <v>19</v>
      </c>
      <c r="F56" s="84" t="s">
        <v>82</v>
      </c>
      <c r="G56" s="100">
        <f>'Rider Rates'!$B$117</f>
        <v>3.7618E-3</v>
      </c>
      <c r="H56" s="100"/>
      <c r="I56" s="119"/>
      <c r="J56" s="115">
        <f>SUM(G56:H56)</f>
        <v>3.7618E-3</v>
      </c>
      <c r="K56" s="94" t="s">
        <v>87</v>
      </c>
      <c r="L56" s="89">
        <f>ROUND(D56*G56,2)</f>
        <v>0</v>
      </c>
      <c r="M56" s="89"/>
      <c r="N56" s="89"/>
      <c r="O56" s="89">
        <f t="shared" si="1"/>
        <v>0</v>
      </c>
      <c r="P56" s="92">
        <f>'Rider Rates'!$D$117</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6" t="s">
        <v>110</v>
      </c>
      <c r="B57" s="72"/>
      <c r="C57" s="72"/>
      <c r="D57" s="4">
        <f>IF($C$16&lt;1,0,$C$16)</f>
        <v>0</v>
      </c>
      <c r="E57" s="97" t="s">
        <v>19</v>
      </c>
      <c r="F57" s="126" t="s">
        <v>82</v>
      </c>
      <c r="G57" s="99"/>
      <c r="H57" s="99"/>
      <c r="I57" s="183">
        <f>'Rider Rates'!B122</f>
        <v>0</v>
      </c>
      <c r="J57" s="183">
        <f>SUM(G57:I57)</f>
        <v>0</v>
      </c>
      <c r="K57" s="94" t="s">
        <v>87</v>
      </c>
      <c r="L57" s="89"/>
      <c r="M57" s="89"/>
      <c r="N57" s="89">
        <f>D57*I57</f>
        <v>0</v>
      </c>
      <c r="O57" s="89">
        <f t="shared" si="1"/>
        <v>0</v>
      </c>
      <c r="P57" s="92">
        <f>'Rider Rates'!D122</f>
        <v>45657</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169</v>
      </c>
      <c r="B58" s="72"/>
      <c r="C58" s="72"/>
      <c r="D58" s="111">
        <f>IF(C16&lt;0,0,IF(C16&gt;833000,833000,C16))</f>
        <v>0</v>
      </c>
      <c r="E58" s="97" t="s">
        <v>19</v>
      </c>
      <c r="F58" s="84" t="s">
        <v>82</v>
      </c>
      <c r="G58" s="195"/>
      <c r="H58" s="195"/>
      <c r="I58" s="195">
        <f>'Rider Rates'!$B$130</f>
        <v>2.9050000000000001E-4</v>
      </c>
      <c r="J58" s="195">
        <f>SUM(G58:I58)</f>
        <v>2.9050000000000001E-4</v>
      </c>
      <c r="K58" s="94" t="s">
        <v>87</v>
      </c>
      <c r="L58" s="196"/>
      <c r="M58" s="196"/>
      <c r="N58" s="196">
        <f>IF(D58*J58&gt;'Rider Rates'!$C$130,'Rider Rates'!$C$130,D58*J58)</f>
        <v>0</v>
      </c>
      <c r="O58" s="196">
        <f t="shared" si="1"/>
        <v>0</v>
      </c>
      <c r="P58" s="129">
        <f>'Rider Rates'!$E$130</f>
        <v>45658</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t="s">
        <v>170</v>
      </c>
      <c r="B59" s="72"/>
      <c r="C59" s="72"/>
      <c r="D59" s="4">
        <f>IF(C16&gt;833000,C16-833000,0)</f>
        <v>0</v>
      </c>
      <c r="E59" s="97" t="s">
        <v>19</v>
      </c>
      <c r="F59" s="84" t="s">
        <v>82</v>
      </c>
      <c r="G59" s="195"/>
      <c r="H59" s="195"/>
      <c r="I59" s="195">
        <f>'Rider Rates'!$B$131</f>
        <v>0</v>
      </c>
      <c r="J59" s="195">
        <f>SUM(G59:I59)</f>
        <v>0</v>
      </c>
      <c r="K59" s="94" t="s">
        <v>87</v>
      </c>
      <c r="L59" s="196"/>
      <c r="M59" s="196"/>
      <c r="N59" s="196">
        <f>D59*J59</f>
        <v>0</v>
      </c>
      <c r="O59" s="196">
        <f t="shared" si="1"/>
        <v>0</v>
      </c>
      <c r="P59" s="129">
        <f>'Rider Rates'!$E$131</f>
        <v>45658</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t="s">
        <v>112</v>
      </c>
      <c r="B60" s="72"/>
      <c r="C60" s="72"/>
      <c r="D60" s="111">
        <f>D16</f>
        <v>0</v>
      </c>
      <c r="E60" s="97" t="s">
        <v>19</v>
      </c>
      <c r="F60" s="126" t="s">
        <v>82</v>
      </c>
      <c r="G60" s="100"/>
      <c r="H60" s="100"/>
      <c r="I60" s="100">
        <f>'Rider Rates'!$B$137</f>
        <v>0</v>
      </c>
      <c r="J60" s="115">
        <f>SUM(G60:I60)</f>
        <v>0</v>
      </c>
      <c r="K60" s="94" t="s">
        <v>87</v>
      </c>
      <c r="L60" s="89"/>
      <c r="M60" s="89"/>
      <c r="N60" s="89">
        <f>D60*J60</f>
        <v>0</v>
      </c>
      <c r="O60" s="89">
        <f>SUM(L60:N60)</f>
        <v>0</v>
      </c>
      <c r="P60" s="92">
        <f>'Rider Rates'!$D$135</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t="s">
        <v>113</v>
      </c>
      <c r="B61" s="72"/>
      <c r="C61" s="72"/>
      <c r="D61" s="111"/>
      <c r="E61" s="97" t="s">
        <v>57</v>
      </c>
      <c r="F61" s="84" t="s">
        <v>82</v>
      </c>
      <c r="G61" s="127"/>
      <c r="H61" s="127"/>
      <c r="I61" s="127">
        <f>'Rider Rates'!$B$142</f>
        <v>0</v>
      </c>
      <c r="J61" s="127">
        <f>SUM(G61:I61)</f>
        <v>0</v>
      </c>
      <c r="K61" s="94"/>
      <c r="L61" s="128"/>
      <c r="M61" s="128"/>
      <c r="N61" s="128">
        <f>J61</f>
        <v>0</v>
      </c>
      <c r="O61" s="128">
        <f>SUM(L61:N61)</f>
        <v>0</v>
      </c>
      <c r="P61" s="129">
        <f>'Rider Rates'!$D$142</f>
        <v>44531</v>
      </c>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t="s">
        <v>114</v>
      </c>
      <c r="B62" s="72"/>
      <c r="C62" s="72"/>
      <c r="D62" s="111"/>
      <c r="E62" s="97"/>
      <c r="F62" s="84"/>
      <c r="G62" s="127"/>
      <c r="H62" s="127"/>
      <c r="I62" s="127"/>
      <c r="J62" s="127"/>
      <c r="K62" s="94"/>
      <c r="L62" s="128"/>
      <c r="M62" s="128"/>
      <c r="N62" s="128"/>
      <c r="O62" s="128"/>
      <c r="P62" s="129"/>
      <c r="Q62" s="84"/>
      <c r="R62" s="101"/>
      <c r="S62" s="94"/>
      <c r="T62" s="95"/>
      <c r="U62" s="72"/>
      <c r="V62" s="96"/>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30" t="s">
        <v>115</v>
      </c>
      <c r="B63" s="69"/>
      <c r="C63" s="69"/>
      <c r="D63" s="131"/>
      <c r="E63" s="132"/>
      <c r="F63" s="133"/>
      <c r="G63" s="133"/>
      <c r="H63" s="133"/>
      <c r="I63" s="133"/>
      <c r="J63" s="133"/>
      <c r="K63" s="134"/>
      <c r="L63" s="105">
        <f>SUM(L34:L62)</f>
        <v>0</v>
      </c>
      <c r="M63" s="105">
        <f>SUM(M34:M62)</f>
        <v>0</v>
      </c>
      <c r="N63" s="105">
        <f>SUM(N34:N62)</f>
        <v>71.22999999999999</v>
      </c>
      <c r="O63" s="105">
        <f>SUM(O34:O62)</f>
        <v>71.22999999999999</v>
      </c>
      <c r="P63" s="135"/>
    </row>
    <row r="64" spans="1:221" x14ac:dyDescent="0.25">
      <c r="A64" s="144"/>
      <c r="D64" s="4"/>
      <c r="E64" s="152"/>
      <c r="F64" s="1"/>
      <c r="G64" s="218"/>
      <c r="H64" s="218"/>
      <c r="I64" s="218"/>
      <c r="J64" s="218"/>
      <c r="K64" s="154"/>
      <c r="L64" s="154"/>
      <c r="M64" s="154"/>
      <c r="N64" s="154"/>
      <c r="O64" s="213"/>
      <c r="P64" s="154"/>
    </row>
    <row r="65" spans="1:16" x14ac:dyDescent="0.25">
      <c r="A65" s="204" t="s">
        <v>181</v>
      </c>
      <c r="B65" s="186"/>
      <c r="C65" s="186"/>
      <c r="D65" s="186"/>
      <c r="E65" s="186"/>
      <c r="F65" s="186"/>
      <c r="G65" s="186"/>
      <c r="H65" s="186"/>
      <c r="I65" s="186"/>
      <c r="J65" s="186"/>
      <c r="K65" s="186"/>
      <c r="L65" s="219">
        <f>L30+L63</f>
        <v>0</v>
      </c>
      <c r="M65" s="219">
        <f>M30+M63</f>
        <v>0</v>
      </c>
      <c r="N65" s="219">
        <f>N30+N63</f>
        <v>209.73</v>
      </c>
      <c r="O65" s="219">
        <f>O30+O63</f>
        <v>209.73</v>
      </c>
      <c r="P65" s="219"/>
    </row>
    <row r="66" spans="1:16" x14ac:dyDescent="0.25">
      <c r="A66" s="144"/>
      <c r="B66" s="144"/>
      <c r="C66" s="144"/>
      <c r="D66" s="144"/>
      <c r="E66" s="144"/>
      <c r="F66" s="144"/>
      <c r="G66" s="144"/>
      <c r="H66" s="144"/>
      <c r="I66" s="144"/>
      <c r="J66" s="144"/>
      <c r="K66" s="144"/>
      <c r="L66" s="144"/>
      <c r="M66" s="144"/>
      <c r="N66" s="144"/>
      <c r="O66" s="171"/>
      <c r="P66" s="171"/>
    </row>
    <row r="67" spans="1:16" x14ac:dyDescent="0.25">
      <c r="A67" s="144" t="s">
        <v>194</v>
      </c>
      <c r="B67" s="144"/>
      <c r="C67" s="144"/>
      <c r="D67" s="144"/>
      <c r="E67" s="144"/>
      <c r="F67" s="144"/>
      <c r="G67" s="144"/>
      <c r="H67" s="144"/>
      <c r="I67" s="144"/>
      <c r="J67" s="144"/>
      <c r="K67" s="144"/>
      <c r="L67" s="144"/>
      <c r="M67" s="144"/>
      <c r="N67" s="144"/>
      <c r="O67" s="171">
        <f>O26+O28+O63</f>
        <v>209.73</v>
      </c>
      <c r="P67" s="92">
        <v>40967</v>
      </c>
    </row>
    <row r="68" spans="1:16" x14ac:dyDescent="0.25">
      <c r="A68" s="144"/>
      <c r="B68" s="144"/>
      <c r="C68" s="144"/>
      <c r="D68" s="144"/>
      <c r="E68" s="144"/>
      <c r="F68" s="144"/>
      <c r="G68" s="220"/>
      <c r="H68" s="220"/>
      <c r="I68" s="220"/>
      <c r="J68" s="220"/>
      <c r="K68" s="154"/>
      <c r="L68" s="154"/>
      <c r="M68" s="154"/>
      <c r="N68" s="154"/>
      <c r="O68" s="171"/>
    </row>
    <row r="69" spans="1:16" x14ac:dyDescent="0.25">
      <c r="A69" s="155" t="s">
        <v>118</v>
      </c>
      <c r="B69" s="144"/>
      <c r="C69" s="144"/>
      <c r="D69" s="144"/>
      <c r="E69" s="144"/>
      <c r="F69" s="144"/>
      <c r="G69" s="220"/>
      <c r="H69" s="220"/>
      <c r="I69" s="220"/>
      <c r="J69" s="220"/>
      <c r="K69" s="154"/>
      <c r="L69" s="154"/>
      <c r="M69" s="154"/>
      <c r="N69" s="154"/>
      <c r="O69" s="142">
        <f>MAX($O$65,$O$67)</f>
        <v>209.73</v>
      </c>
    </row>
    <row r="70" spans="1:16" x14ac:dyDescent="0.25">
      <c r="A70" s="144"/>
      <c r="B70" s="144"/>
      <c r="C70" s="144"/>
      <c r="D70" s="144"/>
      <c r="E70" s="144"/>
      <c r="F70" s="144"/>
      <c r="G70" s="220"/>
      <c r="H70" s="220"/>
      <c r="I70" s="220"/>
      <c r="J70" s="220"/>
      <c r="K70" s="154"/>
      <c r="L70" s="154"/>
      <c r="M70" s="154"/>
      <c r="N70" s="154"/>
      <c r="O70" s="171"/>
    </row>
    <row r="71" spans="1:16" x14ac:dyDescent="0.25">
      <c r="A71" s="144"/>
      <c r="B71" s="144"/>
      <c r="C71" s="144"/>
      <c r="D71" s="144"/>
      <c r="E71" s="144"/>
      <c r="F71" s="144"/>
      <c r="G71" s="153" t="s">
        <v>195</v>
      </c>
      <c r="H71" s="220"/>
      <c r="I71" s="144"/>
      <c r="J71" s="220"/>
      <c r="K71" s="154"/>
      <c r="L71" s="143"/>
      <c r="M71" s="143"/>
      <c r="N71" s="143"/>
      <c r="O71" s="143">
        <f>ROUND(IF($C$16&lt;1,0,$O$69/($C$16*100)*10000),2)</f>
        <v>0</v>
      </c>
      <c r="P71" s="144" t="s">
        <v>120</v>
      </c>
    </row>
    <row r="72" spans="1:16" x14ac:dyDescent="0.25">
      <c r="A72" s="144"/>
      <c r="B72" s="144"/>
      <c r="C72" s="144"/>
      <c r="D72" s="144"/>
      <c r="E72" s="144"/>
      <c r="F72" s="144"/>
      <c r="G72" s="146" t="s">
        <v>121</v>
      </c>
      <c r="H72" s="221"/>
      <c r="I72" s="64"/>
      <c r="J72" s="221"/>
      <c r="K72" s="222"/>
      <c r="L72" s="72"/>
      <c r="M72" s="72"/>
      <c r="N72" s="72"/>
      <c r="O72" s="147">
        <f>ROUND(IF($C$16&lt;1,0,(L65)/($C$16*100)*10000),2)</f>
        <v>0</v>
      </c>
      <c r="P72" s="59" t="s">
        <v>120</v>
      </c>
    </row>
    <row r="73" spans="1:16" x14ac:dyDescent="0.25">
      <c r="A73" s="144"/>
      <c r="B73" s="144"/>
      <c r="C73" s="144"/>
      <c r="D73" s="144"/>
      <c r="E73" s="144"/>
      <c r="F73" s="144"/>
      <c r="G73" s="153"/>
      <c r="H73" s="220"/>
      <c r="I73" s="153"/>
      <c r="J73" s="220"/>
      <c r="K73" s="154"/>
      <c r="L73" s="154"/>
      <c r="M73" s="154"/>
      <c r="N73" s="154"/>
      <c r="O73" s="223"/>
      <c r="P73" s="144"/>
    </row>
    <row r="74" spans="1:16" ht="20.25" customHeight="1" x14ac:dyDescent="0.4">
      <c r="A74" s="44"/>
      <c r="B74" s="144"/>
      <c r="C74" s="144"/>
      <c r="D74" s="224" t="str">
        <f>IF('Customer Info'!$C$33=TRUE,"Notice: Billing Charge does not include Self Assessed KWH Tax"," ")</f>
        <v xml:space="preserve"> </v>
      </c>
      <c r="E74" s="44"/>
      <c r="F74" s="1"/>
      <c r="G74" s="225"/>
      <c r="H74" s="226"/>
      <c r="I74" s="213"/>
      <c r="J74" s="226"/>
      <c r="K74" s="144"/>
      <c r="L74" s="144"/>
      <c r="M74" s="144"/>
      <c r="N74" s="213"/>
    </row>
    <row r="75" spans="1:16" x14ac:dyDescent="0.25">
      <c r="A75" s="144"/>
      <c r="B75" s="144"/>
      <c r="C75" s="144"/>
      <c r="D75" s="174"/>
      <c r="E75" s="44"/>
      <c r="F75" s="1"/>
      <c r="G75" s="226"/>
      <c r="H75" s="226"/>
      <c r="I75" s="227"/>
      <c r="J75" s="226"/>
      <c r="K75" s="144"/>
      <c r="L75" s="144"/>
      <c r="M75" s="144"/>
      <c r="N75" s="144"/>
      <c r="O75" s="171"/>
    </row>
    <row r="76" spans="1:16" x14ac:dyDescent="0.25">
      <c r="A76" s="144"/>
      <c r="B76" s="144"/>
      <c r="C76" s="144"/>
      <c r="D76" s="174"/>
      <c r="E76" s="44"/>
      <c r="F76" s="1"/>
      <c r="G76" s="226"/>
      <c r="H76" s="226"/>
      <c r="I76" s="226"/>
      <c r="J76" s="226"/>
      <c r="K76" s="144"/>
      <c r="L76" s="144"/>
      <c r="M76" s="144"/>
      <c r="N76" s="144"/>
      <c r="O76" s="171"/>
    </row>
    <row r="77" spans="1:16" x14ac:dyDescent="0.25">
      <c r="A77" s="155"/>
      <c r="B77" s="144"/>
      <c r="C77" s="144"/>
      <c r="D77" s="144"/>
      <c r="E77" s="144"/>
      <c r="F77" s="144"/>
      <c r="G77" s="144"/>
      <c r="H77" s="144"/>
      <c r="J77" s="144"/>
      <c r="K77" s="144"/>
      <c r="L77" s="171"/>
      <c r="M77" s="171"/>
      <c r="N77" s="171"/>
      <c r="O77" s="142"/>
    </row>
    <row r="78" spans="1:16" x14ac:dyDescent="0.25">
      <c r="B78" s="144"/>
      <c r="C78" s="144"/>
      <c r="D78" s="144"/>
      <c r="E78" s="144"/>
      <c r="F78" s="144"/>
      <c r="G78" s="153"/>
      <c r="H78" s="144"/>
      <c r="I78" s="144"/>
      <c r="J78" s="144"/>
      <c r="K78" s="144"/>
      <c r="L78" s="228"/>
      <c r="M78" s="228"/>
      <c r="N78" s="228"/>
      <c r="O78" s="223"/>
      <c r="P78" s="144"/>
    </row>
    <row r="79" spans="1:16" x14ac:dyDescent="0.25">
      <c r="G79" s="64"/>
      <c r="H79" s="148"/>
      <c r="I79" s="64"/>
      <c r="J79" s="148"/>
      <c r="K79" s="148"/>
      <c r="L79" s="149"/>
      <c r="M79" s="149"/>
      <c r="N79" s="149"/>
      <c r="O79" s="150"/>
      <c r="P79" s="59"/>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row r="94" spans="1:1" x14ac:dyDescent="0.25">
      <c r="A94" s="432"/>
    </row>
    <row r="95" spans="1:1" x14ac:dyDescent="0.25">
      <c r="A95" s="432"/>
    </row>
  </sheetData>
  <sheetProtection algorithmName="SHA-512" hashValue="Yrc/bpKv40EYyS14taV8H2imm1J+wIwgaHSe4LJnkAeilrxz3oZeMmDj9gq6zWGHZYEBgLEW9Vuj05dbQL+nlQ==" saltValue="I6ioc1/Mik2TZfQnmK1Ym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1:A95"/>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274320</xdr:colOff>
                    <xdr:row>89</xdr:row>
                    <xdr:rowOff>45720</xdr:rowOff>
                  </from>
                  <to>
                    <xdr:col>16</xdr:col>
                    <xdr:colOff>30480</xdr:colOff>
                    <xdr:row>90</xdr:row>
                    <xdr:rowOff>83820</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4"/>
  <sheetViews>
    <sheetView showGridLines="0" topLeftCell="A22"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215</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216</v>
      </c>
      <c r="C6" s="229"/>
      <c r="D6" s="229"/>
      <c r="E6" s="229"/>
      <c r="F6" s="229"/>
      <c r="G6" s="229"/>
      <c r="H6" s="229"/>
      <c r="I6" s="229"/>
      <c r="J6" s="229"/>
      <c r="K6" s="229"/>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Rates'!$C$25</f>
        <v>6.6629999999999995E-2</v>
      </c>
      <c r="T12" s="205">
        <f>'Rider Rates'!$C$25</f>
        <v>6.6629999999999995E-2</v>
      </c>
      <c r="U12" s="205">
        <f>'Rider Rates'!$C$25</f>
        <v>6.6629999999999995E-2</v>
      </c>
      <c r="V12" s="205">
        <f>'Rider Rates'!$C$25</f>
        <v>6.6629999999999995E-2</v>
      </c>
      <c r="W12" s="205">
        <f>'Rider Rates'!$C$25</f>
        <v>6.6629999999999995E-2</v>
      </c>
      <c r="X12" s="205">
        <f>'Rider Rates'!$C$25</f>
        <v>6.6629999999999995E-2</v>
      </c>
      <c r="Y12" s="205">
        <f>'Rider Rates'!$C$25</f>
        <v>6.6629999999999995E-2</v>
      </c>
      <c r="Z12" s="205">
        <f>'Rider Rates'!$C$25</f>
        <v>6.6629999999999995E-2</v>
      </c>
      <c r="AA12" s="205">
        <f>'Rider Rates'!$C$25</f>
        <v>6.6629999999999995E-2</v>
      </c>
      <c r="AB12" s="205">
        <f>'Rider Rates'!$C$25</f>
        <v>6.6629999999999995E-2</v>
      </c>
      <c r="AC12" s="205">
        <f>'Rider Rates'!$C$25</f>
        <v>6.6629999999999995E-2</v>
      </c>
      <c r="AD12" s="205">
        <f>'Rider Rates'!$C$25</f>
        <v>6.6629999999999995E-2</v>
      </c>
      <c r="AE12" s="205"/>
      <c r="AF12" s="205"/>
    </row>
    <row r="13" spans="1:256" x14ac:dyDescent="0.25">
      <c r="C13" s="68" t="s">
        <v>184</v>
      </c>
      <c r="D13" s="68" t="s">
        <v>185</v>
      </c>
    </row>
    <row r="14" spans="1:256" x14ac:dyDescent="0.25">
      <c r="A14" s="158" t="s">
        <v>186</v>
      </c>
      <c r="B14" s="158"/>
      <c r="C14" s="206">
        <f>'Customer Info'!B19</f>
        <v>0</v>
      </c>
      <c r="D14" s="206">
        <f>ROUND(C14*C19,1)</f>
        <v>0</v>
      </c>
      <c r="E14" s="158" t="s">
        <v>13</v>
      </c>
      <c r="F14" s="160"/>
      <c r="G14" s="158" t="s">
        <v>2</v>
      </c>
      <c r="I14" s="207" t="s">
        <v>2</v>
      </c>
      <c r="J14" s="158"/>
      <c r="K14" s="158"/>
      <c r="L14" s="158"/>
      <c r="M14" s="158"/>
      <c r="N14" s="158"/>
    </row>
    <row r="15" spans="1:256" x14ac:dyDescent="0.25">
      <c r="A15" s="158" t="s">
        <v>187</v>
      </c>
      <c r="B15" s="158"/>
      <c r="C15" s="206">
        <f>'Customer Info'!B20</f>
        <v>0</v>
      </c>
      <c r="D15" s="206">
        <f>C15*C19</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5">
      <c r="A17" s="158" t="s">
        <v>217</v>
      </c>
      <c r="B17" s="158"/>
      <c r="C17" s="159">
        <f>'Customer Info'!$B$27</f>
        <v>0</v>
      </c>
      <c r="D17" s="159">
        <f>C17*C19</f>
        <v>0</v>
      </c>
      <c r="E17" s="158" t="s">
        <v>218</v>
      </c>
      <c r="F17" s="160"/>
      <c r="K17" s="158"/>
      <c r="L17" s="158"/>
      <c r="M17" s="158"/>
      <c r="N17" s="158"/>
    </row>
    <row r="18" spans="1:32" x14ac:dyDescent="0.25">
      <c r="A18" s="158" t="s">
        <v>219</v>
      </c>
      <c r="B18" s="158"/>
      <c r="C18" s="159"/>
      <c r="D18" s="159">
        <f>IF((D17-(ROUND(MAX(D14,D15)*0.5,1)))&lt;0,0,(D17-(ROUND(MAX(D14,D15)*0.5,1))))</f>
        <v>0</v>
      </c>
      <c r="E18" s="158" t="s">
        <v>220</v>
      </c>
      <c r="F18" s="160"/>
      <c r="K18" s="158"/>
      <c r="L18" s="158"/>
      <c r="M18" s="158"/>
      <c r="N18" s="158"/>
    </row>
    <row r="19" spans="1:32" x14ac:dyDescent="0.25">
      <c r="A19" s="158" t="s">
        <v>189</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5">
      <c r="A20" s="158" t="s">
        <v>2</v>
      </c>
      <c r="B20" s="158"/>
      <c r="C20" s="210" t="s">
        <v>2</v>
      </c>
      <c r="D20" s="453" t="s">
        <v>2</v>
      </c>
      <c r="E20" s="453"/>
      <c r="F20" s="453"/>
      <c r="G20" s="453"/>
      <c r="H20" s="453"/>
      <c r="K20" s="158"/>
      <c r="L20" s="158"/>
      <c r="M20" s="158"/>
      <c r="N20" s="158"/>
      <c r="O20" s="188"/>
    </row>
    <row r="21" spans="1:32" x14ac:dyDescent="0.25">
      <c r="A21" s="158" t="s">
        <v>2</v>
      </c>
      <c r="B21" s="158"/>
      <c r="C21" s="210" t="s">
        <v>2</v>
      </c>
      <c r="D21" s="453" t="s">
        <v>2</v>
      </c>
      <c r="E21" s="453"/>
      <c r="F21" s="453"/>
      <c r="G21" s="453"/>
      <c r="H21" s="453"/>
      <c r="I21" s="57"/>
      <c r="J21" s="57"/>
      <c r="K21" s="158"/>
      <c r="L21" s="158"/>
      <c r="M21" s="158"/>
      <c r="N21" s="158"/>
      <c r="O21" s="188"/>
    </row>
    <row r="22" spans="1:32" x14ac:dyDescent="0.25">
      <c r="A22" s="158"/>
      <c r="B22" s="158"/>
      <c r="C22" s="160"/>
      <c r="D22" s="160"/>
      <c r="E22" s="160"/>
      <c r="F22" s="160"/>
      <c r="G22" s="57"/>
      <c r="H22" s="57"/>
      <c r="I22" s="57"/>
      <c r="J22" s="57"/>
      <c r="K22" s="158"/>
      <c r="L22" s="158"/>
      <c r="M22" s="158"/>
      <c r="N22" s="158"/>
      <c r="O22" s="158"/>
    </row>
    <row r="23" spans="1:32" x14ac:dyDescent="0.25">
      <c r="A23" s="162" t="s">
        <v>72</v>
      </c>
      <c r="B23" s="163"/>
      <c r="C23" s="163"/>
      <c r="D23" s="163"/>
      <c r="E23" s="163"/>
      <c r="F23" s="163"/>
      <c r="G23" s="445" t="s">
        <v>73</v>
      </c>
      <c r="H23" s="446"/>
      <c r="I23" s="446"/>
      <c r="J23" s="447"/>
      <c r="K23" s="163"/>
      <c r="L23" s="448" t="s">
        <v>74</v>
      </c>
      <c r="M23" s="448"/>
      <c r="N23" s="448"/>
      <c r="O23" s="448"/>
    </row>
    <row r="24" spans="1:32" x14ac:dyDescent="0.25">
      <c r="G24" s="164" t="s">
        <v>75</v>
      </c>
      <c r="H24" s="164" t="s">
        <v>76</v>
      </c>
      <c r="I24" s="164" t="s">
        <v>77</v>
      </c>
      <c r="J24" s="118" t="s">
        <v>78</v>
      </c>
      <c r="L24" s="165" t="s">
        <v>75</v>
      </c>
      <c r="M24" s="165" t="s">
        <v>76</v>
      </c>
      <c r="N24" s="165" t="s">
        <v>77</v>
      </c>
      <c r="O24" s="165" t="s">
        <v>78</v>
      </c>
      <c r="P24" s="166" t="s">
        <v>79</v>
      </c>
    </row>
    <row r="25" spans="1:32" x14ac:dyDescent="0.25">
      <c r="A25" t="s">
        <v>80</v>
      </c>
      <c r="G25" s="189"/>
      <c r="H25" s="189"/>
      <c r="I25" s="189">
        <f>IF(D14&gt;2000,3600,825)</f>
        <v>825</v>
      </c>
      <c r="J25" s="189">
        <f>SUM(G25:I25)</f>
        <v>825</v>
      </c>
      <c r="L25" s="190"/>
      <c r="M25" s="190"/>
      <c r="N25" s="190">
        <f>I25</f>
        <v>825</v>
      </c>
      <c r="O25" s="128">
        <f>SUM(L25:N25)</f>
        <v>825</v>
      </c>
      <c r="P25" s="92">
        <v>44531</v>
      </c>
    </row>
    <row r="26" spans="1:32" x14ac:dyDescent="0.25">
      <c r="A26" t="s">
        <v>168</v>
      </c>
      <c r="D26" s="4">
        <f>D16</f>
        <v>0</v>
      </c>
      <c r="E26" s="97" t="s">
        <v>19</v>
      </c>
      <c r="F26" s="84" t="s">
        <v>82</v>
      </c>
      <c r="G26" s="191"/>
      <c r="H26" s="189"/>
      <c r="I26" s="189"/>
      <c r="J26" s="191"/>
      <c r="K26" s="94" t="s">
        <v>87</v>
      </c>
      <c r="L26" s="189"/>
      <c r="M26" s="190"/>
      <c r="N26" s="189"/>
      <c r="O26" s="128"/>
      <c r="P26" s="92"/>
    </row>
    <row r="27" spans="1:32" x14ac:dyDescent="0.25">
      <c r="A27" t="s">
        <v>211</v>
      </c>
      <c r="D27" s="375">
        <f>ROUND(MAX(D14,D15,('Customer Info'!B15-100)*0.6,('Customer Info'!B17-100)*0.6),1)</f>
        <v>0</v>
      </c>
      <c r="E27" s="158" t="s">
        <v>13</v>
      </c>
      <c r="F27" s="1" t="s">
        <v>82</v>
      </c>
      <c r="G27" s="337"/>
      <c r="H27" s="337"/>
      <c r="I27" s="337">
        <v>0</v>
      </c>
      <c r="J27" s="337">
        <f>SUM(G27:I27)</f>
        <v>0</v>
      </c>
      <c r="K27" s="154" t="s">
        <v>165</v>
      </c>
      <c r="L27" s="189"/>
      <c r="M27" s="189"/>
      <c r="N27" s="189">
        <f>ROUND($D27*I27,2)</f>
        <v>0</v>
      </c>
      <c r="O27" s="128">
        <f>SUM(L27:N27)</f>
        <v>0</v>
      </c>
      <c r="P27" s="92">
        <v>44531</v>
      </c>
      <c r="AF27" s="375"/>
    </row>
    <row r="28" spans="1:32" x14ac:dyDescent="0.25">
      <c r="A28" t="s">
        <v>212</v>
      </c>
      <c r="D28" s="349">
        <f>D18</f>
        <v>0</v>
      </c>
      <c r="E28" s="158" t="s">
        <v>213</v>
      </c>
      <c r="F28" s="1" t="s">
        <v>82</v>
      </c>
      <c r="G28" s="338"/>
      <c r="H28" s="337"/>
      <c r="I28" s="337">
        <v>0.7</v>
      </c>
      <c r="J28" s="338">
        <f>SUM(G28:I28)</f>
        <v>0.7</v>
      </c>
      <c r="K28" s="154" t="s">
        <v>165</v>
      </c>
      <c r="L28" s="189"/>
      <c r="M28" s="189"/>
      <c r="N28" s="189">
        <f>ROUND($D28*I28,2)</f>
        <v>0</v>
      </c>
      <c r="O28" s="189">
        <f>SUM(L28:N28)</f>
        <v>0</v>
      </c>
      <c r="P28" s="92">
        <v>44531</v>
      </c>
      <c r="AF28" s="375"/>
    </row>
    <row r="29" spans="1:32" x14ac:dyDescent="0.25">
      <c r="A29" s="144" t="s">
        <v>84</v>
      </c>
      <c r="B29" s="144"/>
      <c r="C29" s="144"/>
      <c r="D29" s="170"/>
      <c r="E29" s="170"/>
      <c r="F29" s="144"/>
      <c r="G29" s="144"/>
      <c r="H29" s="144"/>
      <c r="I29" s="144"/>
      <c r="J29" s="144"/>
      <c r="K29" s="172"/>
      <c r="L29" s="171"/>
      <c r="M29" s="171"/>
      <c r="N29" s="171">
        <f>SUM(N25:N28)</f>
        <v>825</v>
      </c>
      <c r="O29" s="171">
        <f>SUM(O25:O28)</f>
        <v>825</v>
      </c>
    </row>
    <row r="30" spans="1:32" x14ac:dyDescent="0.25">
      <c r="A30" s="192"/>
      <c r="B30" s="192"/>
      <c r="C30" s="193"/>
      <c r="D30" s="193"/>
      <c r="E30" s="193"/>
      <c r="F30" s="193"/>
      <c r="G30" s="194"/>
      <c r="H30" s="194"/>
      <c r="I30" s="194"/>
      <c r="J30" s="194"/>
      <c r="K30" s="192"/>
      <c r="L30" s="192"/>
      <c r="M30" s="192"/>
      <c r="N30" s="192"/>
      <c r="O30" s="192"/>
      <c r="P30" s="192"/>
    </row>
    <row r="31" spans="1:32" x14ac:dyDescent="0.25">
      <c r="A31" s="155" t="s">
        <v>85</v>
      </c>
      <c r="D31" s="4"/>
      <c r="E31" s="4"/>
      <c r="K31" s="154"/>
      <c r="L31" s="154"/>
      <c r="M31" s="154"/>
      <c r="N31" s="154"/>
      <c r="O31" s="213"/>
      <c r="P31" s="213"/>
    </row>
    <row r="32" spans="1:32" x14ac:dyDescent="0.25">
      <c r="A32" s="144"/>
      <c r="D32" s="4"/>
      <c r="E32" s="4"/>
      <c r="K32" s="154"/>
      <c r="L32" s="154"/>
      <c r="M32" s="154"/>
      <c r="N32" s="154"/>
      <c r="O32" s="213"/>
    </row>
    <row r="33" spans="1:220" x14ac:dyDescent="0.25">
      <c r="A33" s="72" t="s">
        <v>86</v>
      </c>
      <c r="D33" s="4">
        <f>IF($C$16&lt;0,0,IF($C$16&gt;833000,833000,$C$16))</f>
        <v>0</v>
      </c>
      <c r="E33" s="152" t="s">
        <v>19</v>
      </c>
      <c r="F33" s="1" t="s">
        <v>82</v>
      </c>
      <c r="G33" s="167"/>
      <c r="H33" s="191"/>
      <c r="I33" s="100">
        <f>'Rider Rates'!$B$4</f>
        <v>4.6278999999999999E-3</v>
      </c>
      <c r="J33" s="214">
        <f>SUM(G33:I33)</f>
        <v>4.6278999999999999E-3</v>
      </c>
      <c r="K33" s="154" t="s">
        <v>87</v>
      </c>
      <c r="L33" s="189"/>
      <c r="M33" s="189"/>
      <c r="N33" s="189">
        <f>ROUND($D33*I33,2)</f>
        <v>0</v>
      </c>
      <c r="O33" s="189">
        <f>SUM(L33:N33)</f>
        <v>0</v>
      </c>
      <c r="P33" s="92">
        <f>'Rider Rates'!$D$4</f>
        <v>45657</v>
      </c>
    </row>
    <row r="34" spans="1:220" x14ac:dyDescent="0.25">
      <c r="A34" s="72" t="s">
        <v>88</v>
      </c>
      <c r="D34" s="4">
        <f>IF($C$16-833000&gt;0,$C$16-D33,0)</f>
        <v>0</v>
      </c>
      <c r="E34" s="152" t="s">
        <v>19</v>
      </c>
      <c r="F34" s="1" t="s">
        <v>82</v>
      </c>
      <c r="G34" s="167"/>
      <c r="H34" s="191"/>
      <c r="I34" s="100">
        <f>'Rider Rates'!$B$5</f>
        <v>1.7560000000000001E-4</v>
      </c>
      <c r="J34" s="215">
        <f>SUM(G34:I34)</f>
        <v>1.7560000000000001E-4</v>
      </c>
      <c r="K34" s="154" t="s">
        <v>87</v>
      </c>
      <c r="L34" s="189"/>
      <c r="M34" s="189"/>
      <c r="N34" s="189">
        <f>ROUND($D34*I34,2)</f>
        <v>0</v>
      </c>
      <c r="O34" s="189">
        <f>SUM(L34:N34)</f>
        <v>0</v>
      </c>
      <c r="P34" s="92">
        <f>'Rider Rates'!$D$4</f>
        <v>45657</v>
      </c>
    </row>
    <row r="35" spans="1:220" x14ac:dyDescent="0.25">
      <c r="A35" s="72" t="s">
        <v>190</v>
      </c>
      <c r="B35" t="s">
        <v>2</v>
      </c>
      <c r="D35" s="4">
        <f>IF('Customer Info'!$C$33=TRUE,0,IF(C16&lt;0,0,IF(C16&gt;2000,2000,C16)))</f>
        <v>0</v>
      </c>
      <c r="E35" s="152" t="s">
        <v>19</v>
      </c>
      <c r="F35" s="1" t="s">
        <v>82</v>
      </c>
      <c r="G35" s="167"/>
      <c r="H35" s="191"/>
      <c r="I35" s="112">
        <f>'Rider Rates'!$B$8</f>
        <v>4.6499999999999996E-3</v>
      </c>
      <c r="J35" s="216">
        <f>SUM(G35:I35)</f>
        <v>4.6499999999999996E-3</v>
      </c>
      <c r="K35" s="154" t="s">
        <v>87</v>
      </c>
      <c r="L35" s="189"/>
      <c r="M35" s="189"/>
      <c r="N35" s="189">
        <f>ROUND($D35*I35,2)</f>
        <v>0</v>
      </c>
      <c r="O35" s="189">
        <f>SUM(L35:N35)</f>
        <v>0</v>
      </c>
      <c r="P35" s="92">
        <f>'Rider Rates'!$D$7</f>
        <v>44531</v>
      </c>
    </row>
    <row r="36" spans="1:220" x14ac:dyDescent="0.25">
      <c r="A36" s="72" t="s">
        <v>191</v>
      </c>
      <c r="B36" t="s">
        <v>2</v>
      </c>
      <c r="D36" s="4">
        <f>IF('Customer Info'!$C$33=TRUE,0,IF(C16&gt;15000,13000,IF(C16&gt;2000,C16-2000,0)))</f>
        <v>0</v>
      </c>
      <c r="E36" s="152" t="s">
        <v>19</v>
      </c>
      <c r="F36" s="1" t="s">
        <v>82</v>
      </c>
      <c r="G36" s="167"/>
      <c r="H36" s="191"/>
      <c r="I36" s="112">
        <f>'Rider Rates'!$B$9</f>
        <v>4.1900000000000001E-3</v>
      </c>
      <c r="J36" s="216">
        <f>SUM(G36:I36)</f>
        <v>4.1900000000000001E-3</v>
      </c>
      <c r="K36" s="154" t="s">
        <v>87</v>
      </c>
      <c r="L36" s="189"/>
      <c r="M36" s="189"/>
      <c r="N36" s="189">
        <f>ROUND($D36*I36,2)</f>
        <v>0</v>
      </c>
      <c r="O36" s="189">
        <f>SUM(L36:N36)</f>
        <v>0</v>
      </c>
      <c r="P36" s="92">
        <f>'Rider Rates'!$D$7</f>
        <v>44531</v>
      </c>
    </row>
    <row r="37" spans="1:220" x14ac:dyDescent="0.25">
      <c r="A37" s="72" t="s">
        <v>192</v>
      </c>
      <c r="B37" t="s">
        <v>2</v>
      </c>
      <c r="D37" s="4">
        <f>IF('Customer Info'!$C$33=TRUE,0,IF(C16-D35-D36&gt;0,C16-D35-D36,0))</f>
        <v>0</v>
      </c>
      <c r="E37" s="152" t="s">
        <v>19</v>
      </c>
      <c r="F37" s="1" t="s">
        <v>82</v>
      </c>
      <c r="G37" s="167"/>
      <c r="H37" s="191"/>
      <c r="I37" s="112">
        <f>'Rider Rates'!$B$10</f>
        <v>3.63E-3</v>
      </c>
      <c r="J37" s="216">
        <f>SUM(G37:I37)</f>
        <v>3.63E-3</v>
      </c>
      <c r="K37" s="154" t="s">
        <v>87</v>
      </c>
      <c r="L37" s="189"/>
      <c r="M37" s="189"/>
      <c r="N37" s="189">
        <f>ROUND($D37*I37,2)</f>
        <v>0</v>
      </c>
      <c r="O37" s="189">
        <f>SUM(L37:N37)</f>
        <v>0</v>
      </c>
      <c r="P37" s="92">
        <f>'Rider Rates'!$D$7</f>
        <v>44531</v>
      </c>
    </row>
    <row r="38" spans="1:220" x14ac:dyDescent="0.25">
      <c r="A38" s="72" t="s">
        <v>93</v>
      </c>
      <c r="B38" s="72"/>
      <c r="C38" s="72"/>
      <c r="D38" s="217">
        <f>$N$29</f>
        <v>825</v>
      </c>
      <c r="E38" s="97" t="s">
        <v>94</v>
      </c>
      <c r="F38" s="84" t="s">
        <v>82</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5">
      <c r="A39" s="76" t="s">
        <v>95</v>
      </c>
      <c r="B39" s="72"/>
      <c r="C39" s="72"/>
      <c r="D39" s="4">
        <f>'Customer Info'!$B$22+'Customer Info'!$B$23-'Customer Info'!$B$24</f>
        <v>0</v>
      </c>
      <c r="E39" s="97" t="s">
        <v>19</v>
      </c>
      <c r="F39" s="84" t="s">
        <v>82</v>
      </c>
      <c r="G39" s="100">
        <f>'Rider Rates'!B25</f>
        <v>6.6629999999999995E-2</v>
      </c>
      <c r="H39" s="100"/>
      <c r="I39" s="100"/>
      <c r="J39" s="115">
        <f>SUM(G39:H39)</f>
        <v>6.6629999999999995E-2</v>
      </c>
      <c r="K39" s="94" t="s">
        <v>87</v>
      </c>
      <c r="L39" s="89">
        <f>ROUND(D39*G39,2)</f>
        <v>0</v>
      </c>
      <c r="M39" s="89"/>
      <c r="N39" s="89"/>
      <c r="O39" s="89">
        <f t="shared" si="0"/>
        <v>0</v>
      </c>
      <c r="P39" s="92">
        <f>'Rider Rates'!$D$23</f>
        <v>45444</v>
      </c>
    </row>
    <row r="40" spans="1:220" x14ac:dyDescent="0.25">
      <c r="A40" s="72" t="s">
        <v>96</v>
      </c>
      <c r="B40" s="72"/>
      <c r="C40" s="72"/>
      <c r="D40" s="4">
        <f>'Customer Info'!$B$22+'Customer Info'!$B$23-'Customer Info'!$B$24</f>
        <v>0</v>
      </c>
      <c r="E40" s="97" t="s">
        <v>19</v>
      </c>
      <c r="F40" s="84" t="s">
        <v>82</v>
      </c>
      <c r="G40" s="100">
        <f>'Rider Rates'!$B$43</f>
        <v>1.66E-3</v>
      </c>
      <c r="H40" s="100"/>
      <c r="I40" s="100"/>
      <c r="J40" s="115">
        <f>SUM(G40:H40)</f>
        <v>1.66E-3</v>
      </c>
      <c r="K40" s="94" t="s">
        <v>87</v>
      </c>
      <c r="L40" s="89">
        <f>ROUND(D40*G40,2)</f>
        <v>0</v>
      </c>
      <c r="M40" s="89"/>
      <c r="N40" s="89"/>
      <c r="O40" s="89">
        <f t="shared" si="0"/>
        <v>0</v>
      </c>
      <c r="P40" s="92">
        <f>'Rider Rates'!$D$43</f>
        <v>45444</v>
      </c>
    </row>
    <row r="41" spans="1:220" x14ac:dyDescent="0.25">
      <c r="A41" s="76" t="s">
        <v>97</v>
      </c>
      <c r="B41" s="72"/>
      <c r="C41" s="72"/>
      <c r="D41" s="4">
        <f>'Customer Info'!$B$22+'Customer Info'!$B$23-'Customer Info'!$B$24</f>
        <v>0</v>
      </c>
      <c r="E41" s="97" t="s">
        <v>19</v>
      </c>
      <c r="F41" s="84" t="s">
        <v>82</v>
      </c>
      <c r="G41" s="100">
        <f>'Rider Rates'!$B$49</f>
        <v>4.5009999999999999E-4</v>
      </c>
      <c r="H41" s="100"/>
      <c r="I41" s="100"/>
      <c r="J41" s="115">
        <f>SUM(G41:H41)</f>
        <v>4.5009999999999999E-4</v>
      </c>
      <c r="K41" s="94" t="s">
        <v>87</v>
      </c>
      <c r="L41" s="89">
        <f>ROUND(D41*G41,2)</f>
        <v>0</v>
      </c>
      <c r="M41" s="89"/>
      <c r="N41" s="89"/>
      <c r="O41" s="89">
        <f t="shared" si="0"/>
        <v>0</v>
      </c>
      <c r="P41" s="92">
        <f>'Rider Rates'!$D$49</f>
        <v>45657</v>
      </c>
    </row>
    <row r="42" spans="1:220" x14ac:dyDescent="0.25">
      <c r="A42" s="72" t="s">
        <v>98</v>
      </c>
      <c r="B42" s="72"/>
      <c r="C42" s="72"/>
      <c r="D42" s="4">
        <f>IF($C$16&lt;0,0,IF($C$16&gt;833000,833000,$C$16))</f>
        <v>0</v>
      </c>
      <c r="E42" s="97" t="s">
        <v>19</v>
      </c>
      <c r="F42" s="84" t="s">
        <v>82</v>
      </c>
      <c r="G42" s="100"/>
      <c r="H42" s="100"/>
      <c r="I42" s="100">
        <f>'Rider Rates'!D53</f>
        <v>1.8006999999999999E-3</v>
      </c>
      <c r="J42" s="100">
        <f>SUM(G42:I42)</f>
        <v>1.8006999999999999E-3</v>
      </c>
      <c r="K42" s="94" t="s">
        <v>87</v>
      </c>
      <c r="L42" s="89"/>
      <c r="M42" s="89"/>
      <c r="N42" s="189">
        <f>D42*J42</f>
        <v>0</v>
      </c>
      <c r="O42" s="89">
        <f t="shared" si="0"/>
        <v>0</v>
      </c>
      <c r="P42" s="92">
        <f>'Rider Rates'!E53</f>
        <v>45658</v>
      </c>
    </row>
    <row r="43" spans="1:220" x14ac:dyDescent="0.25">
      <c r="A43" s="76" t="s">
        <v>99</v>
      </c>
      <c r="B43" s="72"/>
      <c r="C43" s="72"/>
      <c r="D43" s="4">
        <f>IF($C$16&lt;0,0,$C$16)</f>
        <v>0</v>
      </c>
      <c r="E43" s="97" t="s">
        <v>19</v>
      </c>
      <c r="F43" s="84" t="s">
        <v>82</v>
      </c>
      <c r="G43" s="100"/>
      <c r="H43" s="100">
        <f>'Rider Rates'!$B$63</f>
        <v>5.7019999999999998E-4</v>
      </c>
      <c r="I43" s="100"/>
      <c r="J43" s="100">
        <f>SUM(G43:I43)</f>
        <v>5.7019999999999998E-4</v>
      </c>
      <c r="K43" s="94" t="s">
        <v>87</v>
      </c>
      <c r="L43" s="89"/>
      <c r="M43" s="89">
        <f>ROUND(D43*H43,2)</f>
        <v>0</v>
      </c>
      <c r="N43" s="116"/>
      <c r="O43" s="89">
        <f t="shared" si="0"/>
        <v>0</v>
      </c>
      <c r="P43" s="92">
        <f>'Rider Rates'!$D$63</f>
        <v>45383</v>
      </c>
    </row>
    <row r="44" spans="1:220" x14ac:dyDescent="0.25">
      <c r="A44" s="76" t="s">
        <v>99</v>
      </c>
      <c r="B44" s="72"/>
      <c r="C44" s="72"/>
      <c r="D44" s="375">
        <f>D14</f>
        <v>0</v>
      </c>
      <c r="E44" s="152" t="s">
        <v>214</v>
      </c>
      <c r="F44" s="1" t="s">
        <v>82</v>
      </c>
      <c r="G44" s="100"/>
      <c r="H44" s="90">
        <f>'Rider Rates'!$B$68</f>
        <v>7.45</v>
      </c>
      <c r="I44" s="100"/>
      <c r="J44" s="90">
        <f>SUM(G44:I44)</f>
        <v>7.45</v>
      </c>
      <c r="K44" s="94" t="s">
        <v>165</v>
      </c>
      <c r="L44" s="89"/>
      <c r="M44" s="89">
        <f>ROUND(D44*H44,2)</f>
        <v>0</v>
      </c>
      <c r="N44" s="116"/>
      <c r="O44" s="89">
        <f t="shared" si="0"/>
        <v>0</v>
      </c>
      <c r="P44" s="92">
        <f>'Rider Rates'!$D$68</f>
        <v>45383</v>
      </c>
      <c r="AF44" s="349"/>
    </row>
    <row r="45" spans="1:220" x14ac:dyDescent="0.25">
      <c r="A45" s="76" t="s">
        <v>193</v>
      </c>
      <c r="B45" s="72"/>
      <c r="C45" s="72"/>
      <c r="D45" s="4">
        <f>IF('Customer Info'!C35=TRUE,0,IF($C$16&lt;0,0,$C$16))</f>
        <v>0</v>
      </c>
      <c r="E45" s="97" t="s">
        <v>19</v>
      </c>
      <c r="F45" s="84" t="s">
        <v>82</v>
      </c>
      <c r="G45" s="100"/>
      <c r="H45" s="100"/>
      <c r="I45" s="100">
        <f>'Rider Rates'!$B$75+'Rider Rates'!$C$75</f>
        <v>0</v>
      </c>
      <c r="J45" s="100">
        <f>SUM(G45:I45)</f>
        <v>0</v>
      </c>
      <c r="K45" s="94" t="s">
        <v>87</v>
      </c>
      <c r="L45" s="89"/>
      <c r="M45" s="89"/>
      <c r="N45" s="189">
        <f>ROUND($D$45*'Rider Rates'!$B$75,2)+ROUND($D$45*'Rider Rates'!$C$75,2)</f>
        <v>0</v>
      </c>
      <c r="O45" s="128">
        <f t="shared" si="0"/>
        <v>0</v>
      </c>
      <c r="P45" s="92">
        <f>'Rider Rates'!$D$75</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5">
      <c r="A46" s="76" t="s">
        <v>193</v>
      </c>
      <c r="B46" s="72"/>
      <c r="C46" s="72"/>
      <c r="D46" s="349">
        <f>IF('Customer Info'!C35=TRUE,0,$D$27)</f>
        <v>0</v>
      </c>
      <c r="E46" s="97" t="s">
        <v>13</v>
      </c>
      <c r="F46" s="84" t="s">
        <v>82</v>
      </c>
      <c r="G46" s="100"/>
      <c r="H46" s="100"/>
      <c r="I46" s="90">
        <f>'Rider Rates'!$B$85</f>
        <v>0</v>
      </c>
      <c r="J46" s="90">
        <f>SUM(G46:I46)</f>
        <v>0</v>
      </c>
      <c r="K46" s="94" t="s">
        <v>87</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5">
      <c r="A47" s="76" t="s">
        <v>102</v>
      </c>
      <c r="B47" s="72"/>
      <c r="C47" s="72"/>
      <c r="D47" s="217">
        <f>$N$29</f>
        <v>825</v>
      </c>
      <c r="E47" s="97" t="s">
        <v>94</v>
      </c>
      <c r="F47" s="84" t="s">
        <v>82</v>
      </c>
      <c r="G47" s="117"/>
      <c r="H47" s="118"/>
      <c r="I47" s="119">
        <f>'Rider Rates'!$B$89</f>
        <v>4.94232E-2</v>
      </c>
      <c r="J47" s="119">
        <f>SUM(H47:I47)</f>
        <v>4.94232E-2</v>
      </c>
      <c r="K47" s="94"/>
      <c r="L47" s="89"/>
      <c r="M47" s="89"/>
      <c r="N47" s="89">
        <f>ROUND(N$29*I47,2)</f>
        <v>40.770000000000003</v>
      </c>
      <c r="O47" s="128">
        <f t="shared" si="0"/>
        <v>40.770000000000003</v>
      </c>
      <c r="P47" s="92">
        <f>'Rider Rates'!$D$89</f>
        <v>45562</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5">
      <c r="A48" s="76" t="s">
        <v>103</v>
      </c>
      <c r="B48" s="72"/>
      <c r="C48" s="72"/>
      <c r="D48" s="217">
        <f>$N$29</f>
        <v>825</v>
      </c>
      <c r="E48" s="97" t="s">
        <v>94</v>
      </c>
      <c r="F48" s="84" t="s">
        <v>82</v>
      </c>
      <c r="G48" s="120"/>
      <c r="H48" s="85"/>
      <c r="I48" s="119">
        <f>'Rider Rates'!$B$91</f>
        <v>6.6985699999999995E-2</v>
      </c>
      <c r="J48" s="119">
        <f>SUM(H48:I48)</f>
        <v>6.6985699999999995E-2</v>
      </c>
      <c r="K48" s="94"/>
      <c r="L48" s="89"/>
      <c r="M48" s="89"/>
      <c r="N48" s="89">
        <f>ROUND(N$29*I48,2)</f>
        <v>55.26</v>
      </c>
      <c r="O48" s="128">
        <f t="shared" si="0"/>
        <v>55.26</v>
      </c>
      <c r="P48" s="92">
        <f>'Rider Rates'!$D$91</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5">
      <c r="A49" s="76" t="s">
        <v>104</v>
      </c>
      <c r="B49" s="72"/>
      <c r="C49" s="72"/>
      <c r="D49" s="376"/>
      <c r="E49" s="97" t="s">
        <v>57</v>
      </c>
      <c r="F49" s="84"/>
      <c r="G49" s="120"/>
      <c r="H49" s="85"/>
      <c r="I49" s="121">
        <f>'Rider Rates'!$B$95</f>
        <v>17.53</v>
      </c>
      <c r="J49" s="121">
        <f>SUM(G49:I49)</f>
        <v>17.53</v>
      </c>
      <c r="K49" s="94"/>
      <c r="L49" s="89"/>
      <c r="M49" s="89"/>
      <c r="N49" s="89">
        <f>I49</f>
        <v>17.53</v>
      </c>
      <c r="O49" s="89">
        <f>SUM(L49:N49)</f>
        <v>17.53</v>
      </c>
      <c r="P49" s="92">
        <f>'Rider Rates'!$D$95</f>
        <v>45657</v>
      </c>
    </row>
    <row r="50" spans="1:221" x14ac:dyDescent="0.25">
      <c r="A50" s="72" t="s">
        <v>178</v>
      </c>
      <c r="B50" s="72"/>
      <c r="C50" s="72"/>
      <c r="D50" s="4">
        <f>$D$33</f>
        <v>0</v>
      </c>
      <c r="E50" s="97" t="s">
        <v>19</v>
      </c>
      <c r="F50" s="84" t="s">
        <v>82</v>
      </c>
      <c r="G50" s="100"/>
      <c r="H50" s="100"/>
      <c r="I50" s="100"/>
      <c r="J50" s="100">
        <f>'Rider Rates'!$B$100</f>
        <v>0</v>
      </c>
      <c r="K50" s="94" t="s">
        <v>87</v>
      </c>
      <c r="L50" s="89"/>
      <c r="M50" s="89"/>
      <c r="N50" s="189"/>
      <c r="O50" s="89">
        <f>ROUND($D50*('Rider Rates'!B$100),2)</f>
        <v>0</v>
      </c>
      <c r="P50" s="92">
        <f>'Rider Rates'!$D$100</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179</v>
      </c>
      <c r="B51" s="72"/>
      <c r="C51" s="72"/>
      <c r="D51" s="4">
        <f>$D$34</f>
        <v>0</v>
      </c>
      <c r="E51" s="97" t="s">
        <v>19</v>
      </c>
      <c r="F51" s="84" t="s">
        <v>82</v>
      </c>
      <c r="G51" s="100"/>
      <c r="H51" s="100"/>
      <c r="I51" s="100"/>
      <c r="J51" s="100">
        <f>'Rider Rates'!$B$101</f>
        <v>0</v>
      </c>
      <c r="K51" s="94" t="s">
        <v>87</v>
      </c>
      <c r="L51" s="89"/>
      <c r="M51" s="89"/>
      <c r="N51" s="189"/>
      <c r="O51" s="89">
        <f>ROUND($D51*('Rider Rates'!B$101),2)</f>
        <v>0</v>
      </c>
      <c r="P51" s="92">
        <f>'Rider Rates'!$D$101</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106</v>
      </c>
      <c r="B52" s="72"/>
      <c r="C52" s="72"/>
      <c r="D52" s="217">
        <f>$N$29</f>
        <v>825</v>
      </c>
      <c r="E52" s="97" t="s">
        <v>94</v>
      </c>
      <c r="F52" s="84" t="s">
        <v>82</v>
      </c>
      <c r="G52" s="120"/>
      <c r="H52" s="85"/>
      <c r="I52" s="119">
        <f>'Rider Rates'!$B$109</f>
        <v>0.2363101</v>
      </c>
      <c r="J52" s="119">
        <f>SUM(H52:I52)</f>
        <v>0.2363101</v>
      </c>
      <c r="K52" s="94"/>
      <c r="L52" s="89"/>
      <c r="M52" s="89"/>
      <c r="N52" s="89">
        <f>ROUND(N$29*I52,2)</f>
        <v>194.96</v>
      </c>
      <c r="O52" s="89">
        <f t="shared" si="0"/>
        <v>194.96</v>
      </c>
      <c r="P52" s="92">
        <f>'Rider Rates'!$D$109</f>
        <v>45622</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107</v>
      </c>
      <c r="B53" s="72"/>
      <c r="C53" s="72"/>
      <c r="D53" s="113"/>
      <c r="E53" s="97" t="s">
        <v>57</v>
      </c>
      <c r="F53" s="84"/>
      <c r="G53" s="120"/>
      <c r="H53" s="85"/>
      <c r="I53" s="121">
        <f>'Rider Rates'!$B$113</f>
        <v>0</v>
      </c>
      <c r="J53" s="121">
        <f>SUM(G53:I53)</f>
        <v>0</v>
      </c>
      <c r="K53" s="94"/>
      <c r="L53" s="89"/>
      <c r="M53" s="89"/>
      <c r="N53" s="89">
        <f>I53</f>
        <v>0</v>
      </c>
      <c r="O53" s="89">
        <f t="shared" ref="O53:O58" si="1">SUM(L53:N53)</f>
        <v>0</v>
      </c>
      <c r="P53" s="92">
        <f>'Rider Rates'!$D$113</f>
        <v>44894</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108</v>
      </c>
      <c r="B54" s="72"/>
      <c r="C54" s="72"/>
      <c r="D54" s="113"/>
      <c r="E54" s="97" t="s">
        <v>57</v>
      </c>
      <c r="F54" s="84"/>
      <c r="G54" s="120"/>
      <c r="H54" s="85"/>
      <c r="I54" s="123">
        <f>'Rider Rates'!B126</f>
        <v>4.84</v>
      </c>
      <c r="J54" s="121">
        <f>SUM(G54:I54)</f>
        <v>4.84</v>
      </c>
      <c r="K54" s="94"/>
      <c r="L54" s="89"/>
      <c r="M54" s="89"/>
      <c r="N54" s="125">
        <f>I54</f>
        <v>4.84</v>
      </c>
      <c r="O54" s="89">
        <f t="shared" si="1"/>
        <v>4.84</v>
      </c>
      <c r="P54" s="92">
        <f>'Rider Rates'!D126</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6" t="s">
        <v>109</v>
      </c>
      <c r="B55" s="72"/>
      <c r="C55" s="72"/>
      <c r="D55" s="111">
        <f>IF('Customer Info'!$C$33=TRUE,0,'Customer Info'!$B$22+'Customer Info'!$B$23-'Customer Info'!$B$24)</f>
        <v>0</v>
      </c>
      <c r="E55" s="97" t="s">
        <v>19</v>
      </c>
      <c r="F55" s="84" t="s">
        <v>82</v>
      </c>
      <c r="G55" s="100">
        <f>'Rider Rates'!$B$118</f>
        <v>3.6865999999999999E-3</v>
      </c>
      <c r="H55" s="100"/>
      <c r="I55" s="119"/>
      <c r="J55" s="115">
        <f>SUM(G55:H55)</f>
        <v>3.6865999999999999E-3</v>
      </c>
      <c r="K55" s="94" t="s">
        <v>87</v>
      </c>
      <c r="L55" s="89">
        <f>ROUND(D55*G55,2)</f>
        <v>0</v>
      </c>
      <c r="M55" s="89"/>
      <c r="N55" s="89"/>
      <c r="O55" s="89">
        <f t="shared" si="1"/>
        <v>0</v>
      </c>
      <c r="P55" s="92">
        <f>'Rider Rates'!$D$118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6" t="s">
        <v>110</v>
      </c>
      <c r="B56" s="72"/>
      <c r="C56" s="72"/>
      <c r="D56" s="4">
        <f>IF($C$16&lt;1,0,$C$16)</f>
        <v>0</v>
      </c>
      <c r="E56" s="97" t="s">
        <v>19</v>
      </c>
      <c r="F56" s="126" t="s">
        <v>82</v>
      </c>
      <c r="G56" s="99"/>
      <c r="H56" s="99"/>
      <c r="I56" s="183">
        <f>'Rider Rates'!B122</f>
        <v>0</v>
      </c>
      <c r="J56" s="183">
        <f>SUM(G56:I56)</f>
        <v>0</v>
      </c>
      <c r="K56" s="94" t="s">
        <v>87</v>
      </c>
      <c r="L56" s="89"/>
      <c r="M56" s="89"/>
      <c r="N56" s="89">
        <f>D56*I56</f>
        <v>0</v>
      </c>
      <c r="O56" s="89">
        <f t="shared" si="1"/>
        <v>0</v>
      </c>
      <c r="P56" s="92">
        <f>'Rider Rates'!D122</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169</v>
      </c>
      <c r="B57" s="72"/>
      <c r="C57" s="72"/>
      <c r="D57" s="111">
        <f>IF(C16&lt;0,0,IF(C16&gt;833000,833000,C16))</f>
        <v>0</v>
      </c>
      <c r="E57" s="97" t="s">
        <v>19</v>
      </c>
      <c r="F57" s="84" t="s">
        <v>82</v>
      </c>
      <c r="G57" s="195"/>
      <c r="H57" s="195"/>
      <c r="I57" s="195">
        <f>'Rider Rates'!$B$130</f>
        <v>2.9050000000000001E-4</v>
      </c>
      <c r="J57" s="195">
        <f>SUM(G57:I57)</f>
        <v>2.9050000000000001E-4</v>
      </c>
      <c r="K57" s="94" t="s">
        <v>87</v>
      </c>
      <c r="L57" s="196"/>
      <c r="M57" s="196"/>
      <c r="N57" s="196">
        <f>IF(D57*J57&gt;'Rider Rates'!$C$130,'Rider Rates'!$C$130,D57*J57)</f>
        <v>0</v>
      </c>
      <c r="O57" s="196">
        <f t="shared" si="1"/>
        <v>0</v>
      </c>
      <c r="P57" s="129">
        <f>'Rider Rates'!$E$130</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170</v>
      </c>
      <c r="B58" s="72"/>
      <c r="C58" s="72"/>
      <c r="D58" s="4">
        <f>IF(C16&gt;833000,C16-833000,0)</f>
        <v>0</v>
      </c>
      <c r="E58" s="97" t="s">
        <v>19</v>
      </c>
      <c r="F58" s="84" t="s">
        <v>82</v>
      </c>
      <c r="G58" s="195"/>
      <c r="H58" s="195"/>
      <c r="I58" s="195">
        <f>'Rider Rates'!$B$131</f>
        <v>0</v>
      </c>
      <c r="J58" s="195">
        <f>SUM(G58:I58)</f>
        <v>0</v>
      </c>
      <c r="K58" s="94" t="s">
        <v>87</v>
      </c>
      <c r="L58" s="196"/>
      <c r="M58" s="196"/>
      <c r="N58" s="196">
        <f>D58*J58</f>
        <v>0</v>
      </c>
      <c r="O58" s="196">
        <f t="shared" si="1"/>
        <v>0</v>
      </c>
      <c r="P58" s="129">
        <f>'Rider Rates'!$E$131</f>
        <v>45658</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t="s">
        <v>112</v>
      </c>
      <c r="B59" s="72"/>
      <c r="C59" s="72"/>
      <c r="D59" s="111">
        <f>D16</f>
        <v>0</v>
      </c>
      <c r="E59" s="97" t="s">
        <v>19</v>
      </c>
      <c r="F59" s="126" t="s">
        <v>82</v>
      </c>
      <c r="G59" s="100"/>
      <c r="H59" s="100"/>
      <c r="I59" s="100">
        <f>'Rider Rates'!$B$137</f>
        <v>0</v>
      </c>
      <c r="J59" s="115">
        <f>SUM(G59:I59)</f>
        <v>0</v>
      </c>
      <c r="K59" s="94" t="s">
        <v>87</v>
      </c>
      <c r="L59" s="89"/>
      <c r="M59" s="89"/>
      <c r="N59" s="89">
        <f>D59*J59</f>
        <v>0</v>
      </c>
      <c r="O59" s="89">
        <f>SUM(L59:N59)</f>
        <v>0</v>
      </c>
      <c r="P59" s="92">
        <f>'Rider Rates'!$D$135</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t="s">
        <v>113</v>
      </c>
      <c r="B60" s="72"/>
      <c r="C60" s="72"/>
      <c r="D60" s="111"/>
      <c r="E60" s="97" t="s">
        <v>57</v>
      </c>
      <c r="F60" s="84" t="s">
        <v>82</v>
      </c>
      <c r="G60" s="127"/>
      <c r="H60" s="127"/>
      <c r="I60" s="127">
        <f>'Rider Rates'!$B$142</f>
        <v>0</v>
      </c>
      <c r="J60" s="127">
        <f>SUM(G60:I60)</f>
        <v>0</v>
      </c>
      <c r="K60" s="94"/>
      <c r="L60" s="128"/>
      <c r="M60" s="128"/>
      <c r="N60" s="128">
        <f>J60</f>
        <v>0</v>
      </c>
      <c r="O60" s="128">
        <f>SUM(L60:N60)</f>
        <v>0</v>
      </c>
      <c r="P60" s="129">
        <f>'Rider Rates'!$D$142</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t="s">
        <v>114</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130" t="s">
        <v>115</v>
      </c>
      <c r="B62" s="69"/>
      <c r="C62" s="69"/>
      <c r="D62" s="131"/>
      <c r="E62" s="132"/>
      <c r="F62" s="133"/>
      <c r="G62" s="133"/>
      <c r="H62" s="133"/>
      <c r="I62" s="133"/>
      <c r="J62" s="133"/>
      <c r="K62" s="134"/>
      <c r="L62" s="105">
        <f>SUM(L33:L61)</f>
        <v>0</v>
      </c>
      <c r="M62" s="105">
        <f>SUM(M33:M61)</f>
        <v>0</v>
      </c>
      <c r="N62" s="105">
        <f>SUM(N33:N61)</f>
        <v>313.35999999999996</v>
      </c>
      <c r="O62" s="105">
        <f>SUM(O33:O61)</f>
        <v>313.35999999999996</v>
      </c>
      <c r="P62" s="135"/>
    </row>
    <row r="63" spans="1:221" x14ac:dyDescent="0.25">
      <c r="A63" s="144"/>
      <c r="D63" s="4"/>
      <c r="E63" s="152"/>
      <c r="F63" s="1"/>
      <c r="G63" s="218"/>
      <c r="H63" s="218"/>
      <c r="I63" s="218"/>
      <c r="J63" s="218"/>
      <c r="K63" s="154"/>
      <c r="L63" s="154"/>
      <c r="M63" s="154"/>
      <c r="N63" s="154"/>
      <c r="O63" s="213"/>
      <c r="P63" s="154"/>
    </row>
    <row r="64" spans="1:221" x14ac:dyDescent="0.25">
      <c r="A64" s="204" t="s">
        <v>181</v>
      </c>
      <c r="B64" s="186"/>
      <c r="C64" s="186"/>
      <c r="D64" s="186"/>
      <c r="E64" s="186"/>
      <c r="F64" s="186"/>
      <c r="G64" s="186"/>
      <c r="H64" s="186"/>
      <c r="I64" s="186"/>
      <c r="J64" s="186"/>
      <c r="K64" s="186"/>
      <c r="L64" s="219">
        <f>L29+L62</f>
        <v>0</v>
      </c>
      <c r="M64" s="219">
        <f>M29+M62</f>
        <v>0</v>
      </c>
      <c r="N64" s="219">
        <f>N29+N62</f>
        <v>1138.3599999999999</v>
      </c>
      <c r="O64" s="219">
        <f>O29+O62</f>
        <v>1138.3599999999999</v>
      </c>
      <c r="P64" s="219"/>
    </row>
    <row r="65" spans="1:16" x14ac:dyDescent="0.25">
      <c r="A65" s="144"/>
      <c r="B65" s="144"/>
      <c r="C65" s="144"/>
      <c r="D65" s="144"/>
      <c r="E65" s="144"/>
      <c r="F65" s="144"/>
      <c r="G65" s="144"/>
      <c r="H65" s="144"/>
      <c r="I65" s="144"/>
      <c r="J65" s="144"/>
      <c r="K65" s="144"/>
      <c r="L65" s="144"/>
      <c r="M65" s="144"/>
      <c r="N65" s="144"/>
      <c r="O65" s="171"/>
      <c r="P65" s="171"/>
    </row>
    <row r="66" spans="1:16" x14ac:dyDescent="0.25">
      <c r="A66" s="144" t="s">
        <v>194</v>
      </c>
      <c r="B66" s="144"/>
      <c r="C66" s="144"/>
      <c r="D66" s="144"/>
      <c r="E66" s="144"/>
      <c r="F66" s="144"/>
      <c r="G66" s="144"/>
      <c r="H66" s="144"/>
      <c r="I66" s="144"/>
      <c r="J66" s="144"/>
      <c r="K66" s="144"/>
      <c r="L66" s="144"/>
      <c r="M66" s="144"/>
      <c r="N66" s="144"/>
      <c r="O66" s="171">
        <f>O25+O27+O62</f>
        <v>1138.3599999999999</v>
      </c>
      <c r="P66" s="92">
        <v>40967</v>
      </c>
    </row>
    <row r="67" spans="1:16" x14ac:dyDescent="0.25">
      <c r="A67" s="144"/>
      <c r="B67" s="144"/>
      <c r="C67" s="144"/>
      <c r="D67" s="144"/>
      <c r="E67" s="144"/>
      <c r="F67" s="144"/>
      <c r="G67" s="220"/>
      <c r="H67" s="220"/>
      <c r="I67" s="220"/>
      <c r="J67" s="220"/>
      <c r="K67" s="154"/>
      <c r="L67" s="154"/>
      <c r="M67" s="154"/>
      <c r="N67" s="154"/>
      <c r="O67" s="171"/>
    </row>
    <row r="68" spans="1:16" x14ac:dyDescent="0.25">
      <c r="A68" s="155" t="s">
        <v>118</v>
      </c>
      <c r="B68" s="144"/>
      <c r="C68" s="144"/>
      <c r="D68" s="144"/>
      <c r="E68" s="144"/>
      <c r="F68" s="144"/>
      <c r="G68" s="220"/>
      <c r="H68" s="220"/>
      <c r="I68" s="220"/>
      <c r="J68" s="220"/>
      <c r="K68" s="154"/>
      <c r="L68" s="154"/>
      <c r="M68" s="154"/>
      <c r="N68" s="154"/>
      <c r="O68" s="142">
        <f>MAX($O$64,$O$66)</f>
        <v>1138.3599999999999</v>
      </c>
    </row>
    <row r="69" spans="1:16" x14ac:dyDescent="0.25">
      <c r="A69" s="144"/>
      <c r="B69" s="144"/>
      <c r="C69" s="144"/>
      <c r="D69" s="144"/>
      <c r="E69" s="144"/>
      <c r="F69" s="144"/>
      <c r="G69" s="220"/>
      <c r="H69" s="220"/>
      <c r="I69" s="220"/>
      <c r="J69" s="220"/>
      <c r="K69" s="154"/>
      <c r="L69" s="154"/>
      <c r="M69" s="154"/>
      <c r="N69" s="154"/>
      <c r="O69" s="171"/>
    </row>
    <row r="70" spans="1:16" x14ac:dyDescent="0.25">
      <c r="A70" s="144"/>
      <c r="B70" s="144"/>
      <c r="C70" s="144"/>
      <c r="D70" s="144"/>
      <c r="E70" s="144"/>
      <c r="F70" s="144"/>
      <c r="G70" s="153" t="s">
        <v>195</v>
      </c>
      <c r="H70" s="220"/>
      <c r="I70" s="144"/>
      <c r="J70" s="220"/>
      <c r="K70" s="154"/>
      <c r="L70" s="143"/>
      <c r="M70" s="143"/>
      <c r="N70" s="143"/>
      <c r="O70" s="143">
        <f>ROUND(IF($C$16&lt;1,0,$O$68/($C$16*100)*10000),2)</f>
        <v>0</v>
      </c>
      <c r="P70" s="144" t="s">
        <v>120</v>
      </c>
    </row>
    <row r="71" spans="1:16" x14ac:dyDescent="0.25">
      <c r="A71" s="144"/>
      <c r="B71" s="144"/>
      <c r="C71" s="144"/>
      <c r="D71" s="144"/>
      <c r="E71" s="144"/>
      <c r="F71" s="144"/>
      <c r="G71" s="146" t="s">
        <v>121</v>
      </c>
      <c r="H71" s="221"/>
      <c r="I71" s="64"/>
      <c r="J71" s="221"/>
      <c r="K71" s="222"/>
      <c r="L71" s="72"/>
      <c r="M71" s="72"/>
      <c r="N71" s="72"/>
      <c r="O71" s="147">
        <f>ROUND(IF($C$16&lt;1,0,(L64)/($C$16*100)*10000),2)</f>
        <v>0</v>
      </c>
      <c r="P71" s="59" t="s">
        <v>120</v>
      </c>
    </row>
    <row r="72" spans="1:16" x14ac:dyDescent="0.25">
      <c r="A72" s="144"/>
      <c r="B72" s="144"/>
      <c r="C72" s="144"/>
      <c r="D72" s="144"/>
      <c r="E72" s="144"/>
      <c r="F72" s="144"/>
      <c r="G72" s="153"/>
      <c r="H72" s="220"/>
      <c r="I72" s="153"/>
      <c r="J72" s="220"/>
      <c r="K72" s="154"/>
      <c r="L72" s="154"/>
      <c r="M72" s="154"/>
      <c r="N72" s="154"/>
      <c r="O72" s="223"/>
      <c r="P72" s="144"/>
    </row>
    <row r="73" spans="1:16" ht="20.25" customHeight="1" x14ac:dyDescent="0.4">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5">
      <c r="A74" s="144"/>
      <c r="B74" s="144"/>
      <c r="C74" s="144"/>
      <c r="D74" s="174"/>
      <c r="E74" s="44"/>
      <c r="F74" s="1"/>
      <c r="G74" s="226"/>
      <c r="H74" s="226"/>
      <c r="I74" s="227"/>
      <c r="J74" s="226"/>
      <c r="K74" s="144"/>
      <c r="L74" s="144"/>
      <c r="M74" s="144"/>
      <c r="N74" s="144"/>
      <c r="O74" s="171"/>
    </row>
    <row r="75" spans="1:16" x14ac:dyDescent="0.25">
      <c r="A75" s="144"/>
      <c r="B75" s="144"/>
      <c r="C75" s="144"/>
      <c r="D75" s="174"/>
      <c r="E75" s="44"/>
      <c r="F75" s="1"/>
      <c r="G75" s="226"/>
      <c r="H75" s="226"/>
      <c r="I75" s="226"/>
      <c r="J75" s="226"/>
      <c r="K75" s="144"/>
      <c r="L75" s="144"/>
      <c r="M75" s="144"/>
      <c r="N75" s="144"/>
      <c r="O75" s="171"/>
    </row>
    <row r="76" spans="1:16" x14ac:dyDescent="0.25">
      <c r="A76" s="155"/>
      <c r="B76" s="144"/>
      <c r="C76" s="144"/>
      <c r="D76" s="144"/>
      <c r="E76" s="144"/>
      <c r="F76" s="144"/>
      <c r="G76" s="144"/>
      <c r="H76" s="144"/>
      <c r="J76" s="144"/>
      <c r="K76" s="144"/>
      <c r="L76" s="171"/>
      <c r="M76" s="171"/>
      <c r="N76" s="171"/>
      <c r="O76" s="142"/>
    </row>
    <row r="77" spans="1:16" x14ac:dyDescent="0.25">
      <c r="B77" s="144"/>
      <c r="C77" s="144"/>
      <c r="D77" s="144"/>
      <c r="E77" s="144"/>
      <c r="F77" s="144"/>
      <c r="G77" s="153"/>
      <c r="H77" s="144"/>
      <c r="I77" s="144"/>
      <c r="J77" s="144"/>
      <c r="K77" s="144"/>
      <c r="L77" s="228"/>
      <c r="M77" s="228"/>
      <c r="N77" s="228"/>
      <c r="O77" s="223"/>
      <c r="P77" s="144"/>
    </row>
    <row r="78" spans="1:16" x14ac:dyDescent="0.25">
      <c r="G78" s="64"/>
      <c r="H78" s="148"/>
      <c r="I78" s="64"/>
      <c r="J78" s="148"/>
      <c r="K78" s="148"/>
      <c r="L78" s="149"/>
      <c r="M78" s="149"/>
      <c r="N78" s="149"/>
      <c r="O78" s="150"/>
      <c r="P78" s="59"/>
    </row>
    <row r="80" spans="1:1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row r="94" spans="1:1" x14ac:dyDescent="0.25">
      <c r="A94" s="432"/>
    </row>
  </sheetData>
  <sheetProtection algorithmName="SHA-512" hashValue="o1bzU6sh7bDZJlTchMQW+vtS6TzRlj8gzak2w+EwWcLG9wpkzHT9b+rJuNsEZEuk3fYYVawtdq9uhkClHRWjhw==" saltValue="91oRJy1/d07DDs8G0vztw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274320</xdr:colOff>
                    <xdr:row>88</xdr:row>
                    <xdr:rowOff>45720</xdr:rowOff>
                  </from>
                  <to>
                    <xdr:col>16</xdr:col>
                    <xdr:colOff>30480</xdr:colOff>
                    <xdr:row>89</xdr:row>
                    <xdr:rowOff>83820</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9"/>
  <sheetViews>
    <sheetView showGridLines="0" topLeftCell="A19" zoomScale="80" zoomScaleNormal="80" workbookViewId="0">
      <selection activeCell="B22" sqref="B2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3" t="s">
        <v>52</v>
      </c>
      <c r="B1" s="433"/>
      <c r="C1" s="433"/>
      <c r="D1" s="433"/>
      <c r="E1" s="433"/>
      <c r="F1" s="433"/>
      <c r="G1" s="433"/>
      <c r="H1" s="433"/>
      <c r="I1" s="433"/>
      <c r="J1" s="433"/>
      <c r="K1" s="433"/>
      <c r="L1" s="433"/>
      <c r="M1" s="433"/>
      <c r="N1" s="433"/>
      <c r="O1" s="433"/>
      <c r="P1" s="433"/>
      <c r="Q1" s="52"/>
    </row>
    <row r="2" spans="1:59" ht="18" customHeight="1" x14ac:dyDescent="0.25">
      <c r="A2" s="434" t="s">
        <v>221</v>
      </c>
      <c r="B2" s="434"/>
      <c r="C2" s="434"/>
      <c r="D2" s="434"/>
      <c r="E2" s="434"/>
      <c r="F2" s="434"/>
      <c r="G2" s="434"/>
      <c r="H2" s="434"/>
      <c r="I2" s="434"/>
      <c r="J2" s="434"/>
      <c r="K2" s="434"/>
      <c r="L2" s="434"/>
      <c r="M2" s="434"/>
      <c r="N2" s="434"/>
      <c r="O2" s="434"/>
      <c r="P2" s="434"/>
    </row>
    <row r="3" spans="1:59" ht="17.399999999999999" x14ac:dyDescent="0.3">
      <c r="A3" s="434"/>
      <c r="B3" s="434"/>
      <c r="C3" s="434"/>
      <c r="D3" s="434"/>
      <c r="E3" s="434"/>
      <c r="F3" s="434"/>
      <c r="G3" s="434"/>
      <c r="H3" s="434"/>
      <c r="I3" s="434"/>
      <c r="J3" s="434"/>
      <c r="K3" s="434"/>
      <c r="L3" s="434"/>
      <c r="M3" s="434"/>
      <c r="N3" s="434"/>
      <c r="O3" s="434"/>
      <c r="P3" s="434"/>
      <c r="Q3" s="53"/>
    </row>
    <row r="4" spans="1:59" ht="15.6" x14ac:dyDescent="0.3">
      <c r="A4" s="435" t="str">
        <f>'Customer Info'!$B$12</f>
        <v>Breakdown of Charges Based on Entered Information</v>
      </c>
      <c r="B4" s="435"/>
      <c r="C4" s="435"/>
      <c r="D4" s="435"/>
      <c r="E4" s="435"/>
      <c r="F4" s="435"/>
      <c r="G4" s="435"/>
      <c r="H4" s="435"/>
      <c r="I4" s="435"/>
      <c r="J4" s="435"/>
      <c r="K4" s="435"/>
      <c r="L4" s="435"/>
      <c r="M4" s="435"/>
      <c r="N4" s="435"/>
      <c r="O4" s="435"/>
      <c r="P4" s="435"/>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45656</v>
      </c>
      <c r="B6" s="436" t="s">
        <v>222</v>
      </c>
      <c r="C6" s="436"/>
      <c r="D6" s="436"/>
      <c r="E6" s="436"/>
      <c r="F6" s="436"/>
      <c r="G6" s="436"/>
      <c r="H6" s="436"/>
      <c r="I6" s="436"/>
      <c r="J6" s="436"/>
      <c r="K6" s="436"/>
      <c r="L6" s="436"/>
      <c r="M6" s="436"/>
      <c r="N6" s="436"/>
      <c r="O6" s="436"/>
    </row>
    <row r="7" spans="1:59" x14ac:dyDescent="0.25">
      <c r="A7" s="437" t="s">
        <v>2</v>
      </c>
      <c r="B7" s="437"/>
      <c r="C7" s="437"/>
      <c r="D7" s="437"/>
      <c r="E7" s="437"/>
      <c r="F7" s="437"/>
      <c r="G7" s="437"/>
      <c r="H7" s="437"/>
      <c r="I7" s="437"/>
      <c r="J7" s="437"/>
      <c r="K7" s="437"/>
    </row>
    <row r="9" spans="1:59" ht="15" x14ac:dyDescent="0.25">
      <c r="A9" s="57" t="s">
        <v>5</v>
      </c>
      <c r="B9" s="58"/>
      <c r="C9" s="59">
        <f>'Customer Info'!B7</f>
        <v>0</v>
      </c>
      <c r="I9" s="60"/>
    </row>
    <row r="10" spans="1:59" ht="15" x14ac:dyDescent="0.25">
      <c r="A10" s="61" t="s">
        <v>55</v>
      </c>
      <c r="B10" s="58"/>
      <c r="C10" s="59">
        <f>'Customer Info'!B8</f>
        <v>0</v>
      </c>
    </row>
    <row r="11" spans="1:59" x14ac:dyDescent="0.25">
      <c r="A11" s="57" t="s">
        <v>56</v>
      </c>
      <c r="B11" s="62">
        <f>'Customer Info'!B9</f>
        <v>1</v>
      </c>
      <c r="C11" s="63" t="str">
        <f>LOOKUP($B$11,$S$11:$AD$11,S12:AD12)</f>
        <v>January</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59" ht="15" x14ac:dyDescent="0.25">
      <c r="A13" s="69" t="s">
        <v>70</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5">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71</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72</v>
      </c>
      <c r="B23" s="72"/>
      <c r="C23" s="72"/>
      <c r="D23" s="72"/>
      <c r="E23" s="72"/>
      <c r="F23" s="72"/>
      <c r="G23" s="438" t="s">
        <v>73</v>
      </c>
      <c r="H23" s="439"/>
      <c r="I23" s="439"/>
      <c r="J23" s="440"/>
      <c r="K23" s="83"/>
      <c r="L23" s="441" t="s">
        <v>74</v>
      </c>
      <c r="M23" s="442"/>
      <c r="N23" s="442"/>
      <c r="O23" s="443"/>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75</v>
      </c>
      <c r="H24" s="85" t="s">
        <v>76</v>
      </c>
      <c r="I24" s="85" t="s">
        <v>77</v>
      </c>
      <c r="J24" s="85" t="s">
        <v>78</v>
      </c>
      <c r="K24" s="72"/>
      <c r="L24" s="86" t="s">
        <v>75</v>
      </c>
      <c r="M24" s="86" t="s">
        <v>76</v>
      </c>
      <c r="N24" s="86" t="s">
        <v>77</v>
      </c>
      <c r="O24" s="86" t="s">
        <v>78</v>
      </c>
      <c r="P24" s="87" t="s">
        <v>79</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80</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81</v>
      </c>
      <c r="B26" s="72"/>
      <c r="C26" s="72"/>
      <c r="D26" s="4">
        <f>MAX($D$17,0)</f>
        <v>0</v>
      </c>
      <c r="E26" s="97" t="s">
        <v>19</v>
      </c>
      <c r="F26" s="84" t="s">
        <v>82</v>
      </c>
      <c r="G26" s="98"/>
      <c r="H26" s="89"/>
      <c r="I26" s="99">
        <v>2.6312499999999999E-2</v>
      </c>
      <c r="J26" s="100">
        <f>SUM(G26:I26)</f>
        <v>2.6312499999999999E-2</v>
      </c>
      <c r="K26" s="94" t="s">
        <v>83</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02" t="s">
        <v>84</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69" t="s">
        <v>85</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86</v>
      </c>
      <c r="B31" s="110"/>
      <c r="C31" s="110"/>
      <c r="D31" s="111">
        <f>IF($D$17&lt;0,0,IF($D$17&gt;833000,833000,$D$17))</f>
        <v>0</v>
      </c>
      <c r="E31" s="97" t="s">
        <v>19</v>
      </c>
      <c r="F31" s="84" t="s">
        <v>82</v>
      </c>
      <c r="G31" s="100"/>
      <c r="H31" s="100"/>
      <c r="I31" s="100">
        <f>'Rider Rates'!$B$4</f>
        <v>4.6278999999999999E-3</v>
      </c>
      <c r="J31" s="100">
        <f t="shared" ref="J31:J46" si="0">SUM(G31:I31)</f>
        <v>4.6278999999999999E-3</v>
      </c>
      <c r="K31" s="94" t="s">
        <v>87</v>
      </c>
      <c r="L31" s="89"/>
      <c r="M31" s="89"/>
      <c r="N31" s="89">
        <f t="shared" ref="N31:N37" si="1">ROUND(D31*I31,2)</f>
        <v>0</v>
      </c>
      <c r="O31" s="91">
        <f t="shared" ref="O31:O49"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88</v>
      </c>
      <c r="B32" s="72"/>
      <c r="C32" s="72"/>
      <c r="D32" s="4">
        <f>IF($D$17&gt;833000,$D$17-833000,0)</f>
        <v>0</v>
      </c>
      <c r="E32" s="97" t="s">
        <v>19</v>
      </c>
      <c r="F32" s="84" t="s">
        <v>82</v>
      </c>
      <c r="G32" s="100"/>
      <c r="H32" s="100"/>
      <c r="I32" s="100">
        <f>'Rider Rates'!$B$5</f>
        <v>1.7560000000000001E-4</v>
      </c>
      <c r="J32" s="100">
        <f t="shared" si="0"/>
        <v>1.7560000000000001E-4</v>
      </c>
      <c r="K32" s="94" t="s">
        <v>87</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89</v>
      </c>
      <c r="B33" s="72"/>
      <c r="C33" s="72"/>
      <c r="D33" s="111">
        <f>IF($D$17&lt;0,0,IF($D$17&gt;2000,2000,$D$17))</f>
        <v>0</v>
      </c>
      <c r="E33" s="97" t="s">
        <v>19</v>
      </c>
      <c r="F33" s="84" t="s">
        <v>82</v>
      </c>
      <c r="G33" s="100"/>
      <c r="H33" s="100"/>
      <c r="I33" s="112">
        <f>'Rider Rates'!$B$8</f>
        <v>4.6499999999999996E-3</v>
      </c>
      <c r="J33" s="112">
        <f t="shared" si="0"/>
        <v>4.6499999999999996E-3</v>
      </c>
      <c r="K33" s="94" t="s">
        <v>87</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90</v>
      </c>
      <c r="B34" s="72"/>
      <c r="C34" s="72"/>
      <c r="D34" s="111">
        <f>IF($D$17&lt;=2000,0,IF($D$17=0,0,IF($D$17-2000&gt;13000,13000,$D$17-2000)))</f>
        <v>0</v>
      </c>
      <c r="E34" s="97" t="s">
        <v>19</v>
      </c>
      <c r="F34" s="84" t="s">
        <v>82</v>
      </c>
      <c r="G34" s="100"/>
      <c r="H34" s="100"/>
      <c r="I34" s="112">
        <f>'Rider Rates'!$B$9</f>
        <v>4.1900000000000001E-3</v>
      </c>
      <c r="J34" s="112">
        <f t="shared" si="0"/>
        <v>4.1900000000000001E-3</v>
      </c>
      <c r="K34" s="94" t="s">
        <v>87</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91</v>
      </c>
      <c r="B35" s="72"/>
      <c r="C35" s="72"/>
      <c r="D35" s="111">
        <f>IF($D$17=0,0,IF($D$17-15000&gt;=0,$D$17-15000,0))</f>
        <v>0</v>
      </c>
      <c r="E35" s="97" t="s">
        <v>19</v>
      </c>
      <c r="F35" s="84" t="s">
        <v>82</v>
      </c>
      <c r="G35" s="100"/>
      <c r="H35" s="100"/>
      <c r="I35" s="112">
        <f>'Rider Rates'!$B$10</f>
        <v>3.63E-3</v>
      </c>
      <c r="J35" s="112">
        <f t="shared" si="0"/>
        <v>3.63E-3</v>
      </c>
      <c r="K35" s="94" t="s">
        <v>87</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223</v>
      </c>
      <c r="B36" s="72"/>
      <c r="C36" s="72"/>
      <c r="D36" s="113">
        <f>$N$27</f>
        <v>10</v>
      </c>
      <c r="E36" s="97" t="s">
        <v>94</v>
      </c>
      <c r="F36" s="84" t="s">
        <v>82</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92</v>
      </c>
      <c r="B37" s="72"/>
      <c r="C37" s="72"/>
      <c r="D37" s="111">
        <f>IF($D$17&lt;0,0,$D$17)</f>
        <v>0</v>
      </c>
      <c r="E37" s="97" t="s">
        <v>19</v>
      </c>
      <c r="F37" s="84" t="s">
        <v>82</v>
      </c>
      <c r="G37" s="100"/>
      <c r="H37" s="100"/>
      <c r="I37" s="100">
        <f>'Rider Rates'!B15</f>
        <v>0</v>
      </c>
      <c r="J37" s="100">
        <f>SUM(G37:I37)</f>
        <v>0</v>
      </c>
      <c r="K37" s="94" t="s">
        <v>87</v>
      </c>
      <c r="L37" s="89"/>
      <c r="M37" s="89"/>
      <c r="N37" s="89">
        <f t="shared" si="1"/>
        <v>0</v>
      </c>
      <c r="O37" s="89">
        <f t="shared" si="2"/>
        <v>0</v>
      </c>
      <c r="P37" s="92">
        <f>'Rider Rates'!$D$15</f>
        <v>45505</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93</v>
      </c>
      <c r="B38" s="72"/>
      <c r="C38" s="72"/>
      <c r="D38" s="113">
        <f>$N$27</f>
        <v>10</v>
      </c>
      <c r="E38" s="97" t="s">
        <v>94</v>
      </c>
      <c r="F38" s="84" t="s">
        <v>82</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2" t="s">
        <v>98</v>
      </c>
      <c r="B39" s="72"/>
      <c r="C39" s="72"/>
      <c r="D39" s="111"/>
      <c r="E39" s="97" t="s">
        <v>57</v>
      </c>
      <c r="F39" s="84"/>
      <c r="G39" s="100"/>
      <c r="H39" s="100"/>
      <c r="I39" s="100">
        <f>'Rider Rates'!D52</f>
        <v>1.17</v>
      </c>
      <c r="J39" s="115">
        <f>SUM(G39:I39)</f>
        <v>1.17</v>
      </c>
      <c r="K39" s="94"/>
      <c r="L39" s="89"/>
      <c r="M39" s="89"/>
      <c r="N39" s="89">
        <f>J39</f>
        <v>1.17</v>
      </c>
      <c r="O39" s="89">
        <f>SUM(L39:N39)</f>
        <v>1.17</v>
      </c>
      <c r="P39" s="92">
        <f>'Rider Rates'!E52</f>
        <v>45658</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99</v>
      </c>
      <c r="B40" s="72"/>
      <c r="C40" s="72"/>
      <c r="D40" s="111">
        <f>IF($D$17&lt;0,0,$D$17)</f>
        <v>0</v>
      </c>
      <c r="E40" s="97" t="s">
        <v>19</v>
      </c>
      <c r="F40" s="84" t="s">
        <v>82</v>
      </c>
      <c r="G40" s="100"/>
      <c r="H40" s="100">
        <f>'Rider Rates'!$B$59</f>
        <v>4.3837099999999997E-2</v>
      </c>
      <c r="I40" s="100"/>
      <c r="J40" s="100">
        <f>SUM(G40:I40)</f>
        <v>4.3837099999999997E-2</v>
      </c>
      <c r="K40" s="94" t="s">
        <v>87</v>
      </c>
      <c r="L40" s="89"/>
      <c r="M40" s="89">
        <f>ROUND(D40*H40,2)</f>
        <v>0</v>
      </c>
      <c r="N40" s="116"/>
      <c r="O40" s="89">
        <f t="shared" si="2"/>
        <v>0</v>
      </c>
      <c r="P40" s="92">
        <f>'Rider Rates'!$D$59</f>
        <v>45383</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100</v>
      </c>
      <c r="B41" s="72"/>
      <c r="C41" s="72"/>
      <c r="D41" s="111">
        <f>IF($D$17&lt;0,0,$D$17)</f>
        <v>0</v>
      </c>
      <c r="E41" s="97" t="s">
        <v>19</v>
      </c>
      <c r="F41" s="84" t="s">
        <v>82</v>
      </c>
      <c r="G41" s="100"/>
      <c r="H41" s="100"/>
      <c r="I41" s="100">
        <f>'Rider Rates'!$B$70</f>
        <v>8.6240000000000004E-4</v>
      </c>
      <c r="J41" s="100">
        <f t="shared" ref="J41" si="3">SUM(G41:I41)</f>
        <v>8.6240000000000004E-4</v>
      </c>
      <c r="K41" s="94" t="s">
        <v>87</v>
      </c>
      <c r="L41" s="89"/>
      <c r="M41" s="89"/>
      <c r="N41" s="89">
        <f>ROUND($D$41*'Rider Rates'!$B$70,2)</f>
        <v>0</v>
      </c>
      <c r="O41" s="91">
        <f t="shared" ref="O41" si="4">SUM(L41:N41)</f>
        <v>0</v>
      </c>
      <c r="P41" s="92">
        <f>'Rider Rates'!$D$70</f>
        <v>45532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101</v>
      </c>
      <c r="B42" s="72"/>
      <c r="C42" s="72"/>
      <c r="D42" s="111">
        <f>IF('Customer Info'!C35=TRUE,0,IF($D$17&lt;0,0,$D$17))</f>
        <v>0</v>
      </c>
      <c r="E42" s="97" t="s">
        <v>19</v>
      </c>
      <c r="F42" s="84" t="s">
        <v>82</v>
      </c>
      <c r="G42" s="100"/>
      <c r="H42" s="100"/>
      <c r="I42" s="100">
        <f>'Rider Rates'!$B$73+'Rider Rates'!$C$73</f>
        <v>0</v>
      </c>
      <c r="J42" s="100">
        <f t="shared" si="0"/>
        <v>0</v>
      </c>
      <c r="K42" s="94" t="s">
        <v>87</v>
      </c>
      <c r="L42" s="89"/>
      <c r="M42" s="89"/>
      <c r="N42" s="89">
        <f>ROUND($D$42*'Rider Rates'!$B$73,2)+ROUND($D$42*'Rider Rates'!$C$73,2)</f>
        <v>0</v>
      </c>
      <c r="O42" s="91">
        <f t="shared" si="2"/>
        <v>0</v>
      </c>
      <c r="P42" s="92">
        <f>'Rider Rates'!$D$73</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102</v>
      </c>
      <c r="B43" s="72"/>
      <c r="C43" s="72"/>
      <c r="D43" s="113">
        <f>$N$27</f>
        <v>10</v>
      </c>
      <c r="E43" s="97" t="s">
        <v>94</v>
      </c>
      <c r="F43" s="84" t="s">
        <v>82</v>
      </c>
      <c r="G43" s="117"/>
      <c r="H43" s="118"/>
      <c r="I43" s="119">
        <f>'Rider Rates'!$B$89</f>
        <v>4.94232E-2</v>
      </c>
      <c r="J43" s="119">
        <f>SUM(G43:I43)</f>
        <v>4.94232E-2</v>
      </c>
      <c r="K43" s="94"/>
      <c r="L43" s="89"/>
      <c r="M43" s="89"/>
      <c r="N43" s="89">
        <f>ROUND(D43*I43,2)</f>
        <v>0.49</v>
      </c>
      <c r="O43" s="89">
        <f t="shared" si="2"/>
        <v>0.49</v>
      </c>
      <c r="P43" s="92">
        <f>'Rider Rates'!$D$89</f>
        <v>45562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103</v>
      </c>
      <c r="B44" s="72"/>
      <c r="C44" s="72"/>
      <c r="D44" s="113">
        <f>$N$27</f>
        <v>10</v>
      </c>
      <c r="E44" s="97" t="s">
        <v>94</v>
      </c>
      <c r="F44" s="84" t="s">
        <v>82</v>
      </c>
      <c r="G44" s="120"/>
      <c r="H44" s="85"/>
      <c r="I44" s="119">
        <f>'Rider Rates'!$B$91</f>
        <v>6.6985699999999995E-2</v>
      </c>
      <c r="J44" s="119">
        <f t="shared" si="0"/>
        <v>6.6985699999999995E-2</v>
      </c>
      <c r="K44" s="94"/>
      <c r="L44" s="89"/>
      <c r="M44" s="89"/>
      <c r="N44" s="89">
        <f>ROUND(D44*I44,2)</f>
        <v>0.67</v>
      </c>
      <c r="O44" s="89">
        <f t="shared" si="2"/>
        <v>0.67</v>
      </c>
      <c r="P44" s="92">
        <f>'Rider Rates'!$D$91</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104</v>
      </c>
      <c r="B45" s="72"/>
      <c r="C45" s="72"/>
      <c r="D45" s="113"/>
      <c r="E45" s="97" t="s">
        <v>57</v>
      </c>
      <c r="F45" s="84"/>
      <c r="G45" s="120"/>
      <c r="H45" s="85"/>
      <c r="I45" s="121">
        <f>'Rider Rates'!$B$94</f>
        <v>2.08</v>
      </c>
      <c r="J45" s="121">
        <f>SUM(G45:I45)</f>
        <v>2.08</v>
      </c>
      <c r="K45" s="94"/>
      <c r="L45" s="89"/>
      <c r="M45" s="89"/>
      <c r="N45" s="89">
        <f>I45</f>
        <v>2.08</v>
      </c>
      <c r="O45" s="91">
        <f>SUM(L45:N45)</f>
        <v>2.08</v>
      </c>
      <c r="P45" s="92">
        <f>'Rider Rates'!$D$94</f>
        <v>45657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3">
        <f>$N$27</f>
        <v>10</v>
      </c>
      <c r="E46" s="97" t="s">
        <v>94</v>
      </c>
      <c r="F46" s="84" t="s">
        <v>82</v>
      </c>
      <c r="G46" s="120"/>
      <c r="H46" s="85"/>
      <c r="I46" s="119">
        <f>'Rider Rates'!$B$109</f>
        <v>0.2363101</v>
      </c>
      <c r="J46" s="122">
        <f t="shared" si="0"/>
        <v>0.2363101</v>
      </c>
      <c r="K46" s="94"/>
      <c r="L46" s="89"/>
      <c r="M46" s="89"/>
      <c r="N46" s="89">
        <f>ROUND(D46*I46,2)</f>
        <v>2.36</v>
      </c>
      <c r="O46" s="89">
        <f t="shared" si="2"/>
        <v>2.36</v>
      </c>
      <c r="P46" s="92">
        <f>'Rider Rates'!$D$109</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3"/>
      <c r="E47" s="97" t="s">
        <v>57</v>
      </c>
      <c r="F47" s="84"/>
      <c r="G47" s="120"/>
      <c r="H47" s="85"/>
      <c r="I47" s="121">
        <f>'Rider Rates'!$B$112</f>
        <v>0</v>
      </c>
      <c r="J47" s="121">
        <f t="shared" ref="J47:J52" si="5">SUM(G47:I47)</f>
        <v>0</v>
      </c>
      <c r="K47" s="94"/>
      <c r="L47" s="89"/>
      <c r="M47" s="89"/>
      <c r="N47" s="89">
        <f>I47</f>
        <v>0</v>
      </c>
      <c r="O47" s="89">
        <f>SUM(L47:N47)</f>
        <v>0</v>
      </c>
      <c r="P47" s="92">
        <f>'Rider Rates'!$D$112</f>
        <v>44894</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108</v>
      </c>
      <c r="B48" s="72"/>
      <c r="C48" s="72"/>
      <c r="D48" s="113"/>
      <c r="E48" s="97" t="s">
        <v>57</v>
      </c>
      <c r="F48" s="84"/>
      <c r="G48" s="120"/>
      <c r="H48" s="85"/>
      <c r="I48" s="123">
        <f>'Rider Rates'!B125</f>
        <v>0.97</v>
      </c>
      <c r="J48" s="124">
        <f t="shared" si="5"/>
        <v>0.97</v>
      </c>
      <c r="K48" s="94"/>
      <c r="L48" s="89"/>
      <c r="M48" s="89"/>
      <c r="N48" s="125">
        <f>I48</f>
        <v>0.97</v>
      </c>
      <c r="O48" s="89">
        <f>SUM(L48:N48)</f>
        <v>0.97</v>
      </c>
      <c r="P48" s="92">
        <f>'Rider Rates'!D125</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110</v>
      </c>
      <c r="B49" s="72"/>
      <c r="C49" s="72"/>
      <c r="D49" s="111">
        <f>IF($D$17&lt;1,0,$D$17)</f>
        <v>0</v>
      </c>
      <c r="E49" s="97" t="s">
        <v>19</v>
      </c>
      <c r="F49" s="126" t="s">
        <v>82</v>
      </c>
      <c r="G49" s="100"/>
      <c r="H49" s="100"/>
      <c r="I49" s="100">
        <f>'Rider Rates'!$B$121</f>
        <v>0</v>
      </c>
      <c r="J49" s="115">
        <f t="shared" si="5"/>
        <v>0</v>
      </c>
      <c r="K49" s="94" t="s">
        <v>87</v>
      </c>
      <c r="L49" s="89"/>
      <c r="M49" s="89"/>
      <c r="N49" s="89">
        <f>D49*J49</f>
        <v>0</v>
      </c>
      <c r="O49" s="89">
        <f t="shared" si="2"/>
        <v>0</v>
      </c>
      <c r="P49" s="92">
        <f>'Rider Rates'!D121</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111</v>
      </c>
      <c r="B50" s="72"/>
      <c r="C50" s="72"/>
      <c r="D50" s="111"/>
      <c r="E50" s="97" t="s">
        <v>57</v>
      </c>
      <c r="F50" s="84" t="s">
        <v>82</v>
      </c>
      <c r="G50" s="127"/>
      <c r="H50" s="127"/>
      <c r="I50" s="127">
        <f>'Rider Rates'!$B$129</f>
        <v>0.1</v>
      </c>
      <c r="J50" s="127">
        <f t="shared" si="5"/>
        <v>0.1</v>
      </c>
      <c r="K50" s="94"/>
      <c r="L50" s="128"/>
      <c r="M50" s="128"/>
      <c r="N50" s="128">
        <f>J50</f>
        <v>0.1</v>
      </c>
      <c r="O50" s="128">
        <f>SUM(L50:N50)</f>
        <v>0.1</v>
      </c>
      <c r="P50" s="129">
        <f>'Rider Rates'!E129</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112</v>
      </c>
      <c r="B51" s="72"/>
      <c r="C51" s="72"/>
      <c r="D51" s="111">
        <f>D17</f>
        <v>0</v>
      </c>
      <c r="E51" s="97" t="s">
        <v>19</v>
      </c>
      <c r="F51" s="126" t="s">
        <v>82</v>
      </c>
      <c r="G51" s="100"/>
      <c r="H51" s="100"/>
      <c r="I51" s="100">
        <f>'Rider Rates'!B134</f>
        <v>0</v>
      </c>
      <c r="J51" s="115">
        <f t="shared" si="5"/>
        <v>0</v>
      </c>
      <c r="K51" s="94" t="s">
        <v>87</v>
      </c>
      <c r="L51" s="89"/>
      <c r="M51" s="89"/>
      <c r="N51" s="89">
        <f>D51*J51</f>
        <v>0</v>
      </c>
      <c r="O51" s="89">
        <f>SUM(L51:N51)</f>
        <v>0</v>
      </c>
      <c r="P51" s="92">
        <f>'Rider Rates'!D134</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113</v>
      </c>
      <c r="B52" s="72"/>
      <c r="C52" s="72"/>
      <c r="D52" s="111"/>
      <c r="E52" s="97" t="s">
        <v>57</v>
      </c>
      <c r="F52" s="84" t="s">
        <v>82</v>
      </c>
      <c r="G52" s="127"/>
      <c r="H52" s="127"/>
      <c r="I52" s="127">
        <f>'Rider Rates'!$B$141</f>
        <v>0</v>
      </c>
      <c r="J52" s="127">
        <f t="shared" si="5"/>
        <v>0</v>
      </c>
      <c r="K52" s="94"/>
      <c r="L52" s="128"/>
      <c r="M52" s="128"/>
      <c r="N52" s="128">
        <f>J52</f>
        <v>0</v>
      </c>
      <c r="O52" s="128">
        <f>SUM(L52:N52)</f>
        <v>0</v>
      </c>
      <c r="P52" s="129">
        <f>'Rider Rates'!D141</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114</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130" t="s">
        <v>115</v>
      </c>
      <c r="B54" s="69"/>
      <c r="C54" s="69"/>
      <c r="D54" s="131"/>
      <c r="E54" s="132"/>
      <c r="F54" s="133"/>
      <c r="G54" s="133"/>
      <c r="H54" s="133"/>
      <c r="I54" s="133"/>
      <c r="J54" s="133"/>
      <c r="K54" s="134"/>
      <c r="L54" s="105">
        <f>SUM(L31:L53)</f>
        <v>0</v>
      </c>
      <c r="M54" s="105">
        <f>SUM(M31:M53)</f>
        <v>0</v>
      </c>
      <c r="N54" s="105">
        <f>SUM(N31:N53)</f>
        <v>7.839999999999999</v>
      </c>
      <c r="O54" s="105">
        <f>SUM(O31:O53)</f>
        <v>7.839999999999999</v>
      </c>
      <c r="P54" s="135"/>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72"/>
      <c r="C55" s="72"/>
      <c r="D55" s="111"/>
      <c r="E55" s="97"/>
      <c r="F55" s="84"/>
      <c r="G55" s="84"/>
      <c r="H55" s="84"/>
      <c r="I55" s="84"/>
      <c r="J55" s="101"/>
      <c r="K55" s="94"/>
      <c r="L55" s="84"/>
      <c r="M55" s="84"/>
      <c r="N55" s="84"/>
      <c r="O55" s="84"/>
      <c r="P55" s="137"/>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38" t="s">
        <v>116</v>
      </c>
      <c r="B56" s="106"/>
      <c r="C56" s="106"/>
      <c r="D56" s="106"/>
      <c r="E56" s="106"/>
      <c r="F56" s="106"/>
      <c r="G56" s="106"/>
      <c r="H56" s="106"/>
      <c r="I56" s="106"/>
      <c r="J56" s="106"/>
      <c r="K56" s="106"/>
      <c r="L56" s="139">
        <f>L27+L54</f>
        <v>0</v>
      </c>
      <c r="M56" s="139">
        <f>M27+M54</f>
        <v>0</v>
      </c>
      <c r="N56" s="139">
        <f>N27+N54</f>
        <v>17.84</v>
      </c>
      <c r="O56" s="140">
        <f>O27+O54</f>
        <v>17.84</v>
      </c>
      <c r="P56" s="140"/>
      <c r="Q56" s="84"/>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72"/>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102" t="s">
        <v>117</v>
      </c>
      <c r="B59" s="72"/>
      <c r="C59" s="72"/>
      <c r="D59" s="72"/>
      <c r="E59" s="72"/>
      <c r="F59" s="72"/>
      <c r="G59" s="72"/>
      <c r="H59" s="72"/>
      <c r="I59" s="72"/>
      <c r="J59" s="72"/>
      <c r="K59" s="72"/>
      <c r="L59" s="72"/>
      <c r="M59" s="72"/>
      <c r="N59" s="72"/>
      <c r="O59" s="95">
        <f>IF(D17&lt;0,MIN(O25,O56),O25)</f>
        <v>10</v>
      </c>
      <c r="P59" s="72"/>
      <c r="Q59" s="10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102" t="s">
        <v>2</v>
      </c>
      <c r="B60" s="102"/>
      <c r="C60" s="102"/>
      <c r="D60" s="102"/>
      <c r="E60" s="102"/>
      <c r="F60" s="102"/>
      <c r="G60" s="102"/>
      <c r="H60" s="102"/>
      <c r="I60" s="72"/>
      <c r="J60" s="72"/>
      <c r="K60" s="72"/>
      <c r="L60" s="72"/>
      <c r="M60" s="72"/>
      <c r="N60" s="72"/>
      <c r="O60" s="72"/>
      <c r="P60" s="72"/>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69" t="s">
        <v>118</v>
      </c>
      <c r="B61" s="72"/>
      <c r="C61" s="72"/>
      <c r="D61" s="72"/>
      <c r="E61" s="72"/>
      <c r="F61" s="72"/>
      <c r="G61" s="72"/>
      <c r="H61" s="72"/>
      <c r="I61" s="72"/>
      <c r="J61" s="72"/>
      <c r="K61" s="72"/>
      <c r="L61" s="72"/>
      <c r="M61" s="72"/>
      <c r="N61" s="72"/>
      <c r="O61" s="141">
        <f>IF($D$17&lt;0,O56,IF(O56&gt;O59,O56,O59))</f>
        <v>17.84</v>
      </c>
      <c r="P61" s="84"/>
      <c r="Q61" s="72"/>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69"/>
      <c r="B62" s="72"/>
      <c r="C62" s="72"/>
      <c r="D62" s="72"/>
      <c r="E62" s="72"/>
      <c r="F62" s="72"/>
      <c r="G62" s="72"/>
      <c r="H62" s="72"/>
      <c r="I62" s="72"/>
      <c r="J62" s="72"/>
      <c r="K62" s="72"/>
      <c r="L62" s="72"/>
      <c r="M62" s="72"/>
      <c r="N62" s="72"/>
      <c r="O62" s="142"/>
      <c r="P62" s="84"/>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x14ac:dyDescent="0.25">
      <c r="A63" s="69"/>
      <c r="B63" s="102"/>
      <c r="C63" s="102"/>
      <c r="D63" s="102"/>
      <c r="E63" s="102"/>
      <c r="F63" s="102"/>
      <c r="G63" s="102"/>
      <c r="H63" s="102"/>
      <c r="I63" s="102" t="s">
        <v>119</v>
      </c>
      <c r="J63" s="102"/>
      <c r="K63" s="102"/>
      <c r="L63" s="143"/>
      <c r="M63" s="143"/>
      <c r="N63" s="143"/>
      <c r="O63" s="143">
        <f>ROUND(IF($D$17&lt;1,0,O56/($D$17*100)*10000),2)</f>
        <v>0</v>
      </c>
      <c r="P63" s="144" t="s">
        <v>120</v>
      </c>
      <c r="Q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5">
      <c r="A64" s="144"/>
      <c r="B64" s="72"/>
      <c r="C64" s="72"/>
      <c r="D64" s="72"/>
      <c r="E64" s="72"/>
      <c r="F64" s="72"/>
      <c r="G64" s="72"/>
      <c r="H64" s="145"/>
      <c r="I64" s="146" t="s">
        <v>121</v>
      </c>
      <c r="J64" s="72"/>
      <c r="K64" s="72"/>
      <c r="L64" s="72"/>
      <c r="M64" s="72"/>
      <c r="N64" s="72"/>
      <c r="O64" s="147">
        <f>ROUND(IF($D$17&lt;1,0,(L56)/($D$17*100)*10000),2)</f>
        <v>0</v>
      </c>
      <c r="P64" s="59" t="s">
        <v>120</v>
      </c>
      <c r="Q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1:221" x14ac:dyDescent="0.25">
      <c r="A65" s="76"/>
      <c r="B65" s="72"/>
      <c r="C65" s="72"/>
      <c r="D65" s="111"/>
      <c r="E65" s="97"/>
      <c r="F65" s="84"/>
      <c r="G65" s="64"/>
      <c r="H65" s="148"/>
      <c r="I65" s="64"/>
      <c r="J65" s="59"/>
      <c r="K65" s="59"/>
      <c r="L65" s="149"/>
      <c r="M65" s="149"/>
      <c r="N65" s="149"/>
      <c r="O65" s="150"/>
      <c r="Q65" s="151"/>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5">
      <c r="A66" s="76"/>
      <c r="B66" s="72"/>
      <c r="C66" s="72"/>
      <c r="D66" s="111"/>
      <c r="E66" s="97"/>
      <c r="F66" s="84"/>
      <c r="Q66" s="151"/>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21" x14ac:dyDescent="0.25">
      <c r="A67" s="72"/>
      <c r="D67" s="4"/>
      <c r="E67" s="152"/>
      <c r="F67" s="84"/>
      <c r="Q67" s="151"/>
    </row>
    <row r="68" spans="1:221" x14ac:dyDescent="0.25">
      <c r="A68" s="153"/>
      <c r="D68" s="4"/>
      <c r="E68" s="152"/>
      <c r="F68" s="1"/>
      <c r="Q68" s="154"/>
    </row>
    <row r="69" spans="1:221" x14ac:dyDescent="0.25">
      <c r="A69" s="153"/>
      <c r="D69" s="4"/>
      <c r="E69" s="152"/>
      <c r="F69" s="1"/>
      <c r="Q69" s="154"/>
    </row>
    <row r="70" spans="1:221" x14ac:dyDescent="0.25">
      <c r="A70" s="155"/>
      <c r="B70" s="144"/>
      <c r="C70" s="144"/>
      <c r="D70" s="144"/>
      <c r="E70" s="144"/>
      <c r="F70" s="144"/>
    </row>
    <row r="71" spans="1:221" x14ac:dyDescent="0.25">
      <c r="B71" s="144"/>
      <c r="C71" s="144"/>
      <c r="D71" s="144"/>
      <c r="E71" s="144"/>
      <c r="F71" s="144"/>
      <c r="P71" s="144"/>
      <c r="Q71" s="144"/>
    </row>
    <row r="72" spans="1:221" x14ac:dyDescent="0.25">
      <c r="B72" s="144"/>
      <c r="C72" s="144"/>
      <c r="D72" s="144"/>
      <c r="E72" s="144"/>
      <c r="F72" s="144"/>
      <c r="P72" s="59"/>
      <c r="Q72" s="59"/>
    </row>
    <row r="75" spans="1:221" x14ac:dyDescent="0.25">
      <c r="A75" s="432"/>
    </row>
    <row r="76" spans="1:221" x14ac:dyDescent="0.25">
      <c r="A76" s="432"/>
    </row>
    <row r="77" spans="1:221" x14ac:dyDescent="0.25">
      <c r="A77" s="432"/>
    </row>
    <row r="78" spans="1:221" x14ac:dyDescent="0.25">
      <c r="A78" s="432"/>
    </row>
    <row r="79" spans="1:221" x14ac:dyDescent="0.25">
      <c r="A79" s="432"/>
    </row>
    <row r="80" spans="1:221"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sheetData>
  <sheetProtection algorithmName="SHA-512" hashValue="9dB9HB3xUbEq1aCDkAOmGD0B+/gVVd5HikVLVqiR7ipl7d/tLmamRCKpnad719CpSxTW8oy5g2x5y17DyDLY8g==" saltValue="s2ylpLs34QV+hNMROqYUJQ==" spinCount="100000" sheet="1" objects="1" scenarios="1"/>
  <mergeCells count="8">
    <mergeCell ref="A75:A89"/>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388620</xdr:colOff>
                    <xdr:row>82</xdr:row>
                    <xdr:rowOff>38100</xdr:rowOff>
                  </from>
                  <to>
                    <xdr:col>30</xdr:col>
                    <xdr:colOff>160020</xdr:colOff>
                    <xdr:row>83</xdr:row>
                    <xdr:rowOff>83820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4"/>
  <sheetViews>
    <sheetView showGridLines="0" topLeftCell="A24" zoomScale="80" zoomScaleNormal="80" workbookViewId="0">
      <selection activeCell="B22" sqref="B2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3" t="s">
        <v>52</v>
      </c>
      <c r="B1" s="433"/>
      <c r="C1" s="433"/>
      <c r="D1" s="433"/>
      <c r="E1" s="433"/>
      <c r="F1" s="433"/>
      <c r="G1" s="433"/>
      <c r="H1" s="433"/>
      <c r="I1" s="433"/>
      <c r="J1" s="433"/>
      <c r="K1" s="433"/>
      <c r="L1" s="433"/>
      <c r="M1" s="433"/>
      <c r="N1" s="433"/>
      <c r="O1" s="433"/>
      <c r="P1" s="433"/>
      <c r="Q1" s="52"/>
    </row>
    <row r="2" spans="1:59" ht="21" x14ac:dyDescent="0.4">
      <c r="A2" s="433" t="s">
        <v>141</v>
      </c>
      <c r="B2" s="433"/>
      <c r="C2" s="433"/>
      <c r="D2" s="433"/>
      <c r="E2" s="433"/>
      <c r="F2" s="433"/>
      <c r="G2" s="433"/>
      <c r="H2" s="433"/>
      <c r="I2" s="433"/>
      <c r="J2" s="433"/>
      <c r="K2" s="433"/>
      <c r="L2" s="433"/>
      <c r="M2" s="433"/>
      <c r="N2" s="433"/>
      <c r="O2" s="433"/>
      <c r="P2" s="433"/>
    </row>
    <row r="3" spans="1:59" ht="17.399999999999999" x14ac:dyDescent="0.3">
      <c r="A3" s="450" t="s">
        <v>150</v>
      </c>
      <c r="B3" s="450"/>
      <c r="C3" s="450"/>
      <c r="D3" s="450"/>
      <c r="E3" s="450"/>
      <c r="F3" s="450"/>
      <c r="G3" s="450"/>
      <c r="H3" s="450"/>
      <c r="I3" s="450"/>
      <c r="J3" s="450"/>
      <c r="K3" s="450"/>
      <c r="L3" s="450"/>
      <c r="M3" s="450"/>
      <c r="N3" s="450"/>
      <c r="O3" s="450"/>
      <c r="P3" s="450"/>
      <c r="Q3" s="53"/>
    </row>
    <row r="4" spans="1:59" ht="15.6" x14ac:dyDescent="0.3">
      <c r="A4" s="435" t="str">
        <f>'Customer Info'!$B$12</f>
        <v>Breakdown of Charges Based on Entered Information</v>
      </c>
      <c r="B4" s="435"/>
      <c r="C4" s="435"/>
      <c r="D4" s="435"/>
      <c r="E4" s="435"/>
      <c r="F4" s="435"/>
      <c r="G4" s="435"/>
      <c r="H4" s="435"/>
      <c r="I4" s="435"/>
      <c r="J4" s="435"/>
      <c r="K4" s="435"/>
      <c r="L4" s="435"/>
      <c r="M4" s="435"/>
      <c r="N4" s="435"/>
      <c r="O4" s="435"/>
      <c r="P4" s="435"/>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45656</v>
      </c>
      <c r="B6" s="436" t="s">
        <v>151</v>
      </c>
      <c r="C6" s="436"/>
      <c r="D6" s="436"/>
      <c r="E6" s="436"/>
      <c r="F6" s="436"/>
      <c r="G6" s="436"/>
      <c r="H6" s="436"/>
      <c r="I6" s="436"/>
      <c r="J6" s="436"/>
      <c r="K6" s="436"/>
      <c r="L6" s="436"/>
      <c r="M6" s="436"/>
      <c r="N6" s="436"/>
      <c r="O6" s="436"/>
    </row>
    <row r="7" spans="1:59" x14ac:dyDescent="0.25">
      <c r="A7" s="437" t="s">
        <v>2</v>
      </c>
      <c r="B7" s="437"/>
      <c r="C7" s="437"/>
      <c r="D7" s="437"/>
      <c r="E7" s="437"/>
      <c r="F7" s="437"/>
      <c r="G7" s="437"/>
      <c r="H7" s="437"/>
      <c r="I7" s="437"/>
      <c r="J7" s="437"/>
      <c r="K7" s="437"/>
    </row>
    <row r="9" spans="1:59" ht="15" x14ac:dyDescent="0.25">
      <c r="A9" s="57" t="s">
        <v>5</v>
      </c>
      <c r="B9" s="58"/>
      <c r="C9" s="59">
        <f>'Customer Info'!B7</f>
        <v>0</v>
      </c>
      <c r="I9" s="60"/>
    </row>
    <row r="10" spans="1:59" ht="15" x14ac:dyDescent="0.25">
      <c r="A10" s="61" t="s">
        <v>55</v>
      </c>
      <c r="B10" s="58"/>
      <c r="C10" s="59">
        <f>'Customer Info'!B8</f>
        <v>0</v>
      </c>
    </row>
    <row r="11" spans="1:59" x14ac:dyDescent="0.25">
      <c r="A11" s="57" t="s">
        <v>56</v>
      </c>
      <c r="B11" s="62">
        <f>'Customer Info'!B9</f>
        <v>1</v>
      </c>
      <c r="C11" s="63" t="str">
        <f>LOOKUP($B$11,$S$11:$AD$11,S12:AD12)</f>
        <v>January</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59" ht="15" x14ac:dyDescent="0.25">
      <c r="A13" s="69" t="s">
        <v>70</v>
      </c>
      <c r="B13" s="70"/>
      <c r="C13" s="71"/>
      <c r="D13" s="72"/>
      <c r="E13" s="72"/>
      <c r="F13" s="72"/>
      <c r="G13" s="72"/>
      <c r="H13" s="72"/>
      <c r="I13" s="72"/>
      <c r="J13" s="72"/>
      <c r="K13" s="72"/>
      <c r="L13" s="72"/>
      <c r="M13" s="72"/>
      <c r="N13" s="72"/>
      <c r="O13" s="72"/>
      <c r="P13" s="72"/>
      <c r="R13" s="72" t="s">
        <v>143</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5">
      <c r="A14" s="72"/>
      <c r="B14" s="72"/>
      <c r="C14" s="72"/>
      <c r="D14" s="72"/>
      <c r="E14" s="72"/>
      <c r="F14" s="72"/>
      <c r="G14" s="74" t="s">
        <v>2</v>
      </c>
      <c r="H14" s="74"/>
      <c r="I14" s="75" t="s">
        <v>2</v>
      </c>
      <c r="J14" s="72"/>
      <c r="K14" s="72"/>
      <c r="L14" s="72"/>
      <c r="M14" s="72"/>
      <c r="N14" s="72"/>
      <c r="O14" s="72"/>
      <c r="P14" s="72"/>
      <c r="Q14" s="72"/>
      <c r="R14" s="72" t="s">
        <v>144</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t="s">
        <v>145</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146</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147</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t="s">
        <v>71</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72</v>
      </c>
      <c r="B23" s="72"/>
      <c r="C23" s="72"/>
      <c r="D23" s="72"/>
      <c r="E23" s="72"/>
      <c r="F23" s="72"/>
      <c r="G23" s="438" t="s">
        <v>73</v>
      </c>
      <c r="H23" s="439"/>
      <c r="I23" s="439"/>
      <c r="J23" s="440"/>
      <c r="K23" s="83"/>
      <c r="L23" s="441" t="s">
        <v>74</v>
      </c>
      <c r="M23" s="442"/>
      <c r="N23" s="442"/>
      <c r="O23" s="443"/>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75</v>
      </c>
      <c r="H24" s="85" t="s">
        <v>76</v>
      </c>
      <c r="I24" s="85" t="s">
        <v>77</v>
      </c>
      <c r="J24" s="85" t="s">
        <v>78</v>
      </c>
      <c r="K24" s="72"/>
      <c r="L24" s="86" t="s">
        <v>75</v>
      </c>
      <c r="M24" s="86" t="s">
        <v>76</v>
      </c>
      <c r="N24" s="86" t="s">
        <v>77</v>
      </c>
      <c r="O24" s="86" t="s">
        <v>78</v>
      </c>
      <c r="P24" s="87" t="s">
        <v>79</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80</v>
      </c>
      <c r="B25" s="72"/>
      <c r="C25" s="72"/>
      <c r="D25" s="72"/>
      <c r="E25" s="72"/>
      <c r="F25" s="72"/>
      <c r="G25" s="88"/>
      <c r="H25" s="89"/>
      <c r="I25" s="89">
        <f>'Rider Rates'!B146</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179" t="s">
        <v>152</v>
      </c>
      <c r="B26" s="72"/>
      <c r="C26" s="72"/>
      <c r="D26" s="111">
        <f>D17</f>
        <v>0</v>
      </c>
      <c r="E26" s="72"/>
      <c r="F26" s="72"/>
      <c r="G26" s="88"/>
      <c r="H26" s="89"/>
      <c r="I26" s="99">
        <f>'Rider Rates'!C146</f>
        <v>3.7427700000000001E-2</v>
      </c>
      <c r="J26" s="99">
        <v>3.7427700000000001E-2</v>
      </c>
      <c r="K26" s="94" t="s">
        <v>83</v>
      </c>
      <c r="L26" s="89"/>
      <c r="M26" s="89"/>
      <c r="N26" s="89">
        <f>ROUND($D26*I26,2)</f>
        <v>0</v>
      </c>
      <c r="O26" s="91">
        <f>SUM(L26:N26)</f>
        <v>0</v>
      </c>
      <c r="P26" s="92">
        <f>'Rider Rates'!H146</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79" t="s">
        <v>153</v>
      </c>
      <c r="B27" s="72"/>
      <c r="C27" s="72"/>
      <c r="D27" s="4">
        <f>D18</f>
        <v>0</v>
      </c>
      <c r="E27" s="97" t="s">
        <v>19</v>
      </c>
      <c r="F27" s="84" t="s">
        <v>82</v>
      </c>
      <c r="G27" s="98"/>
      <c r="H27" s="89"/>
      <c r="I27" s="99">
        <f>'Rider Rates'!D146</f>
        <v>1.5787499999999999E-2</v>
      </c>
      <c r="J27" s="100">
        <v>1.5787499999999999E-2</v>
      </c>
      <c r="K27" s="94" t="s">
        <v>83</v>
      </c>
      <c r="L27" s="89"/>
      <c r="M27" s="89"/>
      <c r="N27" s="89">
        <f>ROUND($D27*I27,2)</f>
        <v>0</v>
      </c>
      <c r="O27" s="91">
        <f t="shared" ref="O27" si="0">SUM(L27:N27)</f>
        <v>0</v>
      </c>
      <c r="P27" s="92">
        <f>'Rider Rates'!H146</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2" t="s">
        <v>84</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5">
      <c r="A30" s="69" t="s">
        <v>85</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86</v>
      </c>
      <c r="B32" s="110"/>
      <c r="C32" s="110"/>
      <c r="D32" s="111">
        <f>IF($D$19&lt;0,0,IF($D$19&gt;833000,833000,$D$19))</f>
        <v>0</v>
      </c>
      <c r="E32" s="97" t="s">
        <v>19</v>
      </c>
      <c r="F32" s="84" t="s">
        <v>82</v>
      </c>
      <c r="G32" s="100"/>
      <c r="H32" s="100"/>
      <c r="I32" s="100">
        <f>'Rider Rates'!$B$4</f>
        <v>4.6278999999999999E-3</v>
      </c>
      <c r="J32" s="100">
        <f t="shared" ref="J32:J38" si="1">SUM(G32:I32)</f>
        <v>4.6278999999999999E-3</v>
      </c>
      <c r="K32" s="94" t="s">
        <v>87</v>
      </c>
      <c r="L32" s="89"/>
      <c r="M32" s="89"/>
      <c r="N32" s="89">
        <f t="shared" ref="N32:N37" si="2">ROUND(D32*I32,2)</f>
        <v>0</v>
      </c>
      <c r="O32" s="91">
        <f t="shared" ref="O32:O54"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88</v>
      </c>
      <c r="B33" s="72"/>
      <c r="C33" s="72"/>
      <c r="D33" s="4">
        <f>IF($D$19&gt;833000,$D$19-833000,0)</f>
        <v>0</v>
      </c>
      <c r="E33" s="97" t="s">
        <v>19</v>
      </c>
      <c r="F33" s="84" t="s">
        <v>82</v>
      </c>
      <c r="G33" s="100"/>
      <c r="H33" s="100"/>
      <c r="I33" s="100">
        <f>'Rider Rates'!$B$5</f>
        <v>1.7560000000000001E-4</v>
      </c>
      <c r="J33" s="100">
        <f t="shared" si="1"/>
        <v>1.7560000000000001E-4</v>
      </c>
      <c r="K33" s="94" t="s">
        <v>87</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89</v>
      </c>
      <c r="B34" s="72"/>
      <c r="C34" s="72"/>
      <c r="D34" s="111">
        <f>IF($D$19&lt;0,0,IF($D$19&gt;2000,2000,$D$19))</f>
        <v>0</v>
      </c>
      <c r="E34" s="97" t="s">
        <v>19</v>
      </c>
      <c r="F34" s="84" t="s">
        <v>82</v>
      </c>
      <c r="G34" s="100"/>
      <c r="H34" s="100"/>
      <c r="I34" s="112">
        <f>'Rider Rates'!$B$8</f>
        <v>4.6499999999999996E-3</v>
      </c>
      <c r="J34" s="112">
        <f t="shared" si="1"/>
        <v>4.6499999999999996E-3</v>
      </c>
      <c r="K34" s="94" t="s">
        <v>87</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90</v>
      </c>
      <c r="B35" s="72"/>
      <c r="C35" s="72"/>
      <c r="D35" s="111">
        <f>IF($D$19&lt;=2000,0,IF($D$19=0,0,IF($D$19-2000&gt;13000,13000,$D$19-2000)))</f>
        <v>0</v>
      </c>
      <c r="E35" s="97" t="s">
        <v>19</v>
      </c>
      <c r="F35" s="84" t="s">
        <v>82</v>
      </c>
      <c r="G35" s="100"/>
      <c r="H35" s="100"/>
      <c r="I35" s="112">
        <f>'Rider Rates'!$B$9</f>
        <v>4.1900000000000001E-3</v>
      </c>
      <c r="J35" s="112">
        <f t="shared" si="1"/>
        <v>4.1900000000000001E-3</v>
      </c>
      <c r="K35" s="94" t="s">
        <v>87</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91</v>
      </c>
      <c r="B36" s="72"/>
      <c r="C36" s="72"/>
      <c r="D36" s="111">
        <f>IF($D$19=0,0,IF($D$19-15000&gt;=0,$D$19-15000,0))</f>
        <v>0</v>
      </c>
      <c r="E36" s="97" t="s">
        <v>19</v>
      </c>
      <c r="F36" s="84" t="s">
        <v>82</v>
      </c>
      <c r="G36" s="100"/>
      <c r="H36" s="100"/>
      <c r="I36" s="112">
        <f>'Rider Rates'!$B$10</f>
        <v>3.63E-3</v>
      </c>
      <c r="J36" s="112">
        <f t="shared" si="1"/>
        <v>3.63E-3</v>
      </c>
      <c r="K36" s="94" t="s">
        <v>87</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92</v>
      </c>
      <c r="B37" s="72"/>
      <c r="C37" s="72"/>
      <c r="D37" s="111">
        <f>IF($D$19&lt;0,0,$D$19)</f>
        <v>0</v>
      </c>
      <c r="E37" s="97" t="s">
        <v>19</v>
      </c>
      <c r="F37" s="84" t="s">
        <v>82</v>
      </c>
      <c r="G37" s="100"/>
      <c r="H37" s="100"/>
      <c r="I37" s="100">
        <f>'Rider Rates'!$B$15</f>
        <v>0</v>
      </c>
      <c r="J37" s="100">
        <f t="shared" si="1"/>
        <v>0</v>
      </c>
      <c r="K37" s="94" t="s">
        <v>87</v>
      </c>
      <c r="L37" s="89"/>
      <c r="M37" s="89"/>
      <c r="N37" s="89">
        <f t="shared" si="2"/>
        <v>0</v>
      </c>
      <c r="O37" s="89">
        <f t="shared" si="3"/>
        <v>0</v>
      </c>
      <c r="P37" s="92">
        <f>'Rider Rates'!$D$15</f>
        <v>45505</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93</v>
      </c>
      <c r="B38" s="72"/>
      <c r="C38" s="72"/>
      <c r="D38" s="113">
        <f>$N$28</f>
        <v>10</v>
      </c>
      <c r="E38" s="97" t="s">
        <v>94</v>
      </c>
      <c r="F38" s="84" t="s">
        <v>82</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95</v>
      </c>
      <c r="B39" s="72"/>
      <c r="C39" s="72"/>
      <c r="D39" s="111">
        <f>'Customer Info'!$B$22+'Customer Info'!$B$23</f>
        <v>0</v>
      </c>
      <c r="E39" s="97" t="s">
        <v>19</v>
      </c>
      <c r="F39" s="84" t="s">
        <v>82</v>
      </c>
      <c r="G39" s="100"/>
      <c r="H39" s="100"/>
      <c r="I39" s="100"/>
      <c r="J39" s="115">
        <f>SUM(G39:H39)</f>
        <v>0</v>
      </c>
      <c r="K39" s="94" t="s">
        <v>87</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96</v>
      </c>
      <c r="B40" s="72"/>
      <c r="C40" s="72"/>
      <c r="D40" s="111">
        <f>'Customer Info'!$B$22+'Customer Info'!$B$23</f>
        <v>0</v>
      </c>
      <c r="E40" s="97" t="s">
        <v>19</v>
      </c>
      <c r="F40" s="84" t="s">
        <v>82</v>
      </c>
      <c r="G40" s="100"/>
      <c r="H40" s="100"/>
      <c r="I40" s="100"/>
      <c r="J40" s="115">
        <f>SUM(G40:H40)</f>
        <v>0</v>
      </c>
      <c r="K40" s="94" t="s">
        <v>87</v>
      </c>
      <c r="L40" s="90">
        <f>ROUND($D$40*$G$40,2)</f>
        <v>0</v>
      </c>
      <c r="M40" s="89"/>
      <c r="N40" s="89"/>
      <c r="O40" s="89">
        <f>SUM(L40:N40)</f>
        <v>0</v>
      </c>
      <c r="P40" s="92">
        <f>'Rider Rates'!D34</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97</v>
      </c>
      <c r="B41" s="72"/>
      <c r="C41" s="72"/>
      <c r="D41" s="111">
        <f>'Customer Info'!$B$22+'Customer Info'!$B$23</f>
        <v>0</v>
      </c>
      <c r="E41" s="97" t="s">
        <v>19</v>
      </c>
      <c r="F41" s="84" t="s">
        <v>82</v>
      </c>
      <c r="G41" s="100"/>
      <c r="H41" s="100"/>
      <c r="I41" s="100"/>
      <c r="J41" s="115">
        <f>SUM(G41:H41)</f>
        <v>0</v>
      </c>
      <c r="K41" s="94" t="s">
        <v>87</v>
      </c>
      <c r="L41" s="89">
        <f>ROUND(D41*G41,2)</f>
        <v>0</v>
      </c>
      <c r="M41" s="89"/>
      <c r="N41" s="89"/>
      <c r="O41" s="89">
        <f t="shared" si="3"/>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98</v>
      </c>
      <c r="B42" s="72"/>
      <c r="C42" s="72"/>
      <c r="D42" s="111"/>
      <c r="E42" s="97" t="s">
        <v>57</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99</v>
      </c>
      <c r="B43" s="72"/>
      <c r="C43" s="72"/>
      <c r="D43" s="111">
        <f>IF($D$19&lt;0,0,$D$19)</f>
        <v>0</v>
      </c>
      <c r="E43" s="97" t="s">
        <v>19</v>
      </c>
      <c r="F43" s="84" t="s">
        <v>82</v>
      </c>
      <c r="G43" s="100"/>
      <c r="H43" s="100">
        <f>'Rider Rates'!$B$59</f>
        <v>4.3837099999999997E-2</v>
      </c>
      <c r="I43" s="100"/>
      <c r="J43" s="100">
        <f t="shared" si="4"/>
        <v>4.3837099999999997E-2</v>
      </c>
      <c r="K43" s="94" t="s">
        <v>87</v>
      </c>
      <c r="L43" s="89"/>
      <c r="M43" s="89">
        <f>ROUND(D43*H43,2)</f>
        <v>0</v>
      </c>
      <c r="N43" s="116"/>
      <c r="O43" s="89">
        <f t="shared" si="3"/>
        <v>0</v>
      </c>
      <c r="P43" s="92">
        <f>'Rider Rates'!$D$59</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100</v>
      </c>
      <c r="B44" s="72"/>
      <c r="C44" s="72"/>
      <c r="D44" s="111">
        <f>IF($D$19&lt;0,0,$D$19)</f>
        <v>0</v>
      </c>
      <c r="E44" s="97" t="s">
        <v>19</v>
      </c>
      <c r="F44" s="84" t="s">
        <v>82</v>
      </c>
      <c r="G44" s="100"/>
      <c r="H44" s="100"/>
      <c r="I44" s="100">
        <f>'Rider Rates'!$B$70</f>
        <v>8.6240000000000004E-4</v>
      </c>
      <c r="J44" s="100">
        <f t="shared" ref="J44" si="5">SUM(G44:I44)</f>
        <v>8.6240000000000004E-4</v>
      </c>
      <c r="K44" s="94" t="s">
        <v>87</v>
      </c>
      <c r="L44" s="89"/>
      <c r="M44" s="89"/>
      <c r="N44" s="89">
        <f>ROUND($D$44*'Rider Rates'!$B$70,2)</f>
        <v>0</v>
      </c>
      <c r="O44" s="91">
        <f t="shared" ref="O44" si="6">SUM(L44:N44)</f>
        <v>0</v>
      </c>
      <c r="P44" s="92">
        <f>'Rider Rates'!$D$70</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101</v>
      </c>
      <c r="B45" s="72"/>
      <c r="C45" s="72"/>
      <c r="D45" s="111">
        <f>IF('Customer Info'!C35=TRUE,0,IF($D$19&lt;0,0,$D$19))</f>
        <v>0</v>
      </c>
      <c r="E45" s="97" t="s">
        <v>19</v>
      </c>
      <c r="F45" s="84" t="s">
        <v>82</v>
      </c>
      <c r="G45" s="100"/>
      <c r="H45" s="100"/>
      <c r="I45" s="100">
        <f>'Rider Rates'!$B$73+'Rider Rates'!$C$73</f>
        <v>0</v>
      </c>
      <c r="J45" s="100">
        <f t="shared" si="4"/>
        <v>0</v>
      </c>
      <c r="K45" s="94" t="s">
        <v>87</v>
      </c>
      <c r="L45" s="89"/>
      <c r="M45" s="89"/>
      <c r="N45" s="89">
        <f>ROUND($D$45*'Rider Rates'!$B$73,2)+ROUND($D$45*'Rider Rates'!$C$73,2)</f>
        <v>0</v>
      </c>
      <c r="O45" s="91">
        <f t="shared" si="3"/>
        <v>0</v>
      </c>
      <c r="P45" s="92">
        <f>'Rider Rates'!$D$73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102</v>
      </c>
      <c r="B46" s="72"/>
      <c r="C46" s="72"/>
      <c r="D46" s="113">
        <f>$N$28</f>
        <v>10</v>
      </c>
      <c r="E46" s="97" t="s">
        <v>94</v>
      </c>
      <c r="F46" s="84" t="s">
        <v>82</v>
      </c>
      <c r="G46" s="117"/>
      <c r="H46" s="118"/>
      <c r="I46" s="119">
        <f>'Rider Rates'!$B$89</f>
        <v>4.94232E-2</v>
      </c>
      <c r="J46" s="119">
        <f t="shared" si="4"/>
        <v>4.94232E-2</v>
      </c>
      <c r="K46" s="94"/>
      <c r="L46" s="89"/>
      <c r="M46" s="89"/>
      <c r="N46" s="89">
        <f>ROUND(D46*I46,2)</f>
        <v>0.49</v>
      </c>
      <c r="O46" s="89">
        <f t="shared" si="3"/>
        <v>0.49</v>
      </c>
      <c r="P46" s="92">
        <f>'Rider Rates'!$D$89</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103</v>
      </c>
      <c r="B47" s="72"/>
      <c r="C47" s="72"/>
      <c r="D47" s="113">
        <f>$N$28</f>
        <v>10</v>
      </c>
      <c r="E47" s="97" t="s">
        <v>94</v>
      </c>
      <c r="F47" s="84" t="s">
        <v>82</v>
      </c>
      <c r="G47" s="120"/>
      <c r="H47" s="85"/>
      <c r="I47" s="119">
        <f>'Rider Rates'!$B$91</f>
        <v>6.6985699999999995E-2</v>
      </c>
      <c r="J47" s="119">
        <f t="shared" si="4"/>
        <v>6.6985699999999995E-2</v>
      </c>
      <c r="K47" s="94"/>
      <c r="L47" s="89"/>
      <c r="M47" s="89"/>
      <c r="N47" s="89">
        <f>ROUND(D47*I47,2)</f>
        <v>0.67</v>
      </c>
      <c r="O47" s="89">
        <f t="shared" si="3"/>
        <v>0.67</v>
      </c>
      <c r="P47" s="92">
        <f>'Rider Rates'!$D$91</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104</v>
      </c>
      <c r="B48" s="72"/>
      <c r="C48" s="72"/>
      <c r="D48" s="113"/>
      <c r="E48" s="97" t="s">
        <v>57</v>
      </c>
      <c r="F48" s="84"/>
      <c r="G48" s="120"/>
      <c r="H48" s="85"/>
      <c r="I48" s="121">
        <f>'Rider Rates'!$B$94</f>
        <v>2.08</v>
      </c>
      <c r="J48" s="121">
        <f t="shared" si="4"/>
        <v>2.08</v>
      </c>
      <c r="K48" s="94"/>
      <c r="L48" s="89"/>
      <c r="M48" s="89"/>
      <c r="N48" s="89">
        <f>I48</f>
        <v>2.08</v>
      </c>
      <c r="O48" s="91">
        <f>SUM(L48:N48)</f>
        <v>2.08</v>
      </c>
      <c r="P48" s="92">
        <f>'Rider Rates'!$D$94</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105</v>
      </c>
      <c r="B49" s="72"/>
      <c r="C49" s="72"/>
      <c r="D49" s="111">
        <f>IF($D$19&lt;0,0,$D$19)</f>
        <v>0</v>
      </c>
      <c r="E49" s="97" t="s">
        <v>19</v>
      </c>
      <c r="F49" s="84" t="s">
        <v>82</v>
      </c>
      <c r="G49" s="100"/>
      <c r="H49" s="100"/>
      <c r="I49" s="100"/>
      <c r="J49" s="100">
        <f>'Rider Rates'!$B$98</f>
        <v>0</v>
      </c>
      <c r="K49" s="94" t="s">
        <v>87</v>
      </c>
      <c r="L49" s="89"/>
      <c r="M49" s="89"/>
      <c r="N49" s="89"/>
      <c r="O49" s="89">
        <f>ROUND($D49*('Rider Rates'!B$98),2)</f>
        <v>0</v>
      </c>
      <c r="P49" s="92">
        <f>'Rider Rates'!$D$98</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106</v>
      </c>
      <c r="B50" s="72"/>
      <c r="C50" s="72"/>
      <c r="D50" s="113">
        <f>$N$28</f>
        <v>10</v>
      </c>
      <c r="E50" s="97" t="s">
        <v>94</v>
      </c>
      <c r="F50" s="84" t="s">
        <v>82</v>
      </c>
      <c r="G50" s="120"/>
      <c r="H50" s="85"/>
      <c r="I50" s="119">
        <f>'Rider Rates'!$B$109</f>
        <v>0.2363101</v>
      </c>
      <c r="J50" s="122">
        <f>SUM(G50:I50)</f>
        <v>0.2363101</v>
      </c>
      <c r="K50" s="94"/>
      <c r="L50" s="89"/>
      <c r="M50" s="89"/>
      <c r="N50" s="89">
        <f>ROUND(D50*I50,2)</f>
        <v>2.36</v>
      </c>
      <c r="O50" s="89">
        <f t="shared" si="3"/>
        <v>2.36</v>
      </c>
      <c r="P50" s="92">
        <f>'Rider Rates'!$D$109</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107</v>
      </c>
      <c r="B51" s="72"/>
      <c r="C51" s="72"/>
      <c r="D51" s="113"/>
      <c r="E51" s="97" t="s">
        <v>57</v>
      </c>
      <c r="F51" s="84"/>
      <c r="G51" s="120"/>
      <c r="H51" s="85"/>
      <c r="I51" s="121">
        <f>'Rider Rates'!$B$112</f>
        <v>0</v>
      </c>
      <c r="J51" s="121">
        <f>SUM(G51:I51)</f>
        <v>0</v>
      </c>
      <c r="K51" s="94"/>
      <c r="L51" s="89"/>
      <c r="M51" s="89"/>
      <c r="N51" s="89">
        <f>I51</f>
        <v>0</v>
      </c>
      <c r="O51" s="89">
        <f>SUM(L51:N51)</f>
        <v>0</v>
      </c>
      <c r="P51" s="92">
        <f>'Rider Rates'!$D$112</f>
        <v>44894</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108</v>
      </c>
      <c r="B52" s="72"/>
      <c r="C52" s="72"/>
      <c r="D52" s="113"/>
      <c r="E52" s="97" t="s">
        <v>57</v>
      </c>
      <c r="F52" s="84"/>
      <c r="G52" s="120"/>
      <c r="H52" s="85"/>
      <c r="I52" s="123">
        <f>'Rider Rates'!B125</f>
        <v>0.97</v>
      </c>
      <c r="J52" s="124">
        <f>SUM(G52:I52)</f>
        <v>0.97</v>
      </c>
      <c r="K52" s="94"/>
      <c r="L52" s="89"/>
      <c r="M52" s="89"/>
      <c r="N52" s="125">
        <f>I52</f>
        <v>0.97</v>
      </c>
      <c r="O52" s="89">
        <f>SUM(L52:N52)</f>
        <v>0.97</v>
      </c>
      <c r="P52" s="92">
        <f>'Rider Rates'!D125</f>
        <v>45593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109</v>
      </c>
      <c r="B53" s="72"/>
      <c r="C53" s="72"/>
      <c r="D53" s="111">
        <f>'Customer Info'!$B$22+'Customer Info'!$B$23</f>
        <v>0</v>
      </c>
      <c r="E53" s="97" t="s">
        <v>19</v>
      </c>
      <c r="F53" s="84" t="s">
        <v>82</v>
      </c>
      <c r="G53" s="100"/>
      <c r="H53" s="100"/>
      <c r="I53" s="100"/>
      <c r="J53" s="115">
        <f>SUM(G53:H53)</f>
        <v>0</v>
      </c>
      <c r="K53" s="94" t="s">
        <v>87</v>
      </c>
      <c r="L53" s="89">
        <f>ROUND(D53*G53,2)</f>
        <v>0</v>
      </c>
      <c r="M53" s="89"/>
      <c r="N53" s="89"/>
      <c r="O53" s="89">
        <f t="shared" si="3"/>
        <v>0</v>
      </c>
      <c r="P53" s="92">
        <f>'Rider Rates'!$D$116</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110</v>
      </c>
      <c r="B54" s="72"/>
      <c r="C54" s="72"/>
      <c r="D54" s="111">
        <f>IF($D$19&lt;1,0,$D$19)</f>
        <v>0</v>
      </c>
      <c r="E54" s="97" t="s">
        <v>19</v>
      </c>
      <c r="F54" s="126" t="s">
        <v>82</v>
      </c>
      <c r="G54" s="100"/>
      <c r="H54" s="100"/>
      <c r="I54" s="100">
        <f>'Rider Rates'!$B$121</f>
        <v>0</v>
      </c>
      <c r="J54" s="115">
        <f>SUM(G54:I54)</f>
        <v>0</v>
      </c>
      <c r="K54" s="94" t="s">
        <v>87</v>
      </c>
      <c r="L54" s="89"/>
      <c r="M54" s="89"/>
      <c r="N54" s="89">
        <f>D54*J54</f>
        <v>0</v>
      </c>
      <c r="O54" s="89">
        <f t="shared" si="3"/>
        <v>0</v>
      </c>
      <c r="P54" s="92">
        <f>'Rider Rates'!D121</f>
        <v>45657</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111</v>
      </c>
      <c r="B55" s="72"/>
      <c r="C55" s="72"/>
      <c r="D55" s="111"/>
      <c r="E55" s="97" t="s">
        <v>57</v>
      </c>
      <c r="F55" s="84" t="s">
        <v>82</v>
      </c>
      <c r="G55" s="127"/>
      <c r="H55" s="127"/>
      <c r="I55" s="127">
        <f>'Rider Rates'!$B$129</f>
        <v>0.1</v>
      </c>
      <c r="J55" s="127">
        <f>SUM(G55:I55)</f>
        <v>0.1</v>
      </c>
      <c r="K55" s="94"/>
      <c r="L55" s="128"/>
      <c r="M55" s="128"/>
      <c r="N55" s="128">
        <f>J55</f>
        <v>0.1</v>
      </c>
      <c r="O55" s="128">
        <f>SUM(L55:N55)</f>
        <v>0.1</v>
      </c>
      <c r="P55" s="129">
        <f>'Rider Rates'!$E$129</f>
        <v>45658</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112</v>
      </c>
      <c r="B56" s="72"/>
      <c r="C56" s="72"/>
      <c r="D56" s="111">
        <f>C19</f>
        <v>0</v>
      </c>
      <c r="E56" s="97" t="s">
        <v>19</v>
      </c>
      <c r="F56" s="126" t="s">
        <v>82</v>
      </c>
      <c r="G56" s="100"/>
      <c r="H56" s="100"/>
      <c r="I56" s="100">
        <f>'Rider Rates'!$B$134</f>
        <v>0</v>
      </c>
      <c r="J56" s="115">
        <f>SUM(G56:I56)</f>
        <v>0</v>
      </c>
      <c r="K56" s="94" t="s">
        <v>87</v>
      </c>
      <c r="L56" s="89"/>
      <c r="M56" s="89"/>
      <c r="N56" s="89">
        <f>D56*J56</f>
        <v>0</v>
      </c>
      <c r="O56" s="89">
        <f>SUM(L56:N56)</f>
        <v>0</v>
      </c>
      <c r="P56" s="92">
        <f>'Rider Rates'!D139</f>
        <v>0</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113</v>
      </c>
      <c r="B57" s="72"/>
      <c r="C57" s="72"/>
      <c r="D57" s="111"/>
      <c r="E57" s="97" t="s">
        <v>57</v>
      </c>
      <c r="F57" s="84" t="s">
        <v>82</v>
      </c>
      <c r="G57" s="127"/>
      <c r="H57" s="127"/>
      <c r="I57" s="127">
        <f>'Rider Rates'!$B$141</f>
        <v>0</v>
      </c>
      <c r="J57" s="127">
        <f>SUM(G57:I57)</f>
        <v>0</v>
      </c>
      <c r="K57" s="94"/>
      <c r="L57" s="128"/>
      <c r="M57" s="128"/>
      <c r="N57" s="128">
        <f>J57</f>
        <v>0</v>
      </c>
      <c r="O57" s="128">
        <f>SUM(L57:N57)</f>
        <v>0</v>
      </c>
      <c r="P57" s="129">
        <f>'Rider Rates'!$D$137</f>
        <v>44531</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114</v>
      </c>
      <c r="B58" s="72"/>
      <c r="C58" s="72"/>
      <c r="D58" s="111"/>
      <c r="E58" s="97"/>
      <c r="F58" s="84"/>
      <c r="G58" s="127"/>
      <c r="H58" s="127"/>
      <c r="I58" s="127"/>
      <c r="J58" s="127"/>
      <c r="K58" s="94"/>
      <c r="L58" s="128"/>
      <c r="M58" s="128"/>
      <c r="N58" s="128"/>
      <c r="O58" s="128"/>
      <c r="P58" s="129"/>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30" t="s">
        <v>115</v>
      </c>
      <c r="B59" s="69"/>
      <c r="C59" s="69"/>
      <c r="D59" s="131"/>
      <c r="E59" s="132"/>
      <c r="F59" s="133"/>
      <c r="G59" s="133"/>
      <c r="H59" s="133"/>
      <c r="I59" s="133"/>
      <c r="J59" s="133"/>
      <c r="K59" s="134"/>
      <c r="L59" s="105">
        <f>SUM(L32:L58)</f>
        <v>0</v>
      </c>
      <c r="M59" s="105">
        <f>SUM(M32:M58)</f>
        <v>0</v>
      </c>
      <c r="N59" s="105">
        <f>SUM(N32:N58)</f>
        <v>7.839999999999999</v>
      </c>
      <c r="O59" s="105">
        <f>SUM(O32:O58)</f>
        <v>7.839999999999999</v>
      </c>
      <c r="P59" s="135"/>
      <c r="Q59" s="84"/>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c r="B60" s="72"/>
      <c r="C60" s="72"/>
      <c r="D60" s="111"/>
      <c r="E60" s="97"/>
      <c r="F60" s="84"/>
      <c r="G60" s="84"/>
      <c r="H60" s="84"/>
      <c r="I60" s="84"/>
      <c r="J60" s="101"/>
      <c r="K60" s="94"/>
      <c r="L60" s="84"/>
      <c r="M60" s="84"/>
      <c r="N60" s="84"/>
      <c r="O60" s="84"/>
      <c r="P60" s="137"/>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38" t="s">
        <v>116</v>
      </c>
      <c r="B61" s="106"/>
      <c r="C61" s="106"/>
      <c r="D61" s="106"/>
      <c r="E61" s="106"/>
      <c r="F61" s="106"/>
      <c r="G61" s="106"/>
      <c r="H61" s="106"/>
      <c r="I61" s="106"/>
      <c r="J61" s="106"/>
      <c r="K61" s="106"/>
      <c r="L61" s="139">
        <f>L28+L59</f>
        <v>0</v>
      </c>
      <c r="M61" s="139">
        <f>M28+M59</f>
        <v>0</v>
      </c>
      <c r="N61" s="139">
        <f>N28+N59</f>
        <v>17.84</v>
      </c>
      <c r="O61" s="140">
        <f>O28+O59</f>
        <v>17.84</v>
      </c>
      <c r="P61" s="140"/>
      <c r="Q61" s="84"/>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72"/>
      <c r="B63" s="72"/>
      <c r="C63" s="72"/>
      <c r="D63" s="72"/>
      <c r="E63" s="72"/>
      <c r="F63" s="72"/>
      <c r="G63" s="72"/>
      <c r="H63" s="72"/>
      <c r="I63" s="72"/>
      <c r="J63" s="72"/>
      <c r="K63" s="72"/>
      <c r="L63" s="72"/>
      <c r="M63" s="72"/>
      <c r="N63" s="72"/>
      <c r="O63" s="72"/>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117</v>
      </c>
      <c r="B64" s="72"/>
      <c r="C64" s="72"/>
      <c r="D64" s="72"/>
      <c r="E64" s="72"/>
      <c r="F64" s="72"/>
      <c r="G64" s="72"/>
      <c r="H64" s="72"/>
      <c r="I64" s="72"/>
      <c r="J64" s="72"/>
      <c r="K64" s="72"/>
      <c r="L64" s="72"/>
      <c r="M64" s="72"/>
      <c r="N64" s="72"/>
      <c r="O64" s="95">
        <f>IF(D17&lt;0,MIN(O25,O61),O25)</f>
        <v>10</v>
      </c>
      <c r="P64" s="72"/>
      <c r="Q64" s="10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102" t="s">
        <v>2</v>
      </c>
      <c r="B65" s="102"/>
      <c r="C65" s="102"/>
      <c r="D65" s="102"/>
      <c r="E65" s="102"/>
      <c r="F65" s="102"/>
      <c r="G65" s="102"/>
      <c r="H65" s="102"/>
      <c r="I65" s="72"/>
      <c r="J65" s="72"/>
      <c r="K65" s="72"/>
      <c r="L65" s="72"/>
      <c r="M65" s="72"/>
      <c r="N65" s="72"/>
      <c r="O65" s="72"/>
      <c r="P65" s="72"/>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t="s">
        <v>118</v>
      </c>
      <c r="B66" s="72"/>
      <c r="C66" s="72"/>
      <c r="D66" s="72"/>
      <c r="E66" s="72"/>
      <c r="F66" s="72"/>
      <c r="G66" s="72"/>
      <c r="H66" s="72"/>
      <c r="I66" s="72"/>
      <c r="J66" s="72"/>
      <c r="K66" s="72"/>
      <c r="L66" s="72"/>
      <c r="M66" s="72"/>
      <c r="N66" s="72"/>
      <c r="O66" s="141">
        <f>IF($D$17&lt;0,O61,IF(O61&gt;O64,O61,O64))</f>
        <v>17.84</v>
      </c>
      <c r="P66" s="84"/>
      <c r="Q66" s="72"/>
      <c r="R66" s="101"/>
      <c r="S66" s="94"/>
      <c r="T66" s="95"/>
      <c r="U66" s="72"/>
      <c r="V66" s="96"/>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72"/>
      <c r="C67" s="72"/>
      <c r="D67" s="72"/>
      <c r="E67" s="72"/>
      <c r="F67" s="72"/>
      <c r="G67" s="72"/>
      <c r="H67" s="72"/>
      <c r="I67" s="72"/>
      <c r="J67" s="72"/>
      <c r="K67" s="72"/>
      <c r="L67" s="72"/>
      <c r="M67" s="72"/>
      <c r="N67" s="72"/>
      <c r="O67" s="142"/>
      <c r="P67" s="84"/>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row>
    <row r="68" spans="1:236" x14ac:dyDescent="0.25">
      <c r="A68" s="69"/>
      <c r="B68" s="102"/>
      <c r="C68" s="102"/>
      <c r="D68" s="102"/>
      <c r="E68" s="102"/>
      <c r="F68" s="102"/>
      <c r="G68" s="102"/>
      <c r="H68" s="102"/>
      <c r="I68" s="102" t="s">
        <v>119</v>
      </c>
      <c r="J68" s="102"/>
      <c r="K68" s="102"/>
      <c r="L68" s="143"/>
      <c r="M68" s="143"/>
      <c r="N68" s="143"/>
      <c r="O68" s="143">
        <f>ROUND(IF($D$17&lt;1,0,O61/($D$17*100)*10000),2)</f>
        <v>0</v>
      </c>
      <c r="P68" s="144" t="s">
        <v>120</v>
      </c>
      <c r="Q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row>
    <row r="69" spans="1:236" x14ac:dyDescent="0.25">
      <c r="A69" s="144"/>
      <c r="B69" s="72"/>
      <c r="C69" s="72"/>
      <c r="D69" s="72"/>
      <c r="E69" s="72"/>
      <c r="F69" s="72"/>
      <c r="G69" s="72"/>
      <c r="H69" s="145"/>
      <c r="I69" s="146" t="s">
        <v>121</v>
      </c>
      <c r="J69" s="72"/>
      <c r="K69" s="72"/>
      <c r="L69" s="72"/>
      <c r="M69" s="72"/>
      <c r="N69" s="72"/>
      <c r="O69" s="147">
        <f>ROUND(IF($D$19&lt;1,0,(L61)/($D$19*100)*10000),2)</f>
        <v>0</v>
      </c>
      <c r="P69" s="59" t="s">
        <v>120</v>
      </c>
      <c r="Q69" s="72"/>
      <c r="AE69" s="72"/>
      <c r="AF69" s="72"/>
      <c r="AG69" s="72"/>
      <c r="AH69" s="72"/>
      <c r="AI69" s="72"/>
      <c r="AJ69" s="72"/>
      <c r="AK69" s="72"/>
      <c r="AL69" s="72"/>
      <c r="AM69" s="72"/>
      <c r="AN69" s="72"/>
      <c r="AO69" s="72"/>
      <c r="AP69" s="72"/>
      <c r="AQ69" s="72"/>
      <c r="AR69" s="72"/>
      <c r="AS69" s="72"/>
      <c r="AT69" s="72"/>
      <c r="HE69" s="72"/>
      <c r="HF69" s="72"/>
      <c r="HG69" s="72"/>
      <c r="HH69" s="72"/>
      <c r="HI69" s="72"/>
      <c r="HJ69" s="72"/>
      <c r="HK69" s="72"/>
      <c r="HL69" s="72"/>
      <c r="HM69" s="72"/>
      <c r="HN69" s="72"/>
    </row>
    <row r="70" spans="1:236" x14ac:dyDescent="0.25">
      <c r="A70" s="76"/>
      <c r="B70" s="72"/>
      <c r="C70" s="72"/>
      <c r="D70" s="111"/>
      <c r="E70" s="97"/>
      <c r="F70" s="84"/>
      <c r="G70" s="64"/>
      <c r="H70" s="148"/>
      <c r="I70" s="64"/>
      <c r="J70" s="59"/>
      <c r="K70" s="59"/>
      <c r="L70" s="149"/>
      <c r="M70" s="149"/>
      <c r="N70" s="149"/>
      <c r="O70" s="150"/>
      <c r="Q70" s="151"/>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6"/>
      <c r="B71" s="72"/>
      <c r="C71" s="72"/>
      <c r="D71" s="111"/>
      <c r="E71" s="97"/>
      <c r="F71" s="84"/>
      <c r="Q71" s="151"/>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row>
    <row r="72" spans="1:236" x14ac:dyDescent="0.25">
      <c r="A72" s="72"/>
      <c r="D72" s="4"/>
      <c r="E72" s="152"/>
      <c r="F72" s="84"/>
      <c r="Q72" s="151"/>
    </row>
    <row r="73" spans="1:236" x14ac:dyDescent="0.25">
      <c r="A73" s="153"/>
      <c r="D73" s="4"/>
      <c r="E73" s="152"/>
      <c r="F73" s="1"/>
      <c r="Q73" s="154"/>
    </row>
    <row r="74" spans="1:236" x14ac:dyDescent="0.25">
      <c r="A74" s="153"/>
      <c r="D74" s="4"/>
      <c r="E74" s="152"/>
      <c r="F74" s="1"/>
      <c r="Q74" s="154"/>
    </row>
    <row r="75" spans="1:236" x14ac:dyDescent="0.25">
      <c r="A75" s="155"/>
      <c r="B75" s="144"/>
      <c r="C75" s="144"/>
      <c r="D75" s="144"/>
      <c r="E75" s="144"/>
      <c r="F75" s="144"/>
    </row>
    <row r="76" spans="1:236" x14ac:dyDescent="0.25">
      <c r="B76" s="144"/>
      <c r="C76" s="144"/>
      <c r="D76" s="144"/>
      <c r="E76" s="144"/>
      <c r="F76" s="144"/>
      <c r="P76" s="144"/>
      <c r="Q76" s="144"/>
    </row>
    <row r="77" spans="1:236" x14ac:dyDescent="0.25">
      <c r="B77" s="144"/>
      <c r="C77" s="144"/>
      <c r="D77" s="144"/>
      <c r="E77" s="144"/>
      <c r="F77" s="144"/>
      <c r="P77" s="59"/>
      <c r="Q77" s="59"/>
    </row>
    <row r="80" spans="1:23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row r="94" spans="1:1" x14ac:dyDescent="0.25">
      <c r="A94" s="432"/>
    </row>
  </sheetData>
  <sheetProtection algorithmName="SHA-512" hashValue="i+cvRCPVQTQNTsG6Ts0nEYjk7fgdHh2NQTKQdTDgp9pukBENV1z2FjiF9faUIPERNFedux/CDjK8qWwIA7Spaw==" saltValue="HV+eyVySah67XLmiHixD9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388620</xdr:colOff>
                    <xdr:row>83</xdr:row>
                    <xdr:rowOff>38100</xdr:rowOff>
                  </from>
                  <to>
                    <xdr:col>30</xdr:col>
                    <xdr:colOff>160020</xdr:colOff>
                    <xdr:row>84</xdr:row>
                    <xdr:rowOff>83820</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45720</xdr:colOff>
                    <xdr:row>0</xdr:row>
                    <xdr:rowOff>45720</xdr:rowOff>
                  </from>
                  <to>
                    <xdr:col>0</xdr:col>
                    <xdr:colOff>411480</xdr:colOff>
                    <xdr:row>1</xdr:row>
                    <xdr:rowOff>45720</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3"/>
  <sheetViews>
    <sheetView showGridLines="0" topLeftCell="A13" zoomScale="80" zoomScaleNormal="80" workbookViewId="0">
      <selection activeCell="B22" sqref="B22"/>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c r="Q1" s="156"/>
    </row>
    <row r="2" spans="1:30" ht="21" x14ac:dyDescent="0.4">
      <c r="A2" s="450" t="s">
        <v>224</v>
      </c>
      <c r="B2" s="450"/>
      <c r="C2" s="450"/>
      <c r="D2" s="450"/>
      <c r="E2" s="450"/>
      <c r="F2" s="450"/>
      <c r="G2" s="450"/>
      <c r="H2" s="450"/>
      <c r="I2" s="450"/>
      <c r="J2" s="450"/>
      <c r="K2" s="450"/>
      <c r="L2" s="450"/>
      <c r="M2" s="450"/>
      <c r="N2" s="450"/>
      <c r="O2" s="450"/>
      <c r="P2" s="450"/>
      <c r="Q2" s="52"/>
    </row>
    <row r="3" spans="1:30" ht="17.399999999999999" x14ac:dyDescent="0.3">
      <c r="A3" s="435" t="s">
        <v>11</v>
      </c>
      <c r="B3" s="435"/>
      <c r="C3" s="435"/>
      <c r="D3" s="435"/>
      <c r="E3" s="435"/>
      <c r="F3" s="435"/>
      <c r="G3" s="435"/>
      <c r="H3" s="435"/>
      <c r="I3" s="435"/>
      <c r="J3" s="435"/>
      <c r="K3" s="435"/>
      <c r="L3" s="435"/>
      <c r="M3" s="435"/>
      <c r="N3" s="435"/>
      <c r="O3" s="435"/>
      <c r="P3" s="435"/>
      <c r="Q3" s="53"/>
    </row>
    <row r="4" spans="1:30" ht="15.6" x14ac:dyDescent="0.3">
      <c r="A4" s="435"/>
      <c r="B4" s="435"/>
      <c r="C4" s="435"/>
      <c r="D4" s="435"/>
      <c r="E4" s="435"/>
      <c r="F4" s="435"/>
      <c r="G4" s="435"/>
      <c r="H4" s="435"/>
      <c r="I4" s="435"/>
      <c r="J4" s="435"/>
      <c r="K4" s="435"/>
      <c r="L4" s="435"/>
      <c r="M4" s="435"/>
      <c r="N4" s="435"/>
      <c r="O4" s="435"/>
      <c r="P4" s="435"/>
      <c r="Q4" s="54"/>
    </row>
    <row r="5" spans="1:30" x14ac:dyDescent="0.25">
      <c r="A5" s="56">
        <f ca="1">TODAY()</f>
        <v>45656</v>
      </c>
      <c r="B5" s="436" t="s">
        <v>225</v>
      </c>
      <c r="C5" s="436"/>
      <c r="D5" s="436"/>
      <c r="E5" s="436"/>
      <c r="F5" s="436"/>
      <c r="G5" s="436"/>
      <c r="H5" s="436"/>
      <c r="I5" s="436"/>
      <c r="J5" s="436"/>
      <c r="K5" s="436"/>
      <c r="L5" s="436"/>
      <c r="M5" s="436"/>
      <c r="N5" s="436"/>
      <c r="O5" s="436"/>
    </row>
    <row r="6" spans="1:30" x14ac:dyDescent="0.25">
      <c r="A6" s="437" t="s">
        <v>2</v>
      </c>
      <c r="B6" s="437"/>
      <c r="C6" s="437"/>
      <c r="D6" s="437"/>
      <c r="E6" s="437"/>
      <c r="F6" s="437"/>
      <c r="G6" s="437"/>
      <c r="H6" s="437"/>
      <c r="I6" s="437"/>
      <c r="J6" s="437"/>
      <c r="K6" s="437"/>
    </row>
    <row r="8" spans="1:30" ht="15" x14ac:dyDescent="0.25">
      <c r="A8" s="57" t="s">
        <v>5</v>
      </c>
      <c r="B8" s="58"/>
      <c r="C8" s="59">
        <f>'Customer Info'!B7</f>
        <v>0</v>
      </c>
      <c r="I8" s="60"/>
    </row>
    <row r="9" spans="1:30" ht="15" x14ac:dyDescent="0.25">
      <c r="A9" s="61" t="s">
        <v>55</v>
      </c>
      <c r="B9" s="58"/>
      <c r="C9" s="59">
        <f>'Customer Info'!B8</f>
        <v>0</v>
      </c>
    </row>
    <row r="10" spans="1:30" x14ac:dyDescent="0.25">
      <c r="A10" s="57" t="s">
        <v>124</v>
      </c>
      <c r="B10" s="62">
        <f>'Customer Info'!B9</f>
        <v>1</v>
      </c>
      <c r="C10" s="63" t="str">
        <f>LOOKUP(B10,S11:AD11,S12:AD12)</f>
        <v>January</v>
      </c>
      <c r="D10" s="64">
        <f>'Customer Info'!C9</f>
        <v>2025</v>
      </c>
    </row>
    <row r="11" spans="1:30" x14ac:dyDescent="0.25">
      <c r="A11" s="444"/>
      <c r="B11" s="444"/>
      <c r="C11" s="444"/>
      <c r="D11" s="444"/>
      <c r="E11" s="444"/>
      <c r="F11" s="444"/>
      <c r="G11" s="444"/>
      <c r="H11" s="444"/>
      <c r="I11" s="444"/>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5">
      <c r="A12" s="155" t="s">
        <v>70</v>
      </c>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R13" s="72" t="s">
        <v>125</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A14" s="158" t="s">
        <v>137</v>
      </c>
      <c r="B14" s="158"/>
      <c r="C14" s="159">
        <f>IF('Customer Info'!B22+'Customer Info'!B23-'Customer Info'!B24&lt;0,0,'Customer Info'!B22+'Customer Info'!B23-'Customer Info'!B24)</f>
        <v>0</v>
      </c>
      <c r="D14" s="158" t="s">
        <v>19</v>
      </c>
      <c r="E14" s="158"/>
      <c r="F14" s="160"/>
      <c r="G14" s="158"/>
      <c r="H14" s="158"/>
      <c r="I14" s="158"/>
      <c r="R14" s="72" t="s">
        <v>126</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t="s">
        <v>138</v>
      </c>
      <c r="B15" s="158"/>
      <c r="C15" s="177">
        <f>MAX('Customer Info'!B19,'Customer Info'!B20)</f>
        <v>0</v>
      </c>
      <c r="D15" s="158" t="s">
        <v>13</v>
      </c>
      <c r="E15" s="158"/>
      <c r="F15" s="160"/>
      <c r="G15" s="158"/>
      <c r="H15" s="158"/>
      <c r="I15" s="158"/>
      <c r="R15" s="72" t="s">
        <v>139</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5">
      <c r="A16" s="158"/>
      <c r="B16" s="158"/>
      <c r="C16" s="160"/>
      <c r="D16" s="160"/>
      <c r="E16" s="160"/>
      <c r="F16" s="160"/>
      <c r="G16" s="57"/>
      <c r="H16" s="158"/>
      <c r="I16" s="158"/>
      <c r="R16" t="s">
        <v>127</v>
      </c>
      <c r="S16" s="161">
        <f>'Rider Rates'!$C$29</f>
        <v>4.4387999999999997E-3</v>
      </c>
      <c r="T16" s="161">
        <f>'Rider Rates'!$C$29</f>
        <v>4.4387999999999997E-3</v>
      </c>
      <c r="U16" s="161">
        <f>'Rider Rates'!$C$29</f>
        <v>4.4387999999999997E-3</v>
      </c>
      <c r="V16" s="161">
        <f>'Rider Rates'!$C$29</f>
        <v>4.4387999999999997E-3</v>
      </c>
      <c r="W16" s="161">
        <f>'Rider Rates'!$C$29</f>
        <v>4.4387999999999997E-3</v>
      </c>
      <c r="X16" s="161">
        <f>'Rider Rates'!$B$29</f>
        <v>4.4387999999999997E-3</v>
      </c>
      <c r="Y16" s="161">
        <f>'Rider Rates'!$B$29</f>
        <v>4.4387999999999997E-3</v>
      </c>
      <c r="Z16" s="161">
        <f>'Rider Rates'!$B$29</f>
        <v>4.4387999999999997E-3</v>
      </c>
      <c r="AA16" s="161">
        <f>'Rider Rates'!$B$29</f>
        <v>4.4387999999999997E-3</v>
      </c>
      <c r="AB16" s="161">
        <f>'Rider Rates'!$C$29</f>
        <v>4.4387999999999997E-3</v>
      </c>
      <c r="AC16" s="161">
        <f>'Rider Rates'!$C$29</f>
        <v>4.4387999999999997E-3</v>
      </c>
      <c r="AD16" s="161">
        <f>'Rider Rates'!$C$29</f>
        <v>4.4387999999999997E-3</v>
      </c>
    </row>
    <row r="17" spans="1:221" x14ac:dyDescent="0.25">
      <c r="A17" s="162" t="s">
        <v>128</v>
      </c>
      <c r="B17" s="163"/>
      <c r="C17" s="163"/>
      <c r="D17" s="163"/>
      <c r="E17" s="163"/>
      <c r="F17" s="163"/>
      <c r="G17" s="445" t="s">
        <v>73</v>
      </c>
      <c r="H17" s="446"/>
      <c r="I17" s="446"/>
      <c r="J17" s="447"/>
      <c r="K17" s="163"/>
      <c r="L17" s="448" t="s">
        <v>74</v>
      </c>
      <c r="M17" s="448"/>
      <c r="N17" s="448"/>
      <c r="O17" s="448"/>
      <c r="R17" t="s">
        <v>129</v>
      </c>
      <c r="S17" s="161">
        <f>'Rider Rates'!$C$30</f>
        <v>2.4020999999999999E-3</v>
      </c>
      <c r="T17" s="161">
        <f>'Rider Rates'!$C$30</f>
        <v>2.4020999999999999E-3</v>
      </c>
      <c r="U17" s="161">
        <f>'Rider Rates'!$C$30</f>
        <v>2.4020999999999999E-3</v>
      </c>
      <c r="V17" s="161">
        <f>'Rider Rates'!$C$30</f>
        <v>2.4020999999999999E-3</v>
      </c>
      <c r="W17" s="161">
        <f>'Rider Rates'!$C$30</f>
        <v>2.4020999999999999E-3</v>
      </c>
      <c r="X17" s="161">
        <f>'Rider Rates'!$B$30</f>
        <v>4.2166E-3</v>
      </c>
      <c r="Y17" s="161">
        <f>'Rider Rates'!$B$30</f>
        <v>4.2166E-3</v>
      </c>
      <c r="Z17" s="161">
        <f>'Rider Rates'!$B$30</f>
        <v>4.2166E-3</v>
      </c>
      <c r="AA17" s="161">
        <f>'Rider Rates'!$B$30</f>
        <v>4.2166E-3</v>
      </c>
      <c r="AB17" s="161">
        <f>'Rider Rates'!$C$30</f>
        <v>2.4020999999999999E-3</v>
      </c>
      <c r="AC17" s="161">
        <f>'Rider Rates'!$C$30</f>
        <v>2.4020999999999999E-3</v>
      </c>
      <c r="AD17" s="161">
        <f>'Rider Rates'!$C$30</f>
        <v>2.4020999999999999E-3</v>
      </c>
    </row>
    <row r="18" spans="1:221" x14ac:dyDescent="0.25">
      <c r="G18" s="164" t="s">
        <v>75</v>
      </c>
      <c r="H18" s="164" t="s">
        <v>76</v>
      </c>
      <c r="I18" s="164" t="s">
        <v>77</v>
      </c>
      <c r="J18" s="118" t="s">
        <v>78</v>
      </c>
      <c r="L18" s="165" t="s">
        <v>75</v>
      </c>
      <c r="M18" s="165" t="s">
        <v>76</v>
      </c>
      <c r="N18" s="165" t="s">
        <v>77</v>
      </c>
      <c r="O18" s="165" t="s">
        <v>78</v>
      </c>
      <c r="P18" s="166" t="s">
        <v>79</v>
      </c>
      <c r="R18" t="s">
        <v>130</v>
      </c>
      <c r="S18" s="161">
        <f>'Rider Rates'!$C$31</f>
        <v>2.8092999999999998E-3</v>
      </c>
      <c r="T18" s="161">
        <f>'Rider Rates'!$C$31</f>
        <v>2.8092999999999998E-3</v>
      </c>
      <c r="U18" s="161">
        <f>'Rider Rates'!$C$31</f>
        <v>2.8092999999999998E-3</v>
      </c>
      <c r="V18" s="161">
        <f>'Rider Rates'!$C$31</f>
        <v>2.8092999999999998E-3</v>
      </c>
      <c r="W18" s="161">
        <f>'Rider Rates'!$C$31</f>
        <v>2.8092999999999998E-3</v>
      </c>
      <c r="X18" s="161">
        <f>'Rider Rates'!$B$31</f>
        <v>3.9453999999999999E-3</v>
      </c>
      <c r="Y18" s="161">
        <f>'Rider Rates'!$B$31</f>
        <v>3.9453999999999999E-3</v>
      </c>
      <c r="Z18" s="161">
        <f>'Rider Rates'!$B$31</f>
        <v>3.9453999999999999E-3</v>
      </c>
      <c r="AA18" s="161">
        <f>'Rider Rates'!$B$31</f>
        <v>3.9453999999999999E-3</v>
      </c>
      <c r="AB18" s="161">
        <f>'Rider Rates'!$C$31</f>
        <v>2.8092999999999998E-3</v>
      </c>
      <c r="AC18" s="161">
        <f>'Rider Rates'!$C$31</f>
        <v>2.8092999999999998E-3</v>
      </c>
      <c r="AD18" s="161">
        <f>'Rider Rates'!$C$31</f>
        <v>2.8092999999999998E-3</v>
      </c>
    </row>
    <row r="19" spans="1:221" x14ac:dyDescent="0.25">
      <c r="A19" t="s">
        <v>80</v>
      </c>
      <c r="G19" s="167"/>
      <c r="H19" s="167"/>
      <c r="I19" s="168">
        <v>10</v>
      </c>
      <c r="J19" s="168">
        <f>SUM(G19:I19)</f>
        <v>10</v>
      </c>
      <c r="L19" s="168"/>
      <c r="M19" s="168"/>
      <c r="N19" s="168">
        <f>I19</f>
        <v>10</v>
      </c>
      <c r="O19" s="168">
        <f>+SUM(L19:N19)</f>
        <v>10</v>
      </c>
      <c r="P19" s="92">
        <v>44531</v>
      </c>
      <c r="R19" s="44" t="s">
        <v>131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t="s">
        <v>140</v>
      </c>
      <c r="D20" s="111">
        <f>C15</f>
        <v>0</v>
      </c>
      <c r="E20" s="152" t="s">
        <v>13</v>
      </c>
      <c r="F20" s="1" t="s">
        <v>82</v>
      </c>
      <c r="G20" s="99"/>
      <c r="H20" s="167"/>
      <c r="I20" s="99">
        <v>4.2699999999999996</v>
      </c>
      <c r="J20" s="169">
        <f>SUM(G20:I20)</f>
        <v>4.2699999999999996</v>
      </c>
      <c r="K20" t="s">
        <v>87</v>
      </c>
      <c r="L20" s="168"/>
      <c r="M20" s="168"/>
      <c r="N20" s="168">
        <f>IF($C$14&lt;0,0,ROUND($D20*I20,2))</f>
        <v>0</v>
      </c>
      <c r="O20" s="168">
        <f>+SUM(L20:N20)</f>
        <v>0</v>
      </c>
      <c r="P20" s="92">
        <v>44531</v>
      </c>
      <c r="R20" s="44"/>
    </row>
    <row r="21" spans="1:221" x14ac:dyDescent="0.25">
      <c r="A21" s="153" t="s">
        <v>132</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5">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85</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86</v>
      </c>
      <c r="B25" s="110"/>
      <c r="C25" s="110"/>
      <c r="D25" s="111">
        <f>IF($C$14&lt;0,0,IF($C$14&gt;833000,833000,$C$14))</f>
        <v>0</v>
      </c>
      <c r="E25" s="97" t="s">
        <v>19</v>
      </c>
      <c r="F25" s="84" t="s">
        <v>82</v>
      </c>
      <c r="G25" s="100"/>
      <c r="H25" s="100"/>
      <c r="I25" s="100">
        <f>'Rider Rates'!$B$4</f>
        <v>4.6278999999999999E-3</v>
      </c>
      <c r="J25" s="175">
        <f t="shared" ref="J25:J42" si="0">SUM(G25:I25)</f>
        <v>4.6278999999999999E-3</v>
      </c>
      <c r="K25" s="94" t="s">
        <v>87</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88</v>
      </c>
      <c r="B26" s="72"/>
      <c r="C26" s="72"/>
      <c r="D26" s="4">
        <f>IF($C$14&gt;833000,$C$14-833000,0)</f>
        <v>0</v>
      </c>
      <c r="E26" s="97" t="s">
        <v>19</v>
      </c>
      <c r="F26" s="84" t="s">
        <v>82</v>
      </c>
      <c r="G26" s="100"/>
      <c r="H26" s="100"/>
      <c r="I26" s="100">
        <f>'Rider Rates'!$B$5</f>
        <v>1.7560000000000001E-4</v>
      </c>
      <c r="J26" s="175">
        <f t="shared" si="0"/>
        <v>1.7560000000000001E-4</v>
      </c>
      <c r="K26" s="94" t="s">
        <v>87</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89</v>
      </c>
      <c r="B27" s="72"/>
      <c r="C27" s="72"/>
      <c r="D27" s="111">
        <f>IF($C$14&lt;0,0,IF($C$14&gt;2000,2000,$C$14))</f>
        <v>0</v>
      </c>
      <c r="E27" s="97" t="s">
        <v>19</v>
      </c>
      <c r="F27" s="84" t="s">
        <v>82</v>
      </c>
      <c r="G27" s="100"/>
      <c r="H27" s="100"/>
      <c r="I27" s="112">
        <f>'Rider Rates'!$B$8</f>
        <v>4.6499999999999996E-3</v>
      </c>
      <c r="J27" s="112">
        <f t="shared" si="0"/>
        <v>4.6499999999999996E-3</v>
      </c>
      <c r="K27" s="94" t="s">
        <v>87</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90</v>
      </c>
      <c r="B28" s="72"/>
      <c r="C28" s="72"/>
      <c r="D28" s="111">
        <f>IF($C$14&lt;=2000,0,IF($C$14=0,0,IF($C$14-2000&gt;13000,13000,$C$14-2000)))</f>
        <v>0</v>
      </c>
      <c r="E28" s="97" t="s">
        <v>19</v>
      </c>
      <c r="F28" s="84" t="s">
        <v>82</v>
      </c>
      <c r="G28" s="100"/>
      <c r="H28" s="100"/>
      <c r="I28" s="112">
        <f>'Rider Rates'!$B$9</f>
        <v>4.1900000000000001E-3</v>
      </c>
      <c r="J28" s="112">
        <f t="shared" si="0"/>
        <v>4.1900000000000001E-3</v>
      </c>
      <c r="K28" s="94" t="s">
        <v>87</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91</v>
      </c>
      <c r="B29" s="72"/>
      <c r="C29" s="72"/>
      <c r="D29" s="111">
        <f>IF($C$14=0,0,IF($C$14-15000&gt;=0,$C$14-15000,0))</f>
        <v>0</v>
      </c>
      <c r="E29" s="97" t="s">
        <v>19</v>
      </c>
      <c r="F29" s="84" t="s">
        <v>82</v>
      </c>
      <c r="G29" s="100"/>
      <c r="H29" s="100"/>
      <c r="I29" s="112">
        <f>'Rider Rates'!$B$10</f>
        <v>3.63E-3</v>
      </c>
      <c r="J29" s="112">
        <f t="shared" si="0"/>
        <v>3.63E-3</v>
      </c>
      <c r="K29" s="94" t="s">
        <v>87</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223</v>
      </c>
      <c r="B30" s="72"/>
      <c r="C30" s="72"/>
      <c r="D30" s="113">
        <f>$N$21</f>
        <v>10</v>
      </c>
      <c r="E30" s="97" t="s">
        <v>94</v>
      </c>
      <c r="F30" s="84" t="s">
        <v>82</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92</v>
      </c>
      <c r="B31" s="72"/>
      <c r="C31" s="72"/>
      <c r="D31" s="111">
        <f>IF($C$14&lt;0,0,$C$14)</f>
        <v>0</v>
      </c>
      <c r="E31" s="97" t="s">
        <v>19</v>
      </c>
      <c r="F31" s="84" t="s">
        <v>82</v>
      </c>
      <c r="G31" s="100"/>
      <c r="H31" s="100"/>
      <c r="I31" s="100">
        <f>'Rider Rates'!B15</f>
        <v>0</v>
      </c>
      <c r="J31" s="100">
        <f>SUM(G31:I31)</f>
        <v>0</v>
      </c>
      <c r="K31" s="94" t="s">
        <v>87</v>
      </c>
      <c r="L31" s="89"/>
      <c r="M31" s="89"/>
      <c r="N31" s="89">
        <f>ROUND(D31*I31,2)</f>
        <v>0</v>
      </c>
      <c r="O31" s="89">
        <f t="shared" si="2"/>
        <v>0</v>
      </c>
      <c r="P31" s="92">
        <f>'Rider Rates'!$D$15</f>
        <v>45505</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2" t="s">
        <v>93</v>
      </c>
      <c r="B32" s="72"/>
      <c r="C32" s="72"/>
      <c r="D32" s="113">
        <f>$N$21</f>
        <v>10</v>
      </c>
      <c r="E32" s="97" t="s">
        <v>94</v>
      </c>
      <c r="F32" s="84" t="s">
        <v>82</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98</v>
      </c>
      <c r="B33" s="72"/>
      <c r="C33" s="72"/>
      <c r="D33" s="111"/>
      <c r="E33" s="97" t="s">
        <v>57</v>
      </c>
      <c r="F33" s="84"/>
      <c r="G33" s="100"/>
      <c r="H33" s="100"/>
      <c r="I33" s="100">
        <f>'Rider Rates'!D52</f>
        <v>1.17</v>
      </c>
      <c r="J33" s="100">
        <f>SUM(G33:I33)</f>
        <v>1.17</v>
      </c>
      <c r="K33" s="94" t="s">
        <v>87</v>
      </c>
      <c r="L33" s="89"/>
      <c r="M33" s="89"/>
      <c r="N33" s="89">
        <f>J33</f>
        <v>1.17</v>
      </c>
      <c r="O33" s="89">
        <f>SUM(L33:N33)</f>
        <v>1.17</v>
      </c>
      <c r="P33" s="92">
        <f>'Rider Rates'!E52</f>
        <v>45658</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99</v>
      </c>
      <c r="B34" s="72"/>
      <c r="C34" s="72"/>
      <c r="D34" s="111">
        <f>IF($C$14&lt;0,0,$C$14)</f>
        <v>0</v>
      </c>
      <c r="E34" s="97" t="s">
        <v>19</v>
      </c>
      <c r="F34" s="84" t="s">
        <v>82</v>
      </c>
      <c r="G34" s="100"/>
      <c r="H34" s="100">
        <f>'Rider Rates'!$B$59</f>
        <v>4.3837099999999997E-2</v>
      </c>
      <c r="I34" s="100"/>
      <c r="J34" s="100">
        <f>SUM(G34:I34)</f>
        <v>4.3837099999999997E-2</v>
      </c>
      <c r="K34" s="94" t="s">
        <v>87</v>
      </c>
      <c r="L34" s="89"/>
      <c r="M34" s="89">
        <f>ROUND(D34*H34,2)</f>
        <v>0</v>
      </c>
      <c r="N34" s="116"/>
      <c r="O34" s="89">
        <f t="shared" si="2"/>
        <v>0</v>
      </c>
      <c r="P34" s="92">
        <f>'Rider Rates'!$D$59</f>
        <v>45383</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100</v>
      </c>
      <c r="B35" s="72"/>
      <c r="C35" s="72"/>
      <c r="D35" s="111">
        <f>IF($C$14&lt;0,0,$C$14)</f>
        <v>0</v>
      </c>
      <c r="E35" s="97" t="s">
        <v>19</v>
      </c>
      <c r="F35" s="84" t="s">
        <v>82</v>
      </c>
      <c r="G35" s="100"/>
      <c r="H35" s="100"/>
      <c r="I35" s="100">
        <f>'Rider Rates'!$B$70</f>
        <v>8.6240000000000004E-4</v>
      </c>
      <c r="J35" s="100">
        <f t="shared" ref="J35" si="3">SUM(G35:I35)</f>
        <v>8.6240000000000004E-4</v>
      </c>
      <c r="K35" s="94" t="s">
        <v>87</v>
      </c>
      <c r="L35" s="89"/>
      <c r="M35" s="89"/>
      <c r="N35" s="89">
        <f>ROUND($D$35*'Rider Rates'!$B$70,2)</f>
        <v>0</v>
      </c>
      <c r="O35" s="89">
        <f t="shared" ref="O35:O46" si="4">SUM(L35:N35)</f>
        <v>0</v>
      </c>
      <c r="P35" s="92">
        <f>'Rider Rates'!$D$70</f>
        <v>45532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101</v>
      </c>
      <c r="B36" s="72"/>
      <c r="C36" s="72"/>
      <c r="D36" s="111">
        <f>IF('Customer Info'!C35=TRUE,0,IF($C$14&lt;0,0,$C$14))</f>
        <v>0</v>
      </c>
      <c r="E36" s="97" t="s">
        <v>19</v>
      </c>
      <c r="F36" s="84" t="s">
        <v>82</v>
      </c>
      <c r="G36" s="100"/>
      <c r="H36" s="100"/>
      <c r="I36" s="100">
        <f>'Rider Rates'!$B$73+'Rider Rates'!$C$73</f>
        <v>0</v>
      </c>
      <c r="J36" s="100">
        <f t="shared" si="0"/>
        <v>0</v>
      </c>
      <c r="K36" s="94" t="s">
        <v>87</v>
      </c>
      <c r="L36" s="89"/>
      <c r="M36" s="89"/>
      <c r="N36" s="89">
        <f>ROUND($D$36*'Rider Rates'!$B$73,2)+ROUND($D$36*'Rider Rates'!$C$73,2)</f>
        <v>0</v>
      </c>
      <c r="O36" s="89">
        <f t="shared" si="4"/>
        <v>0</v>
      </c>
      <c r="P36" s="92">
        <f>'Rider Rates'!$D$73</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102</v>
      </c>
      <c r="B37" s="72"/>
      <c r="C37" s="72"/>
      <c r="D37" s="113">
        <f>$N$21</f>
        <v>10</v>
      </c>
      <c r="E37" s="97" t="s">
        <v>94</v>
      </c>
      <c r="F37" s="84" t="s">
        <v>82</v>
      </c>
      <c r="G37" s="117"/>
      <c r="H37" s="118"/>
      <c r="I37" s="119">
        <f>'Rider Rates'!$B$89</f>
        <v>4.94232E-2</v>
      </c>
      <c r="J37" s="119">
        <f t="shared" si="0"/>
        <v>4.94232E-2</v>
      </c>
      <c r="K37" s="94"/>
      <c r="L37" s="89"/>
      <c r="M37" s="89"/>
      <c r="N37" s="89">
        <f>ROUND(D37*I37,2)</f>
        <v>0.49</v>
      </c>
      <c r="O37" s="89">
        <f t="shared" si="4"/>
        <v>0.49</v>
      </c>
      <c r="P37" s="92">
        <f>'Rider Rates'!$D$89</f>
        <v>45562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103</v>
      </c>
      <c r="B38" s="72"/>
      <c r="C38" s="72"/>
      <c r="D38" s="113">
        <f>$N$21</f>
        <v>10</v>
      </c>
      <c r="E38" s="97" t="s">
        <v>94</v>
      </c>
      <c r="F38" s="84" t="s">
        <v>82</v>
      </c>
      <c r="G38" s="120"/>
      <c r="H38" s="85"/>
      <c r="I38" s="119">
        <f>'Rider Rates'!$B$91</f>
        <v>6.6985699999999995E-2</v>
      </c>
      <c r="J38" s="119">
        <f t="shared" si="0"/>
        <v>6.6985699999999995E-2</v>
      </c>
      <c r="K38" s="94"/>
      <c r="L38" s="89"/>
      <c r="M38" s="89"/>
      <c r="N38" s="89">
        <f>ROUND(D38*I38,2)</f>
        <v>0.67</v>
      </c>
      <c r="O38" s="89">
        <f t="shared" si="4"/>
        <v>0.67</v>
      </c>
      <c r="P38" s="92">
        <f>'Rider Rates'!$D$91</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104</v>
      </c>
      <c r="B39" s="72"/>
      <c r="C39" s="72"/>
      <c r="D39" s="113"/>
      <c r="E39" s="97" t="s">
        <v>57</v>
      </c>
      <c r="F39" s="84"/>
      <c r="G39" s="120"/>
      <c r="H39" s="85"/>
      <c r="I39" s="121">
        <f>'Rider Rates'!$B$94</f>
        <v>2.08</v>
      </c>
      <c r="J39" s="121">
        <f t="shared" si="0"/>
        <v>2.08</v>
      </c>
      <c r="K39" s="94"/>
      <c r="L39" s="89"/>
      <c r="M39" s="89"/>
      <c r="N39" s="89">
        <f>I39</f>
        <v>2.08</v>
      </c>
      <c r="O39" s="89">
        <f t="shared" si="4"/>
        <v>2.08</v>
      </c>
      <c r="P39" s="92">
        <f>'Rider Rates'!$D$94</f>
        <v>45657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106</v>
      </c>
      <c r="B40" s="72"/>
      <c r="C40" s="72"/>
      <c r="D40" s="113">
        <f>$N$21</f>
        <v>10</v>
      </c>
      <c r="E40" s="97" t="s">
        <v>94</v>
      </c>
      <c r="F40" s="84" t="s">
        <v>82</v>
      </c>
      <c r="G40" s="120"/>
      <c r="H40" s="85"/>
      <c r="I40" s="119">
        <f>'Rider Rates'!$B$109</f>
        <v>0.2363101</v>
      </c>
      <c r="J40" s="119">
        <f t="shared" si="0"/>
        <v>0.2363101</v>
      </c>
      <c r="K40" s="94"/>
      <c r="L40" s="89"/>
      <c r="M40" s="89"/>
      <c r="N40" s="89">
        <f>ROUND(D40*I40,2)</f>
        <v>2.36</v>
      </c>
      <c r="O40" s="89">
        <f t="shared" si="4"/>
        <v>2.36</v>
      </c>
      <c r="P40" s="92">
        <f>'Rider Rates'!$D$109</f>
        <v>45622</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107</v>
      </c>
      <c r="B41" s="72"/>
      <c r="C41" s="72"/>
      <c r="D41" s="113"/>
      <c r="E41" s="97" t="s">
        <v>57</v>
      </c>
      <c r="F41" s="84"/>
      <c r="G41" s="120"/>
      <c r="H41" s="85"/>
      <c r="I41" s="121">
        <f>'Rider Rates'!$B$112</f>
        <v>0</v>
      </c>
      <c r="J41" s="121">
        <f t="shared" si="0"/>
        <v>0</v>
      </c>
      <c r="K41" s="94"/>
      <c r="L41" s="89"/>
      <c r="M41" s="89"/>
      <c r="N41" s="89">
        <f>I41</f>
        <v>0</v>
      </c>
      <c r="O41" s="89">
        <f t="shared" si="4"/>
        <v>0</v>
      </c>
      <c r="P41" s="92">
        <f>'Rider Rates'!$D$112</f>
        <v>44894</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108</v>
      </c>
      <c r="B42" s="72"/>
      <c r="C42" s="72"/>
      <c r="D42" s="113"/>
      <c r="E42" s="97" t="s">
        <v>57</v>
      </c>
      <c r="F42" s="84"/>
      <c r="G42" s="120"/>
      <c r="H42" s="85"/>
      <c r="I42" s="123">
        <f>'Rider Rates'!B125</f>
        <v>0.97</v>
      </c>
      <c r="J42" s="121">
        <f t="shared" si="0"/>
        <v>0.97</v>
      </c>
      <c r="K42" s="94"/>
      <c r="L42" s="89"/>
      <c r="M42" s="89"/>
      <c r="N42" s="125">
        <f>I42</f>
        <v>0.97</v>
      </c>
      <c r="O42" s="89">
        <f t="shared" si="4"/>
        <v>0.97</v>
      </c>
      <c r="P42" s="92">
        <f>'Rider Rates'!D125</f>
        <v>45593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110</v>
      </c>
      <c r="B43" s="72"/>
      <c r="C43" s="72"/>
      <c r="D43" s="111">
        <f>IF($C$14&lt;1,0,$C$14)</f>
        <v>0</v>
      </c>
      <c r="E43" s="97" t="s">
        <v>19</v>
      </c>
      <c r="F43" s="126" t="s">
        <v>82</v>
      </c>
      <c r="G43" s="100"/>
      <c r="H43" s="100"/>
      <c r="I43" s="115">
        <f>'Rider Rates'!$B$121</f>
        <v>0</v>
      </c>
      <c r="J43" s="115">
        <f>SUM(G43:I43)</f>
        <v>0</v>
      </c>
      <c r="K43" s="94" t="s">
        <v>87</v>
      </c>
      <c r="L43" s="89"/>
      <c r="M43" s="89"/>
      <c r="N43" s="89">
        <f>D43*J43</f>
        <v>0</v>
      </c>
      <c r="O43" s="89">
        <f t="shared" si="4"/>
        <v>0</v>
      </c>
      <c r="P43" s="92">
        <f>'Rider Rates'!D121</f>
        <v>45657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2" t="s">
        <v>111</v>
      </c>
      <c r="B44" s="72"/>
      <c r="C44" s="72"/>
      <c r="D44" s="111"/>
      <c r="E44" s="97" t="s">
        <v>57</v>
      </c>
      <c r="F44" s="84" t="s">
        <v>82</v>
      </c>
      <c r="G44" s="127"/>
      <c r="H44" s="127"/>
      <c r="I44" s="127">
        <f>'Rider Rates'!$B$129</f>
        <v>0.1</v>
      </c>
      <c r="J44" s="127">
        <f>SUM(G44:I44)</f>
        <v>0.1</v>
      </c>
      <c r="K44" s="94"/>
      <c r="L44" s="128"/>
      <c r="M44" s="128"/>
      <c r="N44" s="128">
        <f>J44</f>
        <v>0.1</v>
      </c>
      <c r="O44" s="128">
        <f t="shared" si="4"/>
        <v>0.1</v>
      </c>
      <c r="P44" s="129">
        <f>'Rider Rates'!$E$129</f>
        <v>45658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112</v>
      </c>
      <c r="B45" s="72"/>
      <c r="C45" s="72"/>
      <c r="D45" s="111">
        <f>C14</f>
        <v>0</v>
      </c>
      <c r="E45" s="97" t="s">
        <v>19</v>
      </c>
      <c r="F45" s="126" t="s">
        <v>82</v>
      </c>
      <c r="G45" s="100"/>
      <c r="H45" s="100"/>
      <c r="I45" s="100">
        <f>'Rider Rates'!$B$134</f>
        <v>0</v>
      </c>
      <c r="J45" s="115">
        <f>SUM(G45:I45)</f>
        <v>0</v>
      </c>
      <c r="K45" s="94" t="s">
        <v>87</v>
      </c>
      <c r="L45" s="89"/>
      <c r="M45" s="89"/>
      <c r="N45" s="89">
        <f>D45*J45</f>
        <v>0</v>
      </c>
      <c r="O45" s="89">
        <f t="shared" si="4"/>
        <v>0</v>
      </c>
      <c r="P45" s="92">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2" t="s">
        <v>113</v>
      </c>
      <c r="B46" s="72"/>
      <c r="C46" s="72"/>
      <c r="D46" s="111"/>
      <c r="E46" s="97" t="s">
        <v>57</v>
      </c>
      <c r="F46" s="84" t="s">
        <v>82</v>
      </c>
      <c r="G46" s="127"/>
      <c r="H46" s="127"/>
      <c r="I46" s="127">
        <f>'Rider Rates'!$B$141</f>
        <v>0</v>
      </c>
      <c r="J46" s="127">
        <f>SUM(G46:I46)</f>
        <v>0</v>
      </c>
      <c r="K46" s="94"/>
      <c r="L46" s="128"/>
      <c r="M46" s="128"/>
      <c r="N46" s="128">
        <f>J46</f>
        <v>0</v>
      </c>
      <c r="O46" s="128">
        <f t="shared" si="4"/>
        <v>0</v>
      </c>
      <c r="P46" s="129">
        <f>'Rider Rates'!$D$137</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2" t="s">
        <v>114</v>
      </c>
      <c r="B47" s="72"/>
      <c r="C47" s="72"/>
      <c r="D47" s="111"/>
      <c r="E47" s="97"/>
      <c r="F47" s="84"/>
      <c r="G47" s="127"/>
      <c r="H47" s="127"/>
      <c r="I47" s="127"/>
      <c r="J47" s="127"/>
      <c r="K47" s="94"/>
      <c r="L47" s="128"/>
      <c r="M47" s="128"/>
      <c r="N47" s="128"/>
      <c r="O47" s="128"/>
      <c r="P47" s="129"/>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130" t="s">
        <v>115</v>
      </c>
      <c r="B48" s="69"/>
      <c r="C48" s="69"/>
      <c r="D48" s="131"/>
      <c r="E48" s="132"/>
      <c r="F48" s="133"/>
      <c r="G48" s="133"/>
      <c r="H48" s="133"/>
      <c r="I48" s="133"/>
      <c r="J48" s="133"/>
      <c r="K48" s="134"/>
      <c r="L48" s="105">
        <f>SUM(L25:L47)</f>
        <v>0</v>
      </c>
      <c r="M48" s="105">
        <f>SUM(M25:M47)</f>
        <v>0</v>
      </c>
      <c r="N48" s="105">
        <f>SUM(N25:N47)</f>
        <v>7.839999999999999</v>
      </c>
      <c r="O48" s="105">
        <f>SUM(O25:O47)</f>
        <v>7.839999999999999</v>
      </c>
      <c r="P48" s="135"/>
      <c r="Q48" s="84"/>
      <c r="R48" s="102"/>
      <c r="S48" s="102"/>
      <c r="T48" s="136"/>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c r="B49" s="72"/>
      <c r="C49" s="72"/>
      <c r="D49" s="111"/>
      <c r="E49" s="97"/>
      <c r="F49" s="84"/>
      <c r="G49" s="84"/>
      <c r="H49" s="84"/>
      <c r="I49" s="84"/>
      <c r="J49" s="101"/>
      <c r="K49" s="94"/>
      <c r="L49" s="84"/>
      <c r="M49" s="84"/>
      <c r="N49" s="84"/>
      <c r="O49" s="84"/>
      <c r="P49" s="137"/>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106"/>
      <c r="B50" s="106"/>
      <c r="C50" s="106"/>
      <c r="D50" s="106"/>
      <c r="E50" s="106"/>
      <c r="F50" s="106"/>
      <c r="G50" s="106"/>
      <c r="H50" s="106"/>
      <c r="I50" s="106"/>
      <c r="J50" s="106"/>
      <c r="K50" s="106"/>
      <c r="L50" s="139">
        <f>L21+L48</f>
        <v>0</v>
      </c>
      <c r="M50" s="139">
        <f>M21+M48</f>
        <v>0</v>
      </c>
      <c r="N50" s="139">
        <f>N21+N48</f>
        <v>17.84</v>
      </c>
      <c r="O50" s="140">
        <f>O21+O48</f>
        <v>17.84</v>
      </c>
      <c r="P50" s="140"/>
      <c r="Q50" s="84"/>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c r="B51" s="72"/>
      <c r="C51" s="72"/>
      <c r="D51" s="72"/>
      <c r="E51" s="72"/>
      <c r="F51" s="72"/>
      <c r="G51" s="72"/>
      <c r="H51" s="72"/>
      <c r="I51" s="72"/>
      <c r="J51" s="72"/>
      <c r="K51" s="72"/>
      <c r="L51" s="72"/>
      <c r="M51" s="72"/>
      <c r="N51" s="72"/>
      <c r="O51" s="72"/>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102" t="s">
        <v>117</v>
      </c>
      <c r="B52" s="72"/>
      <c r="C52" s="72"/>
      <c r="D52" s="72"/>
      <c r="E52" s="72"/>
      <c r="F52" s="72"/>
      <c r="G52" s="72"/>
      <c r="H52" s="72"/>
      <c r="I52" s="72"/>
      <c r="J52" s="72"/>
      <c r="K52" s="72"/>
      <c r="L52" s="72"/>
      <c r="M52" s="72"/>
      <c r="N52" s="72"/>
      <c r="O52" s="95">
        <f>IF($C$14&lt;=0,MIN(O19,O50), O19)</f>
        <v>10</v>
      </c>
      <c r="P52" s="72"/>
      <c r="Q52" s="10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c r="B53" s="102"/>
      <c r="C53" s="102"/>
      <c r="D53" s="102"/>
      <c r="E53" s="102"/>
      <c r="F53" s="102"/>
      <c r="G53" s="102"/>
      <c r="H53" s="10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69" t="s">
        <v>118</v>
      </c>
      <c r="B54" s="72"/>
      <c r="C54" s="72"/>
      <c r="D54" s="72"/>
      <c r="E54" s="72"/>
      <c r="F54" s="72"/>
      <c r="G54" s="72"/>
      <c r="H54" s="72"/>
      <c r="I54" s="72"/>
      <c r="J54" s="72"/>
      <c r="K54" s="72"/>
      <c r="L54" s="72"/>
      <c r="M54" s="72"/>
      <c r="N54" s="72"/>
      <c r="O54" s="141">
        <f>IF($C$14&lt;0,O50,IF(O50&gt;O52,O50,I49))</f>
        <v>17.84</v>
      </c>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72"/>
      <c r="C55" s="72"/>
      <c r="D55" s="72"/>
      <c r="E55" s="72"/>
      <c r="F55" s="72"/>
      <c r="G55" s="72"/>
      <c r="H55" s="72"/>
      <c r="I55" s="72"/>
      <c r="J55" s="72"/>
      <c r="K55" s="72"/>
      <c r="L55" s="72"/>
      <c r="M55" s="72"/>
      <c r="N55" s="72"/>
      <c r="O55" s="142"/>
      <c r="P55" s="84"/>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102"/>
      <c r="C56" s="102"/>
      <c r="D56" s="102"/>
      <c r="E56" s="102"/>
      <c r="F56" s="102"/>
      <c r="G56" s="102"/>
      <c r="H56" s="102"/>
      <c r="I56" s="102" t="s">
        <v>119</v>
      </c>
      <c r="J56" s="102"/>
      <c r="K56" s="102"/>
      <c r="L56" s="143"/>
      <c r="M56" s="143"/>
      <c r="N56" s="143"/>
      <c r="O56" s="143">
        <f>ROUND(IF($C$14&lt;1,0,O50/($C$14*100)*10000),2)</f>
        <v>0</v>
      </c>
      <c r="P56" s="144" t="s">
        <v>120</v>
      </c>
      <c r="Q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c r="HN56" s="72"/>
      <c r="HO56" s="72"/>
      <c r="HP56" s="72"/>
      <c r="HQ56" s="72"/>
      <c r="HR56" s="72"/>
      <c r="HS56" s="72"/>
      <c r="HT56" s="72"/>
      <c r="HU56" s="72"/>
      <c r="HV56" s="72"/>
      <c r="HW56" s="72"/>
      <c r="HX56" s="72"/>
      <c r="HY56" s="72"/>
      <c r="HZ56" s="72"/>
      <c r="IA56" s="72"/>
      <c r="IB56" s="72"/>
    </row>
    <row r="57" spans="1:236" x14ac:dyDescent="0.25">
      <c r="A57" s="72"/>
      <c r="B57" s="72"/>
      <c r="C57" s="72"/>
      <c r="D57" s="72"/>
      <c r="E57" s="72"/>
      <c r="F57" s="72"/>
      <c r="G57" s="72"/>
      <c r="H57" s="145"/>
      <c r="I57" s="146" t="s">
        <v>121</v>
      </c>
      <c r="J57" s="72"/>
      <c r="K57" s="72"/>
      <c r="L57" s="72"/>
      <c r="M57" s="72"/>
      <c r="N57" s="72"/>
      <c r="O57" s="147">
        <f>ROUND(IF($C$14&lt;1,0,(L50)/($C$14*100)*10000),2)</f>
        <v>0</v>
      </c>
      <c r="P57" s="59" t="s">
        <v>120</v>
      </c>
      <c r="Q57" s="72"/>
      <c r="AE57" s="72"/>
      <c r="AF57" s="72"/>
      <c r="AG57" s="72"/>
      <c r="AH57" s="72"/>
      <c r="AI57" s="72"/>
      <c r="AJ57" s="72"/>
      <c r="AK57" s="72"/>
      <c r="AL57" s="72"/>
      <c r="AM57" s="72"/>
      <c r="AN57" s="72"/>
      <c r="AO57" s="72"/>
      <c r="AP57" s="72"/>
      <c r="AQ57" s="72"/>
      <c r="AR57" s="72"/>
      <c r="AS57" s="72"/>
      <c r="AT57" s="72"/>
      <c r="HE57" s="72"/>
      <c r="HF57" s="72"/>
      <c r="HG57" s="72"/>
      <c r="HH57" s="72"/>
      <c r="HI57" s="72"/>
      <c r="HJ57" s="72"/>
      <c r="HK57" s="72"/>
      <c r="HL57" s="72"/>
      <c r="HM57" s="72"/>
      <c r="HN57" s="72"/>
    </row>
    <row r="58" spans="1:236" x14ac:dyDescent="0.25">
      <c r="A58" s="72"/>
    </row>
    <row r="59" spans="1:236" x14ac:dyDescent="0.25">
      <c r="A59" s="72"/>
    </row>
    <row r="60" spans="1:236" x14ac:dyDescent="0.25">
      <c r="A60" s="72"/>
    </row>
    <row r="61" spans="1:236" x14ac:dyDescent="0.25">
      <c r="A61" s="72"/>
    </row>
    <row r="62" spans="1:236" x14ac:dyDescent="0.25">
      <c r="A62" s="72"/>
    </row>
    <row r="63" spans="1:236" x14ac:dyDescent="0.25">
      <c r="A63" s="72"/>
    </row>
  </sheetData>
  <sheetProtection algorithmName="SHA-512" hashValue="qbTCfGLt5NHlr2mFkDhE2s3MPRa6QXi++9MVMS81yIpQ1h+5D2YNN/8sHlWyTKn+5OobEZrd7Y/Lsclfpt3RlQ==" saltValue="P13FW7Bvxp3GSlMwNCMhG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1"/>
  <sheetViews>
    <sheetView showGridLines="0" topLeftCell="A9" zoomScale="80" zoomScaleNormal="80" workbookViewId="0">
      <selection activeCell="B22" sqref="B22"/>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226</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5"/>
      <c r="B5" s="55"/>
      <c r="C5" s="55"/>
      <c r="D5" s="55"/>
      <c r="E5" s="55"/>
      <c r="F5" s="55"/>
      <c r="G5" s="55"/>
      <c r="H5" s="55"/>
      <c r="I5" s="55"/>
      <c r="J5" s="55"/>
      <c r="K5" s="55"/>
    </row>
    <row r="6" spans="1:30" x14ac:dyDescent="0.25">
      <c r="A6" s="56">
        <f ca="1">TODAY()</f>
        <v>45656</v>
      </c>
      <c r="B6" s="76" t="s">
        <v>227</v>
      </c>
      <c r="C6" s="56"/>
      <c r="D6" s="56"/>
      <c r="E6" s="56"/>
      <c r="F6" s="56"/>
      <c r="G6" s="56"/>
      <c r="H6" s="56"/>
      <c r="I6" s="56"/>
    </row>
    <row r="7" spans="1:30" ht="24.6" x14ac:dyDescent="0.4">
      <c r="A7" s="451"/>
      <c r="B7" s="451"/>
      <c r="C7" s="451"/>
      <c r="D7" s="451"/>
      <c r="E7" s="451"/>
      <c r="F7" s="451"/>
      <c r="G7" s="451"/>
      <c r="H7" s="451"/>
      <c r="I7" s="451"/>
      <c r="J7" s="451"/>
      <c r="K7" s="451"/>
      <c r="L7" s="451"/>
      <c r="M7" s="451"/>
      <c r="N7" s="451"/>
      <c r="O7" s="451"/>
      <c r="P7" s="451"/>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86"/>
      <c r="K12" s="186"/>
      <c r="L12" s="187"/>
      <c r="M12" s="187"/>
      <c r="N12" s="187"/>
      <c r="O12" s="187"/>
      <c r="P12" s="18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62" t="s">
        <v>70</v>
      </c>
      <c r="B13" s="163"/>
      <c r="C13" s="163"/>
      <c r="D13" s="163"/>
      <c r="E13" s="163"/>
      <c r="F13" s="163"/>
      <c r="G13" s="163"/>
      <c r="H13" s="163"/>
      <c r="I13" s="163"/>
      <c r="R13" s="44" t="s">
        <v>145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71</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c r="B16" s="158"/>
      <c r="C16" s="159"/>
      <c r="D16" s="158"/>
      <c r="E16" s="158"/>
      <c r="F16" s="160"/>
      <c r="G16" s="57" t="s">
        <v>2</v>
      </c>
      <c r="H16" s="158"/>
    </row>
    <row r="17" spans="1:221" x14ac:dyDescent="0.25">
      <c r="A17" s="158"/>
      <c r="B17" s="158"/>
      <c r="C17" s="160"/>
      <c r="D17" s="160"/>
      <c r="E17" s="160"/>
      <c r="F17" s="160"/>
      <c r="G17" s="57" t="s">
        <v>2</v>
      </c>
      <c r="H17" s="158"/>
      <c r="I17" s="188" t="s">
        <v>2</v>
      </c>
    </row>
    <row r="19" spans="1:221" x14ac:dyDescent="0.25">
      <c r="A19" s="162" t="s">
        <v>72</v>
      </c>
      <c r="B19" s="163"/>
      <c r="C19" s="163"/>
      <c r="D19" s="163"/>
      <c r="E19" s="163"/>
      <c r="F19" s="163"/>
      <c r="G19" s="445" t="s">
        <v>73</v>
      </c>
      <c r="H19" s="446"/>
      <c r="I19" s="446"/>
      <c r="J19" s="447"/>
      <c r="K19" s="163"/>
      <c r="L19" s="448" t="s">
        <v>74</v>
      </c>
      <c r="M19" s="448"/>
      <c r="N19" s="448"/>
      <c r="O19" s="448"/>
    </row>
    <row r="20" spans="1:221" x14ac:dyDescent="0.25">
      <c r="G20" s="164" t="s">
        <v>75</v>
      </c>
      <c r="H20" s="164" t="s">
        <v>76</v>
      </c>
      <c r="I20" s="164" t="s">
        <v>77</v>
      </c>
      <c r="J20" s="118" t="s">
        <v>78</v>
      </c>
      <c r="L20" s="165" t="s">
        <v>75</v>
      </c>
      <c r="M20" s="165" t="s">
        <v>76</v>
      </c>
      <c r="N20" s="165" t="s">
        <v>77</v>
      </c>
      <c r="O20" s="165" t="s">
        <v>78</v>
      </c>
      <c r="P20" s="166" t="s">
        <v>79</v>
      </c>
    </row>
    <row r="21" spans="1:221" x14ac:dyDescent="0.25">
      <c r="A21" t="s">
        <v>80</v>
      </c>
      <c r="G21" s="189"/>
      <c r="H21" s="189"/>
      <c r="I21" s="189">
        <v>9.4</v>
      </c>
      <c r="J21" s="189">
        <f>SUM(G21:I21)</f>
        <v>9.4</v>
      </c>
      <c r="L21" s="190"/>
      <c r="M21" s="190"/>
      <c r="N21" s="190">
        <f>I21</f>
        <v>9.4</v>
      </c>
      <c r="O21" s="128">
        <f>SUM(L21:N21)</f>
        <v>9.4</v>
      </c>
      <c r="P21" s="92">
        <v>44531</v>
      </c>
    </row>
    <row r="22" spans="1:221" x14ac:dyDescent="0.25">
      <c r="A22" t="s">
        <v>228</v>
      </c>
      <c r="D22" s="4">
        <f>MAX(MIN($C$15,1000),-1000)</f>
        <v>0</v>
      </c>
      <c r="E22" s="152" t="s">
        <v>19</v>
      </c>
      <c r="F22" s="1" t="s">
        <v>82</v>
      </c>
      <c r="G22" s="191"/>
      <c r="H22" s="191"/>
      <c r="I22" s="191">
        <v>2.05802E-2</v>
      </c>
      <c r="J22" s="191">
        <f>SUM(G22:I22)</f>
        <v>2.05802E-2</v>
      </c>
      <c r="K22" s="154" t="s">
        <v>87</v>
      </c>
      <c r="L22" s="189"/>
      <c r="M22" s="189"/>
      <c r="N22" s="189">
        <f>IF(C15&lt;0,0,ROUND($D22*I22,2))</f>
        <v>0</v>
      </c>
      <c r="O22" s="128">
        <f>SUM(L22:N22)</f>
        <v>0</v>
      </c>
      <c r="P22" s="92">
        <v>45261</v>
      </c>
    </row>
    <row r="23" spans="1:221" x14ac:dyDescent="0.25">
      <c r="A23" t="s">
        <v>229</v>
      </c>
      <c r="D23" s="4">
        <f>IF($C$15&gt;0,MAX($C$15-1000,0),MIN($C$15+1000,0))</f>
        <v>0</v>
      </c>
      <c r="E23" s="152" t="s">
        <v>19</v>
      </c>
      <c r="F23" s="1" t="s">
        <v>82</v>
      </c>
      <c r="G23" s="191"/>
      <c r="H23" s="191"/>
      <c r="I23" s="191">
        <v>2.05802E-2</v>
      </c>
      <c r="J23" s="191">
        <f>SUM(G23:I23)</f>
        <v>2.05802E-2</v>
      </c>
      <c r="K23" s="154" t="s">
        <v>87</v>
      </c>
      <c r="L23" s="189"/>
      <c r="M23" s="189"/>
      <c r="N23" s="189">
        <f>ROUND($D23*I23,2)</f>
        <v>0</v>
      </c>
      <c r="O23" s="189">
        <f>SUM(L23:N23)</f>
        <v>0</v>
      </c>
      <c r="P23" s="92">
        <v>45261</v>
      </c>
    </row>
    <row r="24" spans="1:221" x14ac:dyDescent="0.25">
      <c r="A24" s="144" t="s">
        <v>84</v>
      </c>
      <c r="B24" s="144"/>
      <c r="C24" s="144"/>
      <c r="D24" s="170"/>
      <c r="E24" s="170"/>
      <c r="F24" s="144"/>
      <c r="G24" s="144"/>
      <c r="H24" s="144"/>
      <c r="I24" s="144"/>
      <c r="J24" s="144"/>
      <c r="K24" s="172"/>
      <c r="L24" s="171"/>
      <c r="M24" s="171"/>
      <c r="N24" s="171">
        <f>SUM(N21:N23)</f>
        <v>9.4</v>
      </c>
      <c r="O24" s="171">
        <f>SUM(O21:O23)</f>
        <v>9.4</v>
      </c>
    </row>
    <row r="25" spans="1:221" x14ac:dyDescent="0.25">
      <c r="A25" s="192"/>
      <c r="B25" s="192"/>
      <c r="C25" s="193"/>
      <c r="D25" s="193"/>
      <c r="E25" s="193"/>
      <c r="F25" s="193"/>
      <c r="G25" s="194"/>
      <c r="H25" s="194"/>
      <c r="I25" s="194"/>
      <c r="J25" s="194"/>
      <c r="K25" s="192"/>
      <c r="L25" s="192"/>
      <c r="M25" s="192"/>
      <c r="N25" s="192"/>
      <c r="O25" s="192"/>
      <c r="P25" s="192"/>
    </row>
    <row r="26" spans="1:221" x14ac:dyDescent="0.25">
      <c r="A26" s="69" t="s">
        <v>85</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86</v>
      </c>
      <c r="B28" s="110"/>
      <c r="C28" s="110"/>
      <c r="D28" s="111">
        <f>IF($C$15&lt;0,0,IF($C$15&gt;833000,833000,$C$15))</f>
        <v>0</v>
      </c>
      <c r="E28" s="97" t="s">
        <v>19</v>
      </c>
      <c r="F28" s="84" t="s">
        <v>82</v>
      </c>
      <c r="G28" s="100"/>
      <c r="H28" s="100"/>
      <c r="I28" s="100">
        <f>'Rider Rates'!$B$4</f>
        <v>4.6278999999999999E-3</v>
      </c>
      <c r="J28" s="100">
        <f t="shared" ref="J28:J44" si="0">SUM(G28:I28)</f>
        <v>4.6278999999999999E-3</v>
      </c>
      <c r="K28" s="94" t="s">
        <v>87</v>
      </c>
      <c r="L28" s="89"/>
      <c r="M28" s="89"/>
      <c r="N28" s="89">
        <f t="shared" ref="N28:N33" si="1">ROUND(D28*I28,2)</f>
        <v>0</v>
      </c>
      <c r="O28" s="89">
        <f t="shared" ref="O28:O44"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88</v>
      </c>
      <c r="B29" s="72"/>
      <c r="C29" s="72"/>
      <c r="D29" s="4">
        <f>IF($C$15&gt;833000,$C$15-833000,0)</f>
        <v>0</v>
      </c>
      <c r="E29" s="97" t="s">
        <v>19</v>
      </c>
      <c r="F29" s="84" t="s">
        <v>82</v>
      </c>
      <c r="G29" s="100"/>
      <c r="H29" s="100"/>
      <c r="I29" s="100">
        <f>'Rider Rates'!$B$5</f>
        <v>1.7560000000000001E-4</v>
      </c>
      <c r="J29" s="100">
        <f t="shared" si="0"/>
        <v>1.7560000000000001E-4</v>
      </c>
      <c r="K29" s="94" t="s">
        <v>87</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89</v>
      </c>
      <c r="B30" s="72"/>
      <c r="C30" s="72"/>
      <c r="D30" s="111">
        <f>IF('Customer Info'!$C$33=TRUE,0,IF($C$15&lt;0,0,IF($C$15&gt;2000,2000,$C$15)))</f>
        <v>0</v>
      </c>
      <c r="E30" s="97" t="s">
        <v>19</v>
      </c>
      <c r="F30" s="84" t="s">
        <v>82</v>
      </c>
      <c r="G30" s="100"/>
      <c r="H30" s="100"/>
      <c r="I30" s="112">
        <f>'Rider Rates'!$B$8</f>
        <v>4.6499999999999996E-3</v>
      </c>
      <c r="J30" s="112">
        <f t="shared" si="0"/>
        <v>4.6499999999999996E-3</v>
      </c>
      <c r="K30" s="94" t="s">
        <v>87</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90</v>
      </c>
      <c r="B31" s="72"/>
      <c r="C31" s="72"/>
      <c r="D31" s="111">
        <f>IF('Customer Info'!$C$33=TRUE,0,IF($C$15&lt;=2000,0,IF($C$15=0,0,IF($C$15-2000&gt;13000,13000,$C$15-2000))))</f>
        <v>0</v>
      </c>
      <c r="E31" s="97" t="s">
        <v>19</v>
      </c>
      <c r="F31" s="84" t="s">
        <v>82</v>
      </c>
      <c r="G31" s="100"/>
      <c r="H31" s="100"/>
      <c r="I31" s="112">
        <f>'Rider Rates'!$B$9</f>
        <v>4.1900000000000001E-3</v>
      </c>
      <c r="J31" s="112">
        <f t="shared" si="0"/>
        <v>4.1900000000000001E-3</v>
      </c>
      <c r="K31" s="94" t="s">
        <v>87</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91</v>
      </c>
      <c r="B32" s="72"/>
      <c r="C32" s="72"/>
      <c r="D32" s="111">
        <f>IF('Customer Info'!$C$33=TRUE,0,IF($C$15=0,0,IF($C$15-15000&gt;=0,$C$15-15000,0)))</f>
        <v>0</v>
      </c>
      <c r="E32" s="97" t="s">
        <v>19</v>
      </c>
      <c r="F32" s="84" t="s">
        <v>82</v>
      </c>
      <c r="G32" s="100"/>
      <c r="H32" s="100"/>
      <c r="I32" s="112">
        <f>'Rider Rates'!$B$10</f>
        <v>3.63E-3</v>
      </c>
      <c r="J32" s="112">
        <f t="shared" si="0"/>
        <v>3.63E-3</v>
      </c>
      <c r="K32" s="94" t="s">
        <v>87</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92</v>
      </c>
      <c r="B33" s="72"/>
      <c r="C33" s="72"/>
      <c r="D33" s="111">
        <f>IF($C$15&lt;0,0,$C$15)</f>
        <v>0</v>
      </c>
      <c r="E33" s="97" t="s">
        <v>19</v>
      </c>
      <c r="F33" s="84" t="s">
        <v>82</v>
      </c>
      <c r="G33" s="100"/>
      <c r="H33" s="100"/>
      <c r="I33" s="100">
        <f>'Rider Rates'!$B$16</f>
        <v>0</v>
      </c>
      <c r="J33" s="100">
        <f>SUM(G33:I33)</f>
        <v>0</v>
      </c>
      <c r="K33" s="94" t="s">
        <v>87</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93</v>
      </c>
      <c r="B34" s="72"/>
      <c r="C34" s="72"/>
      <c r="D34" s="113">
        <f>$N$24</f>
        <v>9.4</v>
      </c>
      <c r="E34" s="97" t="s">
        <v>94</v>
      </c>
      <c r="F34" s="84" t="s">
        <v>82</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2" t="s">
        <v>98</v>
      </c>
      <c r="B35" s="72"/>
      <c r="C35" s="72"/>
      <c r="D35" s="111">
        <f>IF($C$15&lt;0,0,IF($C$15&gt;833000,833000,$C$15))</f>
        <v>0</v>
      </c>
      <c r="E35" s="97" t="s">
        <v>19</v>
      </c>
      <c r="F35" s="84" t="s">
        <v>82</v>
      </c>
      <c r="G35" s="100"/>
      <c r="H35" s="100"/>
      <c r="I35" s="100">
        <f>'Rider Rates'!D53</f>
        <v>1.8006999999999999E-3</v>
      </c>
      <c r="J35" s="100">
        <f>SUM(G35:I35)</f>
        <v>1.8006999999999999E-3</v>
      </c>
      <c r="K35" s="94" t="s">
        <v>87</v>
      </c>
      <c r="L35" s="89"/>
      <c r="M35" s="89"/>
      <c r="N35" s="89">
        <f>D35*J35</f>
        <v>0</v>
      </c>
      <c r="O35" s="89">
        <f t="shared" si="2"/>
        <v>0</v>
      </c>
      <c r="P35" s="92">
        <f>'Rider Rates'!E53</f>
        <v>45658</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99</v>
      </c>
      <c r="B36" s="72"/>
      <c r="C36" s="72"/>
      <c r="D36" s="111">
        <f>IF($C$15&lt;0,0,$C$15)</f>
        <v>0</v>
      </c>
      <c r="E36" s="97" t="s">
        <v>19</v>
      </c>
      <c r="F36" s="84" t="s">
        <v>82</v>
      </c>
      <c r="G36" s="100"/>
      <c r="H36" s="100">
        <f>'Rider Rates'!$B$60</f>
        <v>2.3467399999999999E-2</v>
      </c>
      <c r="I36" s="100"/>
      <c r="J36" s="100">
        <f>SUM(G36:I36)</f>
        <v>2.3467399999999999E-2</v>
      </c>
      <c r="K36" s="94" t="s">
        <v>87</v>
      </c>
      <c r="L36" s="89"/>
      <c r="M36" s="89">
        <f>ROUND(D36*H36,2)</f>
        <v>0</v>
      </c>
      <c r="N36" s="116"/>
      <c r="O36" s="89">
        <f t="shared" si="2"/>
        <v>0</v>
      </c>
      <c r="P36" s="92">
        <f>'Rider Rates'!$D$60</f>
        <v>45383</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101</v>
      </c>
      <c r="B37" s="72"/>
      <c r="C37" s="72"/>
      <c r="D37" s="111">
        <f>IF('Customer Info'!C35=TRUE,0,IF($C$15&lt;0,0,$C$15))</f>
        <v>0</v>
      </c>
      <c r="E37" s="97" t="s">
        <v>19</v>
      </c>
      <c r="F37" s="84" t="s">
        <v>82</v>
      </c>
      <c r="G37" s="100"/>
      <c r="H37" s="100"/>
      <c r="I37" s="100">
        <f>'Rider Rates'!$B$74+'Rider Rates'!$C$74</f>
        <v>0</v>
      </c>
      <c r="J37" s="100">
        <f t="shared" si="0"/>
        <v>0</v>
      </c>
      <c r="K37" s="94" t="s">
        <v>87</v>
      </c>
      <c r="L37" s="89"/>
      <c r="M37" s="89"/>
      <c r="N37" s="89">
        <f>ROUND($D$37*'Rider Rates'!$B$74,2)+ROUND($D$37*'Rider Rates'!$C$74,2)</f>
        <v>0</v>
      </c>
      <c r="O37" s="89">
        <f t="shared" si="2"/>
        <v>0</v>
      </c>
      <c r="P37" s="92">
        <f>'Rider Rates'!$D$74</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101</v>
      </c>
      <c r="B38" s="72"/>
      <c r="C38" s="72"/>
      <c r="D38" s="111"/>
      <c r="E38" s="97" t="s">
        <v>57</v>
      </c>
      <c r="F38" s="84"/>
      <c r="G38" s="100"/>
      <c r="H38" s="100"/>
      <c r="I38" s="121">
        <f>'Rider Rates'!$B$81</f>
        <v>0</v>
      </c>
      <c r="J38" s="121">
        <f>IF('Customer Info'!C35=TRUE,0,SUM(G38:I38))</f>
        <v>0</v>
      </c>
      <c r="K38" s="94"/>
      <c r="L38" s="89"/>
      <c r="M38" s="89"/>
      <c r="N38" s="89">
        <f>J38</f>
        <v>0</v>
      </c>
      <c r="O38" s="89">
        <f>SUM(L38:N38)</f>
        <v>0</v>
      </c>
      <c r="P38" s="92">
        <f>'Rider Rates'!$D$81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102</v>
      </c>
      <c r="B39" s="72"/>
      <c r="C39" s="72"/>
      <c r="D39" s="113">
        <f>$N$24</f>
        <v>9.4</v>
      </c>
      <c r="E39" s="97" t="s">
        <v>94</v>
      </c>
      <c r="F39" s="84" t="s">
        <v>82</v>
      </c>
      <c r="G39" s="117"/>
      <c r="H39" s="118"/>
      <c r="I39" s="119">
        <f>'Rider Rates'!$B$89</f>
        <v>4.94232E-2</v>
      </c>
      <c r="J39" s="119">
        <f t="shared" si="0"/>
        <v>4.94232E-2</v>
      </c>
      <c r="K39" s="94"/>
      <c r="L39" s="89"/>
      <c r="M39" s="89"/>
      <c r="N39" s="89">
        <f>ROUND(D39*I39,2)</f>
        <v>0.46</v>
      </c>
      <c r="O39" s="89">
        <f t="shared" si="2"/>
        <v>0.46</v>
      </c>
      <c r="P39" s="92">
        <f>'Rider Rates'!$D$89</f>
        <v>45562</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103</v>
      </c>
      <c r="B40" s="72"/>
      <c r="C40" s="72"/>
      <c r="D40" s="113">
        <f>$N$24</f>
        <v>9.4</v>
      </c>
      <c r="E40" s="97" t="s">
        <v>94</v>
      </c>
      <c r="F40" s="84" t="s">
        <v>82</v>
      </c>
      <c r="G40" s="120"/>
      <c r="H40" s="85"/>
      <c r="I40" s="119">
        <f>'Rider Rates'!$B$91</f>
        <v>6.6985699999999995E-2</v>
      </c>
      <c r="J40" s="119">
        <f t="shared" si="0"/>
        <v>6.6985699999999995E-2</v>
      </c>
      <c r="K40" s="94"/>
      <c r="L40" s="89"/>
      <c r="M40" s="89"/>
      <c r="N40" s="89">
        <f>ROUND(D40*I40,2)</f>
        <v>0.63</v>
      </c>
      <c r="O40" s="89">
        <f t="shared" si="2"/>
        <v>0.63</v>
      </c>
      <c r="P40" s="92">
        <f>'Rider Rates'!$D$91</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104</v>
      </c>
      <c r="B41" s="72"/>
      <c r="C41" s="72"/>
      <c r="D41" s="113"/>
      <c r="E41" s="97" t="s">
        <v>57</v>
      </c>
      <c r="F41" s="84"/>
      <c r="G41" s="120"/>
      <c r="H41" s="85"/>
      <c r="I41" s="121">
        <f>'Rider Rates'!$B$95</f>
        <v>17.53</v>
      </c>
      <c r="J41" s="121">
        <f t="shared" si="0"/>
        <v>17.53</v>
      </c>
      <c r="K41" s="94"/>
      <c r="L41" s="89"/>
      <c r="M41" s="89"/>
      <c r="N41" s="89">
        <f>I41</f>
        <v>17.53</v>
      </c>
      <c r="O41" s="89">
        <f t="shared" si="2"/>
        <v>17.53</v>
      </c>
      <c r="P41" s="92">
        <f>'Rider Rates'!$D$95</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106</v>
      </c>
      <c r="B42" s="72"/>
      <c r="C42" s="72"/>
      <c r="D42" s="113">
        <f>$N$24</f>
        <v>9.4</v>
      </c>
      <c r="E42" s="97" t="s">
        <v>94</v>
      </c>
      <c r="F42" s="84" t="s">
        <v>82</v>
      </c>
      <c r="G42" s="120"/>
      <c r="H42" s="85"/>
      <c r="I42" s="119">
        <f>'Rider Rates'!$B$109</f>
        <v>0.2363101</v>
      </c>
      <c r="J42" s="119">
        <f t="shared" si="0"/>
        <v>0.2363101</v>
      </c>
      <c r="K42" s="94"/>
      <c r="L42" s="89"/>
      <c r="M42" s="89"/>
      <c r="N42" s="89">
        <f>ROUND(D42*I42,2)</f>
        <v>2.2200000000000002</v>
      </c>
      <c r="O42" s="89">
        <f t="shared" si="2"/>
        <v>2.2200000000000002</v>
      </c>
      <c r="P42" s="92">
        <f>'Rider Rates'!$D$109</f>
        <v>45622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107</v>
      </c>
      <c r="B43" s="72"/>
      <c r="C43" s="72"/>
      <c r="D43" s="113"/>
      <c r="E43" s="97" t="s">
        <v>57</v>
      </c>
      <c r="F43" s="84"/>
      <c r="G43" s="120"/>
      <c r="H43" s="85"/>
      <c r="I43" s="121">
        <f>'Rider Rates'!$B$113</f>
        <v>0</v>
      </c>
      <c r="J43" s="121">
        <f t="shared" si="0"/>
        <v>0</v>
      </c>
      <c r="K43" s="94"/>
      <c r="L43" s="89"/>
      <c r="M43" s="89"/>
      <c r="N43" s="89">
        <f>I43</f>
        <v>0</v>
      </c>
      <c r="O43" s="89">
        <f t="shared" si="2"/>
        <v>0</v>
      </c>
      <c r="P43" s="92">
        <f>'Rider Rates'!$D$113</f>
        <v>44894</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108</v>
      </c>
      <c r="B44" s="72"/>
      <c r="C44" s="72"/>
      <c r="D44" s="113"/>
      <c r="E44" s="97" t="s">
        <v>57</v>
      </c>
      <c r="F44" s="84"/>
      <c r="G44" s="120"/>
      <c r="H44" s="85"/>
      <c r="I44" s="123">
        <f>'Rider Rates'!B126</f>
        <v>4.84</v>
      </c>
      <c r="J44" s="121">
        <f t="shared" si="0"/>
        <v>4.84</v>
      </c>
      <c r="K44" s="94"/>
      <c r="L44" s="89"/>
      <c r="M44" s="89"/>
      <c r="N44" s="125">
        <f>I44</f>
        <v>4.84</v>
      </c>
      <c r="O44" s="89">
        <f t="shared" si="2"/>
        <v>4.84</v>
      </c>
      <c r="P44" s="92">
        <f>'Rider Rates'!D126</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110</v>
      </c>
      <c r="B45" s="72"/>
      <c r="C45" s="72"/>
      <c r="D45" s="111">
        <f>IF($C$15&lt;1,0,$C$15)</f>
        <v>0</v>
      </c>
      <c r="E45" s="97" t="s">
        <v>19</v>
      </c>
      <c r="F45" s="126" t="s">
        <v>82</v>
      </c>
      <c r="G45" s="99"/>
      <c r="H45" s="99"/>
      <c r="I45" s="183">
        <f>'Rider Rates'!B122</f>
        <v>0</v>
      </c>
      <c r="J45" s="183">
        <f>SUM(G45:I45)</f>
        <v>0</v>
      </c>
      <c r="K45" s="94" t="s">
        <v>87</v>
      </c>
      <c r="L45" s="89"/>
      <c r="M45" s="89"/>
      <c r="N45" s="89">
        <f>D45*J45</f>
        <v>0</v>
      </c>
      <c r="O45" s="89">
        <f>SUM(L45:N45)</f>
        <v>0</v>
      </c>
      <c r="P45" s="92">
        <f>'Rider Rates'!D122</f>
        <v>45657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2" t="s">
        <v>169</v>
      </c>
      <c r="B46" s="72"/>
      <c r="C46" s="72"/>
      <c r="D46" s="111">
        <f>IF(C15&lt;0,0,IF(C15&gt;833000,833000,C15))</f>
        <v>0</v>
      </c>
      <c r="E46" s="97" t="s">
        <v>19</v>
      </c>
      <c r="F46" s="84" t="s">
        <v>82</v>
      </c>
      <c r="G46" s="195"/>
      <c r="H46" s="195"/>
      <c r="I46" s="195">
        <f>'Rider Rates'!B130</f>
        <v>2.9050000000000001E-4</v>
      </c>
      <c r="J46" s="195">
        <f>SUM(G46:I46)</f>
        <v>2.9050000000000001E-4</v>
      </c>
      <c r="K46" s="94" t="s">
        <v>87</v>
      </c>
      <c r="L46" s="196"/>
      <c r="M46" s="196"/>
      <c r="N46" s="196">
        <f>IF(D46*J46&gt;'Rider Rates'!$C$130,'Rider Rates'!$C$130,D46*J46)</f>
        <v>0</v>
      </c>
      <c r="O46" s="196">
        <f>SUM(L46:N46)</f>
        <v>0</v>
      </c>
      <c r="P46" s="129">
        <f>'Rider Rates'!$E$130</f>
        <v>45658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2" t="s">
        <v>170</v>
      </c>
      <c r="B47" s="72"/>
      <c r="C47" s="72"/>
      <c r="D47" s="4">
        <f>IF(C15&gt;833000,C15-833000,0)</f>
        <v>0</v>
      </c>
      <c r="E47" s="97" t="s">
        <v>19</v>
      </c>
      <c r="F47" s="84" t="s">
        <v>82</v>
      </c>
      <c r="G47" s="195"/>
      <c r="H47" s="195"/>
      <c r="I47" s="195">
        <f>'Rider Rates'!B131</f>
        <v>0</v>
      </c>
      <c r="J47" s="195">
        <f>SUM(G47:I47)</f>
        <v>0</v>
      </c>
      <c r="K47" s="94" t="s">
        <v>87</v>
      </c>
      <c r="L47" s="196"/>
      <c r="M47" s="196"/>
      <c r="N47" s="196">
        <f>D47*J47</f>
        <v>0</v>
      </c>
      <c r="O47" s="196">
        <f>SUM(L47:N47)</f>
        <v>0</v>
      </c>
      <c r="P47" s="129">
        <f>'Rider Rates'!$E$131</f>
        <v>45658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112</v>
      </c>
      <c r="B48" s="72"/>
      <c r="C48" s="72"/>
      <c r="D48" s="111">
        <f>C15</f>
        <v>0</v>
      </c>
      <c r="E48" s="97" t="s">
        <v>19</v>
      </c>
      <c r="F48" s="126" t="s">
        <v>82</v>
      </c>
      <c r="G48" s="100"/>
      <c r="H48" s="100"/>
      <c r="I48" s="100">
        <f>'Rider Rates'!$B$135</f>
        <v>0</v>
      </c>
      <c r="J48" s="115">
        <f>SUM(G48:I48)</f>
        <v>0</v>
      </c>
      <c r="K48" s="94" t="s">
        <v>87</v>
      </c>
      <c r="L48" s="89"/>
      <c r="M48" s="89"/>
      <c r="N48" s="89">
        <f>D48*J48</f>
        <v>0</v>
      </c>
      <c r="O48" s="89">
        <f>SUM(L48:N48)</f>
        <v>0</v>
      </c>
      <c r="P48" s="92">
        <f>'Rider Rates'!$D$135</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113</v>
      </c>
      <c r="B49" s="72"/>
      <c r="C49" s="72"/>
      <c r="D49" s="111"/>
      <c r="E49" s="97" t="s">
        <v>57</v>
      </c>
      <c r="F49" s="84" t="s">
        <v>82</v>
      </c>
      <c r="G49" s="127"/>
      <c r="H49" s="127"/>
      <c r="I49" s="127">
        <f>'Rider Rates'!$B$142</f>
        <v>0</v>
      </c>
      <c r="J49" s="127">
        <f>SUM(G49:I49)</f>
        <v>0</v>
      </c>
      <c r="K49" s="94"/>
      <c r="L49" s="128"/>
      <c r="M49" s="128"/>
      <c r="N49" s="128">
        <f>J49</f>
        <v>0</v>
      </c>
      <c r="O49" s="128">
        <f>SUM(L49:N49)</f>
        <v>0</v>
      </c>
      <c r="P49" s="129">
        <f>'Rider Rates'!D142</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114</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130" t="s">
        <v>115</v>
      </c>
      <c r="B51" s="69"/>
      <c r="C51" s="69"/>
      <c r="D51" s="131"/>
      <c r="E51" s="132"/>
      <c r="F51" s="133"/>
      <c r="G51" s="133"/>
      <c r="H51" s="133"/>
      <c r="I51" s="133"/>
      <c r="J51" s="133"/>
      <c r="K51" s="134"/>
      <c r="L51" s="105">
        <f>SUM(L28:L50)</f>
        <v>0</v>
      </c>
      <c r="M51" s="105">
        <f>SUM(M28:M50)</f>
        <v>0</v>
      </c>
      <c r="N51" s="105">
        <f>SUM(N28:N50)</f>
        <v>25.68</v>
      </c>
      <c r="O51" s="105">
        <f>SUM(O28:O50)</f>
        <v>25.68</v>
      </c>
      <c r="P51" s="135"/>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c r="B52" s="72"/>
      <c r="C52" s="72"/>
      <c r="D52" s="111"/>
      <c r="E52" s="97"/>
      <c r="F52" s="84"/>
      <c r="G52" s="84"/>
      <c r="H52" s="84"/>
      <c r="I52" s="84"/>
      <c r="J52" s="101"/>
      <c r="K52" s="94"/>
      <c r="L52" s="84"/>
      <c r="M52" s="84"/>
      <c r="N52" s="84"/>
      <c r="O52" s="84"/>
      <c r="P52" s="137"/>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138" t="s">
        <v>116</v>
      </c>
      <c r="B53" s="106"/>
      <c r="C53" s="106"/>
      <c r="D53" s="106"/>
      <c r="E53" s="106"/>
      <c r="F53" s="106"/>
      <c r="G53" s="106"/>
      <c r="H53" s="106"/>
      <c r="I53" s="106"/>
      <c r="J53" s="106"/>
      <c r="K53" s="106"/>
      <c r="L53" s="139">
        <f>L24+L51</f>
        <v>0</v>
      </c>
      <c r="M53" s="139">
        <f>M24+M51</f>
        <v>0</v>
      </c>
      <c r="N53" s="139">
        <f>N24+N51</f>
        <v>35.08</v>
      </c>
      <c r="O53" s="140">
        <f>O24+O51</f>
        <v>35.08</v>
      </c>
      <c r="P53" s="140"/>
      <c r="Q53" s="84"/>
      <c r="R53" s="197"/>
      <c r="S53" s="94"/>
      <c r="T53" s="95"/>
      <c r="U53" s="72"/>
      <c r="V53" s="94"/>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72"/>
      <c r="C55" s="72"/>
      <c r="D55" s="72"/>
      <c r="E55" s="72"/>
      <c r="F55" s="72"/>
      <c r="G55" s="72"/>
      <c r="H55" s="72"/>
      <c r="I55" s="72"/>
      <c r="J55" s="72"/>
      <c r="K55" s="72"/>
      <c r="L55" s="72"/>
      <c r="M55" s="72"/>
      <c r="N55" s="72"/>
      <c r="O55" s="72"/>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02" t="s">
        <v>117</v>
      </c>
      <c r="B56" s="72"/>
      <c r="C56" s="72"/>
      <c r="D56" s="72"/>
      <c r="E56" s="72"/>
      <c r="F56" s="72"/>
      <c r="G56" s="72"/>
      <c r="H56" s="72"/>
      <c r="I56" s="72"/>
      <c r="J56" s="72"/>
      <c r="K56" s="72"/>
      <c r="L56" s="72"/>
      <c r="M56" s="72"/>
      <c r="N56" s="72"/>
      <c r="O56" s="95">
        <f>O21+O51</f>
        <v>35.08</v>
      </c>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102" t="s">
        <v>2</v>
      </c>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69" t="s">
        <v>118</v>
      </c>
      <c r="B58" s="72"/>
      <c r="C58" s="72"/>
      <c r="D58" s="72"/>
      <c r="E58" s="72"/>
      <c r="F58" s="72"/>
      <c r="G58" s="72"/>
      <c r="H58" s="72"/>
      <c r="I58" s="72"/>
      <c r="J58" s="72"/>
      <c r="K58" s="72"/>
      <c r="L58" s="72"/>
      <c r="M58" s="72"/>
      <c r="N58" s="72"/>
      <c r="O58" s="141">
        <f>IF($D$17&lt;0,O53,IF(O53&gt;O56,O53,O56))</f>
        <v>35.08</v>
      </c>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ht="15" customHeight="1" x14ac:dyDescent="0.25">
      <c r="A59" s="69"/>
      <c r="B59" s="72"/>
      <c r="C59" s="72"/>
      <c r="D59" s="72"/>
      <c r="E59" s="72"/>
      <c r="F59" s="72"/>
      <c r="G59" s="72"/>
      <c r="H59" s="72"/>
      <c r="I59" s="72"/>
      <c r="J59" s="72"/>
      <c r="K59" s="72"/>
      <c r="L59" s="72"/>
      <c r="M59" s="72"/>
      <c r="N59" s="72"/>
      <c r="O59" s="141"/>
      <c r="P59" s="84"/>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5">
      <c r="A60" s="69"/>
      <c r="B60" s="102"/>
      <c r="C60" s="102"/>
      <c r="D60" s="102"/>
      <c r="E60" s="102"/>
      <c r="F60" s="102"/>
      <c r="G60" s="102"/>
      <c r="H60" s="102"/>
      <c r="I60" s="102" t="s">
        <v>119</v>
      </c>
      <c r="J60" s="102"/>
      <c r="K60" s="102"/>
      <c r="L60" s="143"/>
      <c r="M60" s="143"/>
      <c r="N60" s="143"/>
      <c r="O60" s="143">
        <f>ROUND(IF($C$15&lt;1,0,O53/($C$15*100)*10000),2)</f>
        <v>0</v>
      </c>
      <c r="P60" s="144" t="s">
        <v>120</v>
      </c>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5">
      <c r="B61" s="72"/>
      <c r="C61" s="72"/>
      <c r="D61" s="72"/>
      <c r="E61" s="72"/>
      <c r="F61" s="72"/>
      <c r="G61" s="72"/>
      <c r="H61" s="145"/>
      <c r="I61" s="146" t="s">
        <v>121</v>
      </c>
      <c r="J61" s="72"/>
      <c r="K61" s="72"/>
      <c r="L61" s="72"/>
      <c r="M61" s="72"/>
      <c r="N61" s="72"/>
      <c r="O61" s="147">
        <f>ROUND(IF($C$15&lt;1,0,(L53)/($C$15*100)*10000),2)</f>
        <v>0</v>
      </c>
      <c r="P61" s="59" t="s">
        <v>120</v>
      </c>
      <c r="Q61" s="72"/>
      <c r="R61" s="72"/>
      <c r="S61" s="72"/>
      <c r="T61" s="72"/>
      <c r="U61" s="72"/>
      <c r="V61" s="72"/>
      <c r="W61" s="72"/>
      <c r="X61" s="72"/>
      <c r="Y61" s="72"/>
      <c r="Z61" s="72"/>
      <c r="AA61" s="72"/>
      <c r="AB61" s="72"/>
      <c r="AC61" s="72"/>
      <c r="AD61" s="72"/>
      <c r="AE61" s="72"/>
      <c r="AF61" s="72"/>
      <c r="AG61" s="72"/>
      <c r="AH61" s="72"/>
      <c r="AI61" s="72"/>
      <c r="AJ61" s="72"/>
      <c r="AK61" s="72"/>
    </row>
  </sheetData>
  <sheetProtection algorithmName="SHA-512" hashValue="xJAMaQYrW919JR7RHMRFpZ4WbFFhSuvrXkQAy5g491ISmir3TUTt6XF6ARIwjx0Gl5sO/T868ZO2cnAX74jWtg==" saltValue="IltjiI6mc6fJKcApZIdIf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68</xdr:row>
                    <xdr:rowOff>45720</xdr:rowOff>
                  </from>
                  <to>
                    <xdr:col>15</xdr:col>
                    <xdr:colOff>541020</xdr:colOff>
                    <xdr:row>69</xdr:row>
                    <xdr:rowOff>106680</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6"/>
  <sheetViews>
    <sheetView showGridLines="0" topLeftCell="A23" zoomScale="80" zoomScaleNormal="80" workbookViewId="0">
      <selection activeCell="B22" sqref="B22"/>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166</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5"/>
      <c r="B5" s="55"/>
      <c r="C5" s="55"/>
      <c r="D5" s="55"/>
      <c r="E5" s="55"/>
      <c r="F5" s="55"/>
      <c r="G5" s="55"/>
      <c r="H5" s="55"/>
      <c r="I5" s="55"/>
      <c r="J5" s="55"/>
      <c r="K5" s="55"/>
    </row>
    <row r="6" spans="1:30" x14ac:dyDescent="0.25">
      <c r="A6" s="56">
        <f ca="1">TODAY()</f>
        <v>45656</v>
      </c>
      <c r="B6" s="76" t="s">
        <v>171</v>
      </c>
      <c r="C6" s="56"/>
      <c r="D6" s="56"/>
      <c r="E6" s="56"/>
      <c r="F6" s="56"/>
      <c r="G6" s="56"/>
      <c r="H6" s="56"/>
      <c r="I6" s="56"/>
    </row>
    <row r="7" spans="1:30" ht="24.6" x14ac:dyDescent="0.4">
      <c r="A7" s="451"/>
      <c r="B7" s="451"/>
      <c r="C7" s="451"/>
      <c r="D7" s="451"/>
      <c r="E7" s="451"/>
      <c r="F7" s="451"/>
      <c r="G7" s="451"/>
      <c r="H7" s="451"/>
      <c r="I7" s="451"/>
      <c r="J7" s="451"/>
      <c r="K7" s="451"/>
      <c r="L7" s="451"/>
      <c r="M7" s="451"/>
      <c r="N7" s="451"/>
      <c r="O7" s="451"/>
      <c r="P7" s="451"/>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86"/>
      <c r="K12" s="186"/>
      <c r="L12" s="187"/>
      <c r="M12" s="187"/>
      <c r="N12" s="187"/>
      <c r="O12" s="187"/>
      <c r="P12" s="18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62" t="s">
        <v>70</v>
      </c>
      <c r="B13" s="163"/>
      <c r="C13" s="163"/>
      <c r="D13" s="163"/>
      <c r="E13" s="163"/>
      <c r="F13" s="163"/>
      <c r="G13" s="163"/>
      <c r="H13" s="163"/>
      <c r="I13" s="163"/>
      <c r="R13" s="44" t="s">
        <v>145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71</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t="s">
        <v>172</v>
      </c>
      <c r="B16" s="158"/>
      <c r="C16" s="159">
        <f>'Customer Info'!B22</f>
        <v>0</v>
      </c>
      <c r="D16" s="158" t="s">
        <v>19</v>
      </c>
      <c r="E16" s="158"/>
      <c r="F16" s="160"/>
      <c r="G16" s="57" t="s">
        <v>2</v>
      </c>
      <c r="H16" s="158"/>
    </row>
    <row r="17" spans="1:221" x14ac:dyDescent="0.25">
      <c r="A17" s="158" t="s">
        <v>173</v>
      </c>
      <c r="B17" s="158"/>
      <c r="C17" s="159">
        <f>'Customer Info'!B23</f>
        <v>0</v>
      </c>
      <c r="D17" s="198" t="s">
        <v>19</v>
      </c>
      <c r="E17" s="160"/>
      <c r="F17" s="160"/>
      <c r="G17" s="57" t="s">
        <v>2</v>
      </c>
      <c r="H17" s="158"/>
      <c r="I17" s="188" t="s">
        <v>2</v>
      </c>
    </row>
    <row r="19" spans="1:221" x14ac:dyDescent="0.25">
      <c r="A19" s="162" t="s">
        <v>72</v>
      </c>
      <c r="B19" s="163"/>
      <c r="C19" s="163"/>
      <c r="D19" s="163"/>
      <c r="E19" s="163"/>
      <c r="F19" s="163"/>
      <c r="G19" s="445" t="s">
        <v>73</v>
      </c>
      <c r="H19" s="446"/>
      <c r="I19" s="446"/>
      <c r="J19" s="447"/>
      <c r="K19" s="163"/>
      <c r="L19" s="448" t="s">
        <v>74</v>
      </c>
      <c r="M19" s="448"/>
      <c r="N19" s="448"/>
      <c r="O19" s="448"/>
    </row>
    <row r="20" spans="1:221" x14ac:dyDescent="0.25">
      <c r="G20" s="164" t="s">
        <v>75</v>
      </c>
      <c r="H20" s="164" t="s">
        <v>76</v>
      </c>
      <c r="I20" s="164" t="s">
        <v>77</v>
      </c>
      <c r="J20" s="118" t="s">
        <v>78</v>
      </c>
      <c r="L20" s="165" t="s">
        <v>75</v>
      </c>
      <c r="M20" s="165" t="s">
        <v>76</v>
      </c>
      <c r="N20" s="165" t="s">
        <v>77</v>
      </c>
      <c r="O20" s="165" t="s">
        <v>78</v>
      </c>
      <c r="P20" s="166" t="s">
        <v>79</v>
      </c>
    </row>
    <row r="21" spans="1:221" x14ac:dyDescent="0.25">
      <c r="A21" t="s">
        <v>80</v>
      </c>
      <c r="G21" s="189"/>
      <c r="H21" s="189"/>
      <c r="I21" s="189">
        <v>9.4</v>
      </c>
      <c r="J21" s="189">
        <f>SUM(G21:I21)</f>
        <v>9.4</v>
      </c>
      <c r="L21" s="190"/>
      <c r="M21" s="190"/>
      <c r="N21" s="190">
        <f>I21</f>
        <v>9.4</v>
      </c>
      <c r="O21" s="128">
        <f>SUM(L21:N21)</f>
        <v>9.4</v>
      </c>
      <c r="P21" s="92">
        <v>44531</v>
      </c>
    </row>
    <row r="22" spans="1:221" x14ac:dyDescent="0.25">
      <c r="A22" s="44" t="s">
        <v>174</v>
      </c>
      <c r="D22" s="4">
        <f>C15</f>
        <v>0</v>
      </c>
      <c r="E22" s="152" t="s">
        <v>19</v>
      </c>
      <c r="F22" s="1" t="s">
        <v>82</v>
      </c>
      <c r="G22" s="191"/>
      <c r="H22" s="191"/>
      <c r="I22" s="191">
        <v>2.05802E-2</v>
      </c>
      <c r="J22" s="191">
        <f>SUM(G22:I22)</f>
        <v>2.05802E-2</v>
      </c>
      <c r="K22" s="154" t="s">
        <v>87</v>
      </c>
      <c r="L22" s="189"/>
      <c r="M22" s="189"/>
      <c r="N22" s="189">
        <f>IF(C15&lt;0,0,ROUND($D22*I22,2))</f>
        <v>0</v>
      </c>
      <c r="O22" s="128">
        <f>SUM(L22:N22)</f>
        <v>0</v>
      </c>
      <c r="P22" s="92">
        <v>44531</v>
      </c>
    </row>
    <row r="23" spans="1:221" x14ac:dyDescent="0.25">
      <c r="A23" s="144" t="s">
        <v>84</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85</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86</v>
      </c>
      <c r="B27" s="110"/>
      <c r="C27" s="110"/>
      <c r="D27" s="111">
        <f>IF($C$15&lt;0,0,IF($C$15&gt;833000,833000,$C$15))</f>
        <v>0</v>
      </c>
      <c r="E27" s="97" t="s">
        <v>19</v>
      </c>
      <c r="F27" s="84" t="s">
        <v>82</v>
      </c>
      <c r="G27" s="100"/>
      <c r="H27" s="100"/>
      <c r="I27" s="100">
        <f>'Rider Rates'!$B$4</f>
        <v>4.6278999999999999E-3</v>
      </c>
      <c r="J27" s="100">
        <f t="shared" ref="J27:J48" si="0">SUM(G27:I27)</f>
        <v>4.6278999999999999E-3</v>
      </c>
      <c r="K27" s="94" t="s">
        <v>87</v>
      </c>
      <c r="L27" s="89"/>
      <c r="M27" s="89"/>
      <c r="N27" s="89">
        <f t="shared" ref="N27:N32" si="1">ROUND(D27*I27,2)</f>
        <v>0</v>
      </c>
      <c r="O27" s="89">
        <f t="shared" ref="O27:O49"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4">
        <f>IF($C$15&gt;833000,$C$15-833000,0)</f>
        <v>0</v>
      </c>
      <c r="E28" s="97" t="s">
        <v>19</v>
      </c>
      <c r="F28" s="84" t="s">
        <v>82</v>
      </c>
      <c r="G28" s="100"/>
      <c r="H28" s="100"/>
      <c r="I28" s="100">
        <f>'Rider Rates'!$B$5</f>
        <v>1.7560000000000001E-4</v>
      </c>
      <c r="J28" s="100">
        <f t="shared" si="0"/>
        <v>1.7560000000000001E-4</v>
      </c>
      <c r="K28" s="94" t="s">
        <v>87</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IF('Customer Info'!$C$33=TRUE,0,IF($C$15&lt;0,0,IF($C$15&gt;2000,2000,$C$15)))</f>
        <v>0</v>
      </c>
      <c r="E29" s="97" t="s">
        <v>19</v>
      </c>
      <c r="F29" s="84" t="s">
        <v>82</v>
      </c>
      <c r="G29" s="100"/>
      <c r="H29" s="100"/>
      <c r="I29" s="112">
        <f>'Rider Rates'!$B$8</f>
        <v>4.6499999999999996E-3</v>
      </c>
      <c r="J29" s="112">
        <f t="shared" si="0"/>
        <v>4.6499999999999996E-3</v>
      </c>
      <c r="K29" s="94" t="s">
        <v>87</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90</v>
      </c>
      <c r="B30" s="72"/>
      <c r="C30" s="72"/>
      <c r="D30" s="111">
        <f>IF('Customer Info'!$C$33=TRUE,0,IF($C$15&lt;=2000,0,IF($C$15=0,0,IF($C$15-2000&gt;13000,13000,$C$15-2000))))</f>
        <v>0</v>
      </c>
      <c r="E30" s="97" t="s">
        <v>19</v>
      </c>
      <c r="F30" s="84" t="s">
        <v>82</v>
      </c>
      <c r="G30" s="100"/>
      <c r="H30" s="100"/>
      <c r="I30" s="112">
        <f>'Rider Rates'!$B$9</f>
        <v>4.1900000000000001E-3</v>
      </c>
      <c r="J30" s="112">
        <f t="shared" si="0"/>
        <v>4.1900000000000001E-3</v>
      </c>
      <c r="K30" s="94" t="s">
        <v>87</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91</v>
      </c>
      <c r="B31" s="72"/>
      <c r="C31" s="72"/>
      <c r="D31" s="111">
        <f>IF('Customer Info'!$C$33=TRUE,0,IF($C$15=0,0,IF($C$15-15000&gt;=0,$C$15-15000,0)))</f>
        <v>0</v>
      </c>
      <c r="E31" s="97" t="s">
        <v>19</v>
      </c>
      <c r="F31" s="84" t="s">
        <v>82</v>
      </c>
      <c r="G31" s="100"/>
      <c r="H31" s="100"/>
      <c r="I31" s="112">
        <f>'Rider Rates'!$B$10</f>
        <v>3.63E-3</v>
      </c>
      <c r="J31" s="112">
        <f t="shared" si="0"/>
        <v>3.63E-3</v>
      </c>
      <c r="K31" s="94" t="s">
        <v>87</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92</v>
      </c>
      <c r="B32" s="72"/>
      <c r="C32" s="72"/>
      <c r="D32" s="111">
        <f>IF($C$15&lt;0,0,$C$15)</f>
        <v>0</v>
      </c>
      <c r="E32" s="97" t="s">
        <v>19</v>
      </c>
      <c r="F32" s="84" t="s">
        <v>82</v>
      </c>
      <c r="G32" s="100"/>
      <c r="H32" s="100"/>
      <c r="I32" s="100">
        <f>'Rider Rates'!$B$16</f>
        <v>0</v>
      </c>
      <c r="J32" s="100">
        <f>SUM(G32:I32)</f>
        <v>0</v>
      </c>
      <c r="K32" s="94" t="s">
        <v>87</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93</v>
      </c>
      <c r="B33" s="72"/>
      <c r="C33" s="72"/>
      <c r="D33" s="113">
        <f>$N$23</f>
        <v>9.4</v>
      </c>
      <c r="E33" s="97" t="s">
        <v>94</v>
      </c>
      <c r="F33" s="84" t="s">
        <v>82</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95</v>
      </c>
      <c r="B34" s="72"/>
      <c r="C34" s="72"/>
      <c r="D34" s="111">
        <f>C16+C17</f>
        <v>0</v>
      </c>
      <c r="E34" s="97" t="s">
        <v>19</v>
      </c>
      <c r="F34" s="84" t="s">
        <v>82</v>
      </c>
      <c r="G34" s="100"/>
      <c r="H34" s="100"/>
      <c r="I34" s="100"/>
      <c r="J34" s="115">
        <f>SUM(G34:H34)</f>
        <v>0</v>
      </c>
      <c r="K34" s="94" t="s">
        <v>87</v>
      </c>
      <c r="L34" s="89"/>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148</v>
      </c>
      <c r="B35" s="72"/>
      <c r="C35" s="72"/>
      <c r="D35" s="111">
        <f>C16</f>
        <v>0</v>
      </c>
      <c r="E35" s="97" t="s">
        <v>19</v>
      </c>
      <c r="F35" s="84" t="s">
        <v>82</v>
      </c>
      <c r="G35" s="100"/>
      <c r="H35" s="100"/>
      <c r="I35" s="100"/>
      <c r="J35" s="115">
        <f>SUM(G35:H35)</f>
        <v>0</v>
      </c>
      <c r="K35" s="94" t="s">
        <v>87</v>
      </c>
      <c r="L35" s="89"/>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149</v>
      </c>
      <c r="B36" s="72"/>
      <c r="C36" s="72"/>
      <c r="D36" s="111">
        <f>C17</f>
        <v>0</v>
      </c>
      <c r="E36" s="97" t="s">
        <v>19</v>
      </c>
      <c r="F36" s="126" t="s">
        <v>82</v>
      </c>
      <c r="G36" s="100"/>
      <c r="H36" s="100"/>
      <c r="I36" s="100"/>
      <c r="J36" s="115">
        <f>SUM(G36:H36)</f>
        <v>0</v>
      </c>
      <c r="K36" s="94" t="s">
        <v>87</v>
      </c>
      <c r="L36" s="89"/>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97</v>
      </c>
      <c r="B37" s="72"/>
      <c r="C37" s="72"/>
      <c r="D37" s="111">
        <f>C16+C17</f>
        <v>0</v>
      </c>
      <c r="E37" s="97" t="s">
        <v>19</v>
      </c>
      <c r="F37" s="84" t="s">
        <v>82</v>
      </c>
      <c r="G37" s="100"/>
      <c r="H37" s="100"/>
      <c r="I37" s="100"/>
      <c r="J37" s="115">
        <f>SUM(G37:H37)</f>
        <v>0</v>
      </c>
      <c r="K37" s="94" t="s">
        <v>87</v>
      </c>
      <c r="L37" s="89"/>
      <c r="M37" s="89"/>
      <c r="N37" s="89"/>
      <c r="O37" s="89">
        <f t="shared" si="2"/>
        <v>0</v>
      </c>
      <c r="P37" s="92">
        <f>'Rider Rates'!$D$49</f>
        <v>45657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98</v>
      </c>
      <c r="B38" s="72"/>
      <c r="C38" s="72"/>
      <c r="D38" s="111">
        <f>IF($C$15&lt;0,0,IF($C$15&gt;833000,833000,$C$15))</f>
        <v>0</v>
      </c>
      <c r="E38" s="97" t="s">
        <v>19</v>
      </c>
      <c r="F38" s="84" t="s">
        <v>82</v>
      </c>
      <c r="G38" s="100"/>
      <c r="H38" s="100"/>
      <c r="I38" s="100">
        <f>'Rider Rates'!D53</f>
        <v>1.8006999999999999E-3</v>
      </c>
      <c r="J38" s="100">
        <f>SUM(G38:I38)</f>
        <v>1.8006999999999999E-3</v>
      </c>
      <c r="K38" s="94" t="s">
        <v>87</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99</v>
      </c>
      <c r="B39" s="72"/>
      <c r="C39" s="72"/>
      <c r="D39" s="111">
        <f>IF($C$15&lt;0,0,$C$15)</f>
        <v>0</v>
      </c>
      <c r="E39" s="97" t="s">
        <v>19</v>
      </c>
      <c r="F39" s="84" t="s">
        <v>82</v>
      </c>
      <c r="G39" s="100"/>
      <c r="H39" s="100">
        <f>'Rider Rates'!$B$60</f>
        <v>2.3467399999999999E-2</v>
      </c>
      <c r="I39" s="100"/>
      <c r="J39" s="100">
        <f>SUM(G39:I39)</f>
        <v>2.3467399999999999E-2</v>
      </c>
      <c r="K39" s="94" t="s">
        <v>87</v>
      </c>
      <c r="L39" s="89"/>
      <c r="M39" s="89">
        <f>ROUND(D39*H39,2)</f>
        <v>0</v>
      </c>
      <c r="N39" s="116"/>
      <c r="O39" s="89">
        <f t="shared" si="2"/>
        <v>0</v>
      </c>
      <c r="P39" s="92">
        <f>'Rider Rates'!$D$60</f>
        <v>45383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1">
        <f>IF('Customer Info'!C35=TRUE,0,IF($C$15&lt;0,0,$C$15))</f>
        <v>0</v>
      </c>
      <c r="E40" s="97" t="s">
        <v>19</v>
      </c>
      <c r="F40" s="84" t="s">
        <v>82</v>
      </c>
      <c r="G40" s="100"/>
      <c r="H40" s="100"/>
      <c r="I40" s="100">
        <f>'Rider Rates'!$B$74+'Rider Rates'!$C$74</f>
        <v>0</v>
      </c>
      <c r="J40" s="100">
        <f t="shared" si="0"/>
        <v>0</v>
      </c>
      <c r="K40" s="94" t="s">
        <v>87</v>
      </c>
      <c r="L40" s="89"/>
      <c r="M40" s="89"/>
      <c r="N40" s="89">
        <f>ROUND($D$40*'Rider Rates'!$B$74,2)+ROUND($D$40*'Rider Rates'!$C$74,2)</f>
        <v>0</v>
      </c>
      <c r="O40" s="89">
        <f t="shared" si="2"/>
        <v>0</v>
      </c>
      <c r="P40" s="92">
        <f>'Rider Rates'!$D$74</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101</v>
      </c>
      <c r="B41" s="72"/>
      <c r="C41" s="72"/>
      <c r="D41" s="111"/>
      <c r="E41" s="97" t="s">
        <v>57</v>
      </c>
      <c r="F41" s="84"/>
      <c r="G41" s="100"/>
      <c r="H41" s="100"/>
      <c r="I41" s="121">
        <f>'Rider Rates'!$B$81</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102</v>
      </c>
      <c r="B42" s="72"/>
      <c r="C42" s="72"/>
      <c r="D42" s="113">
        <f>$N$23</f>
        <v>9.4</v>
      </c>
      <c r="E42" s="97" t="s">
        <v>94</v>
      </c>
      <c r="F42" s="84" t="s">
        <v>82</v>
      </c>
      <c r="G42" s="117"/>
      <c r="H42" s="118"/>
      <c r="I42" s="119">
        <f>'Rider Rates'!$B$89</f>
        <v>4.94232E-2</v>
      </c>
      <c r="J42" s="119">
        <f t="shared" si="0"/>
        <v>4.94232E-2</v>
      </c>
      <c r="K42" s="94"/>
      <c r="L42" s="89"/>
      <c r="M42" s="89"/>
      <c r="N42" s="89">
        <f>ROUND(D42*I42,2)</f>
        <v>0.46</v>
      </c>
      <c r="O42" s="89">
        <f t="shared" si="2"/>
        <v>0.46</v>
      </c>
      <c r="P42" s="92">
        <f>'Rider Rates'!$D$89</f>
        <v>45562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103</v>
      </c>
      <c r="B43" s="72"/>
      <c r="C43" s="72"/>
      <c r="D43" s="113">
        <f>$N$23</f>
        <v>9.4</v>
      </c>
      <c r="E43" s="97" t="s">
        <v>94</v>
      </c>
      <c r="F43" s="84" t="s">
        <v>82</v>
      </c>
      <c r="G43" s="120"/>
      <c r="H43" s="85"/>
      <c r="I43" s="119">
        <f>'Rider Rates'!$B$91</f>
        <v>6.6985699999999995E-2</v>
      </c>
      <c r="J43" s="119">
        <f t="shared" si="0"/>
        <v>6.6985699999999995E-2</v>
      </c>
      <c r="K43" s="94"/>
      <c r="L43" s="89"/>
      <c r="M43" s="89"/>
      <c r="N43" s="89">
        <f>ROUND(D43*I43,2)</f>
        <v>0.63</v>
      </c>
      <c r="O43" s="89">
        <f t="shared" si="2"/>
        <v>0.63</v>
      </c>
      <c r="P43" s="92">
        <f>'Rider Rates'!$D$91</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104</v>
      </c>
      <c r="B44" s="72"/>
      <c r="C44" s="72"/>
      <c r="D44" s="113"/>
      <c r="E44" s="97" t="s">
        <v>57</v>
      </c>
      <c r="F44" s="84"/>
      <c r="G44" s="120"/>
      <c r="H44" s="85"/>
      <c r="I44" s="121">
        <f>'Rider Rates'!$B$95</f>
        <v>17.53</v>
      </c>
      <c r="J44" s="121">
        <f t="shared" si="0"/>
        <v>17.53</v>
      </c>
      <c r="K44" s="94"/>
      <c r="L44" s="89"/>
      <c r="M44" s="89"/>
      <c r="N44" s="89">
        <f>I44</f>
        <v>17.53</v>
      </c>
      <c r="O44" s="89">
        <f t="shared" si="2"/>
        <v>17.53</v>
      </c>
      <c r="P44" s="92">
        <f>'Rider Rates'!$D$95</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105</v>
      </c>
      <c r="B45" s="72"/>
      <c r="C45" s="72"/>
      <c r="D45" s="111">
        <f>IF($C$15&lt;0,0,$C$15)</f>
        <v>0</v>
      </c>
      <c r="E45" s="97" t="s">
        <v>19</v>
      </c>
      <c r="F45" s="84" t="s">
        <v>82</v>
      </c>
      <c r="G45" s="100"/>
      <c r="H45" s="100"/>
      <c r="I45" s="100"/>
      <c r="J45" s="100">
        <f>'Rider Rates'!$B$99</f>
        <v>0</v>
      </c>
      <c r="K45" s="94" t="s">
        <v>87</v>
      </c>
      <c r="L45" s="89"/>
      <c r="M45" s="89"/>
      <c r="N45" s="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3">
        <f>$N$23</f>
        <v>9.4</v>
      </c>
      <c r="E46" s="97" t="s">
        <v>94</v>
      </c>
      <c r="F46" s="84" t="s">
        <v>82</v>
      </c>
      <c r="G46" s="120"/>
      <c r="H46" s="85"/>
      <c r="I46" s="119">
        <f>'Rider Rates'!$B$109</f>
        <v>0.2363101</v>
      </c>
      <c r="J46" s="119">
        <f t="shared" si="0"/>
        <v>0.2363101</v>
      </c>
      <c r="K46" s="94"/>
      <c r="L46" s="89"/>
      <c r="M46" s="89"/>
      <c r="N46" s="89">
        <f>ROUND(D46*I46,2)</f>
        <v>2.2200000000000002</v>
      </c>
      <c r="O46" s="89">
        <f t="shared" si="2"/>
        <v>2.2200000000000002</v>
      </c>
      <c r="P46" s="92">
        <f>'Rider Rates'!$D$109</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3"/>
      <c r="E47" s="97" t="s">
        <v>57</v>
      </c>
      <c r="F47" s="84"/>
      <c r="G47" s="120"/>
      <c r="H47" s="85"/>
      <c r="I47" s="121">
        <f>'Rider Rates'!$B$113</f>
        <v>0</v>
      </c>
      <c r="J47" s="121">
        <f t="shared" si="0"/>
        <v>0</v>
      </c>
      <c r="K47" s="94"/>
      <c r="L47" s="89"/>
      <c r="M47" s="89"/>
      <c r="N47" s="89">
        <f>I47</f>
        <v>0</v>
      </c>
      <c r="O47" s="89">
        <f t="shared" si="2"/>
        <v>0</v>
      </c>
      <c r="P47" s="92">
        <f>'Rider Rates'!$D$113</f>
        <v>44894</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108</v>
      </c>
      <c r="B48" s="72"/>
      <c r="C48" s="72"/>
      <c r="D48" s="113"/>
      <c r="E48" s="97" t="s">
        <v>57</v>
      </c>
      <c r="F48" s="84"/>
      <c r="G48" s="120"/>
      <c r="H48" s="85"/>
      <c r="I48" s="123">
        <f>'Rider Rates'!B126</f>
        <v>4.84</v>
      </c>
      <c r="J48" s="121">
        <f t="shared" si="0"/>
        <v>4.84</v>
      </c>
      <c r="K48" s="94"/>
      <c r="L48" s="89"/>
      <c r="M48" s="89"/>
      <c r="N48" s="125">
        <f>I48</f>
        <v>4.84</v>
      </c>
      <c r="O48" s="89">
        <f t="shared" si="2"/>
        <v>4.84</v>
      </c>
      <c r="P48" s="92">
        <f>'Rider Rates'!D126</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109</v>
      </c>
      <c r="B49" s="72"/>
      <c r="C49" s="72"/>
      <c r="D49" s="111">
        <f>C16+C17</f>
        <v>0</v>
      </c>
      <c r="E49" s="97" t="s">
        <v>19</v>
      </c>
      <c r="F49" s="84" t="s">
        <v>82</v>
      </c>
      <c r="G49" s="100"/>
      <c r="H49" s="100"/>
      <c r="I49" s="119"/>
      <c r="J49" s="115">
        <f>SUM(G49:H49)</f>
        <v>0</v>
      </c>
      <c r="K49" s="94" t="s">
        <v>87</v>
      </c>
      <c r="L49" s="89"/>
      <c r="M49" s="89"/>
      <c r="N49" s="89"/>
      <c r="O49" s="89">
        <f t="shared" si="2"/>
        <v>0</v>
      </c>
      <c r="P49" s="92">
        <f>'Rider Rates'!$D$116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6" t="s">
        <v>110</v>
      </c>
      <c r="B50" s="72"/>
      <c r="C50" s="72"/>
      <c r="D50" s="111">
        <f>IF($C$15&lt;1,0,$C$15)</f>
        <v>0</v>
      </c>
      <c r="E50" s="97" t="s">
        <v>19</v>
      </c>
      <c r="F50" s="126" t="s">
        <v>82</v>
      </c>
      <c r="G50" s="99"/>
      <c r="H50" s="99"/>
      <c r="I50" s="183">
        <f>'Rider Rates'!B122</f>
        <v>0</v>
      </c>
      <c r="J50" s="183">
        <f>SUM(G50:I50)</f>
        <v>0</v>
      </c>
      <c r="K50" s="94" t="s">
        <v>87</v>
      </c>
      <c r="L50" s="89"/>
      <c r="M50" s="89"/>
      <c r="N50" s="89">
        <f>D50*J50</f>
        <v>0</v>
      </c>
      <c r="O50" s="89">
        <f>SUM(L50:N50)</f>
        <v>0</v>
      </c>
      <c r="P50" s="92">
        <f>'Rider Rates'!D122</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169</v>
      </c>
      <c r="B51" s="72"/>
      <c r="C51" s="72"/>
      <c r="D51" s="111">
        <f>IF(C15&lt;0,0,IF(C15&gt;833000,833000,C15))</f>
        <v>0</v>
      </c>
      <c r="E51" s="97" t="s">
        <v>19</v>
      </c>
      <c r="F51" s="84" t="s">
        <v>82</v>
      </c>
      <c r="G51" s="195"/>
      <c r="H51" s="195"/>
      <c r="I51" s="195">
        <f>'Rider Rates'!$B$130</f>
        <v>2.9050000000000001E-4</v>
      </c>
      <c r="J51" s="195">
        <f>SUM(G51:I51)</f>
        <v>2.9050000000000001E-4</v>
      </c>
      <c r="K51" s="94" t="s">
        <v>87</v>
      </c>
      <c r="L51" s="196"/>
      <c r="M51" s="196"/>
      <c r="N51" s="196">
        <f>IF(D51*J51&gt;'Rider Rates'!$C$130,'Rider Rates'!$C$130,D51*J51)</f>
        <v>0</v>
      </c>
      <c r="O51" s="196">
        <f>SUM(L51:N51)</f>
        <v>0</v>
      </c>
      <c r="P51" s="129">
        <f>'Rider Rates'!$E$130</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170</v>
      </c>
      <c r="B52" s="72"/>
      <c r="C52" s="72"/>
      <c r="D52" s="4">
        <f>IF(C15&gt;833000,C15-833000,0)</f>
        <v>0</v>
      </c>
      <c r="E52" s="97" t="s">
        <v>19</v>
      </c>
      <c r="F52" s="84" t="s">
        <v>82</v>
      </c>
      <c r="G52" s="195"/>
      <c r="H52" s="195"/>
      <c r="I52" s="195">
        <f>'Rider Rates'!$B$131</f>
        <v>0</v>
      </c>
      <c r="J52" s="195">
        <f>SUM(G52:I52)</f>
        <v>0</v>
      </c>
      <c r="K52" s="94" t="s">
        <v>87</v>
      </c>
      <c r="L52" s="196"/>
      <c r="M52" s="196"/>
      <c r="N52" s="196">
        <f>D52*J52</f>
        <v>0</v>
      </c>
      <c r="O52" s="196">
        <f>SUM(L52:N52)</f>
        <v>0</v>
      </c>
      <c r="P52" s="129">
        <f>'Rider Rates'!$E$131</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112</v>
      </c>
      <c r="B53" s="72"/>
      <c r="C53" s="72"/>
      <c r="D53" s="111">
        <f>C15</f>
        <v>0</v>
      </c>
      <c r="E53" s="97" t="s">
        <v>19</v>
      </c>
      <c r="F53" s="126" t="s">
        <v>82</v>
      </c>
      <c r="G53" s="100"/>
      <c r="H53" s="100"/>
      <c r="I53" s="100">
        <f>'Rider Rates'!$B$135</f>
        <v>0</v>
      </c>
      <c r="J53" s="115">
        <f>SUM(G53:I53)</f>
        <v>0</v>
      </c>
      <c r="K53" s="94" t="s">
        <v>87</v>
      </c>
      <c r="L53" s="89"/>
      <c r="M53" s="89"/>
      <c r="N53" s="89">
        <f>D53*J53</f>
        <v>0</v>
      </c>
      <c r="O53" s="89">
        <f>SUM(L53:N53)</f>
        <v>0</v>
      </c>
      <c r="P53" s="92">
        <f>'Rider Rates'!$D$135</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113</v>
      </c>
      <c r="B54" s="72"/>
      <c r="C54" s="72"/>
      <c r="D54" s="111"/>
      <c r="E54" s="97" t="s">
        <v>57</v>
      </c>
      <c r="F54" s="84" t="s">
        <v>82</v>
      </c>
      <c r="G54" s="127"/>
      <c r="H54" s="127"/>
      <c r="I54" s="127">
        <f>'Rider Rates'!$B$142</f>
        <v>0</v>
      </c>
      <c r="J54" s="127">
        <f>SUM(G54:I54)</f>
        <v>0</v>
      </c>
      <c r="K54" s="94"/>
      <c r="L54" s="128"/>
      <c r="M54" s="128"/>
      <c r="N54" s="128">
        <f>J54</f>
        <v>0</v>
      </c>
      <c r="O54" s="128">
        <f>SUM(L54:N54)</f>
        <v>0</v>
      </c>
      <c r="P54" s="129">
        <f>'Rider Rates'!$D$142</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t="s">
        <v>114</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30" t="s">
        <v>115</v>
      </c>
      <c r="B56" s="69"/>
      <c r="C56" s="69"/>
      <c r="D56" s="131"/>
      <c r="E56" s="132"/>
      <c r="F56" s="133"/>
      <c r="G56" s="133"/>
      <c r="H56" s="133"/>
      <c r="I56" s="133"/>
      <c r="J56" s="133"/>
      <c r="K56" s="134"/>
      <c r="L56" s="105">
        <f>SUM(L27:L55)</f>
        <v>0</v>
      </c>
      <c r="M56" s="105">
        <f>SUM(M27:M55)</f>
        <v>0</v>
      </c>
      <c r="N56" s="105">
        <f>SUM(N27:N55)</f>
        <v>25.68</v>
      </c>
      <c r="O56" s="105">
        <f>SUM(O27:O55)</f>
        <v>25.68</v>
      </c>
      <c r="P56" s="135"/>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72"/>
      <c r="C57" s="72"/>
      <c r="D57" s="111"/>
      <c r="E57" s="97"/>
      <c r="F57" s="84"/>
      <c r="G57" s="84"/>
      <c r="H57" s="84"/>
      <c r="I57" s="84"/>
      <c r="J57" s="101"/>
      <c r="K57" s="94"/>
      <c r="L57" s="84"/>
      <c r="M57" s="84"/>
      <c r="N57" s="84"/>
      <c r="O57" s="84"/>
      <c r="P57" s="137"/>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138" t="s">
        <v>116</v>
      </c>
      <c r="B58" s="106"/>
      <c r="C58" s="106"/>
      <c r="D58" s="106"/>
      <c r="E58" s="106"/>
      <c r="F58" s="106"/>
      <c r="G58" s="106"/>
      <c r="H58" s="106"/>
      <c r="I58" s="106"/>
      <c r="J58" s="106"/>
      <c r="K58" s="106"/>
      <c r="L58" s="139">
        <f>L23+L56</f>
        <v>0</v>
      </c>
      <c r="M58" s="139">
        <f>M23+M56</f>
        <v>0</v>
      </c>
      <c r="N58" s="139">
        <f>N23+N56</f>
        <v>35.08</v>
      </c>
      <c r="O58" s="140">
        <f>O23+O56</f>
        <v>35.08</v>
      </c>
      <c r="P58" s="140"/>
      <c r="Q58" s="84"/>
      <c r="R58" s="197"/>
      <c r="S58" s="94"/>
      <c r="T58" s="95"/>
      <c r="U58" s="72"/>
      <c r="V58" s="94"/>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72"/>
      <c r="B60" s="72"/>
      <c r="C60" s="72"/>
      <c r="D60" s="72"/>
      <c r="E60" s="72"/>
      <c r="F60" s="72"/>
      <c r="G60" s="72"/>
      <c r="H60" s="72"/>
      <c r="I60" s="72"/>
      <c r="J60" s="72"/>
      <c r="K60" s="72"/>
      <c r="L60" s="72"/>
      <c r="M60" s="72"/>
      <c r="N60" s="72"/>
      <c r="O60" s="72"/>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117</v>
      </c>
      <c r="B61" s="72"/>
      <c r="C61" s="72"/>
      <c r="D61" s="72"/>
      <c r="E61" s="72"/>
      <c r="F61" s="72"/>
      <c r="G61" s="72"/>
      <c r="H61" s="72"/>
      <c r="I61" s="72"/>
      <c r="J61" s="72"/>
      <c r="K61" s="72"/>
      <c r="L61" s="72"/>
      <c r="M61" s="72"/>
      <c r="N61" s="72"/>
      <c r="O61" s="95">
        <f>O21+O56</f>
        <v>35.08</v>
      </c>
      <c r="P61" s="72"/>
      <c r="Q61" s="102"/>
      <c r="R61" s="102"/>
      <c r="S61" s="102"/>
      <c r="T61" s="136"/>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102" t="s">
        <v>2</v>
      </c>
      <c r="B62" s="102"/>
      <c r="C62" s="102"/>
      <c r="D62" s="102"/>
      <c r="E62" s="102"/>
      <c r="F62" s="102"/>
      <c r="G62" s="102"/>
      <c r="H62" s="10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x14ac:dyDescent="0.25">
      <c r="A63" s="69" t="s">
        <v>118</v>
      </c>
      <c r="B63" s="72"/>
      <c r="C63" s="72"/>
      <c r="D63" s="72"/>
      <c r="E63" s="72"/>
      <c r="F63" s="72"/>
      <c r="G63" s="72"/>
      <c r="H63" s="72"/>
      <c r="I63" s="72"/>
      <c r="J63" s="72"/>
      <c r="K63" s="72"/>
      <c r="L63" s="72"/>
      <c r="M63" s="72"/>
      <c r="N63" s="72"/>
      <c r="O63" s="141">
        <f>IF($D$17&lt;0,O58,IF(O58&gt;O61,O58,O61))</f>
        <v>35.08</v>
      </c>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36" ht="15" customHeight="1" x14ac:dyDescent="0.25">
      <c r="A64" s="69"/>
      <c r="B64" s="72"/>
      <c r="C64" s="72"/>
      <c r="D64" s="72"/>
      <c r="E64" s="72"/>
      <c r="F64" s="72"/>
      <c r="G64" s="72"/>
      <c r="H64" s="72"/>
      <c r="I64" s="72"/>
      <c r="J64" s="72"/>
      <c r="K64" s="72"/>
      <c r="L64" s="72"/>
      <c r="M64" s="72"/>
      <c r="N64" s="72"/>
      <c r="O64" s="141"/>
      <c r="P64" s="84"/>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c r="HN64" s="72"/>
      <c r="HO64" s="72"/>
      <c r="HP64" s="72"/>
      <c r="HQ64" s="72"/>
      <c r="HR64" s="72"/>
      <c r="HS64" s="72"/>
      <c r="HT64" s="72"/>
      <c r="HU64" s="72"/>
      <c r="HV64" s="72"/>
      <c r="HW64" s="72"/>
      <c r="HX64" s="72"/>
      <c r="HY64" s="72"/>
      <c r="HZ64" s="72"/>
      <c r="IA64" s="72"/>
      <c r="IB64" s="72"/>
    </row>
    <row r="65" spans="1:222" x14ac:dyDescent="0.25">
      <c r="A65" s="69"/>
      <c r="B65" s="102"/>
      <c r="C65" s="102"/>
      <c r="D65" s="102"/>
      <c r="E65" s="102"/>
      <c r="F65" s="102"/>
      <c r="G65" s="102"/>
      <c r="H65" s="102"/>
      <c r="I65" s="102" t="s">
        <v>119</v>
      </c>
      <c r="J65" s="102"/>
      <c r="K65" s="102"/>
      <c r="L65" s="143"/>
      <c r="M65" s="143"/>
      <c r="N65" s="143"/>
      <c r="O65" s="143">
        <f>ROUND(IF($C$15&lt;1,0,O58/($C$15*100)*10000),2)</f>
        <v>0</v>
      </c>
      <c r="P65" s="144" t="s">
        <v>120</v>
      </c>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HE65" s="72"/>
      <c r="HF65" s="72"/>
      <c r="HG65" s="72"/>
      <c r="HH65" s="72"/>
      <c r="HI65" s="72"/>
      <c r="HJ65" s="72"/>
      <c r="HK65" s="72"/>
      <c r="HL65" s="72"/>
      <c r="HM65" s="72"/>
      <c r="HN65" s="72"/>
    </row>
    <row r="66" spans="1:222" x14ac:dyDescent="0.25">
      <c r="B66" s="72"/>
      <c r="C66" s="72"/>
      <c r="D66" s="72"/>
      <c r="E66" s="72"/>
      <c r="F66" s="72"/>
      <c r="G66" s="72"/>
      <c r="H66" s="145"/>
      <c r="I66" s="146" t="s">
        <v>121</v>
      </c>
      <c r="J66" s="72"/>
      <c r="K66" s="72"/>
      <c r="L66" s="72"/>
      <c r="M66" s="72"/>
      <c r="N66" s="72"/>
      <c r="O66" s="147">
        <f>ROUND(IF($C$15&lt;1,0,(L58)/($C$15*100)*10000),2)</f>
        <v>0</v>
      </c>
      <c r="P66" s="59" t="s">
        <v>120</v>
      </c>
      <c r="Q66" s="72"/>
      <c r="R66" s="72"/>
      <c r="S66" s="72"/>
      <c r="T66" s="72"/>
      <c r="U66" s="72"/>
      <c r="V66" s="72"/>
      <c r="W66" s="72"/>
      <c r="X66" s="72"/>
      <c r="Y66" s="72"/>
      <c r="Z66" s="72"/>
      <c r="AA66" s="72"/>
      <c r="AB66" s="72"/>
      <c r="AC66" s="72"/>
      <c r="AD66" s="72"/>
      <c r="AE66" s="72"/>
      <c r="AF66" s="72"/>
      <c r="AG66" s="72"/>
      <c r="AH66" s="72"/>
      <c r="AI66" s="72"/>
      <c r="AJ66" s="72"/>
      <c r="AK66" s="72"/>
    </row>
  </sheetData>
  <sheetProtection algorithmName="SHA-512" hashValue="vCWKfCyu3fAQMWO/vNVohk5dFoP5PNWu3agWcZWARFdF6RDHryaXAsvRNIAL3rR/QHpqzaLZB312Yf6sS1ocWg==" saltValue="+egFwjiKLzG8kwtzcVmO3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9"/>
  <sheetViews>
    <sheetView showGridLines="0" topLeftCell="A21"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230</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231</v>
      </c>
      <c r="C6" s="56"/>
      <c r="D6" s="56"/>
      <c r="E6" s="56"/>
      <c r="F6" s="56"/>
      <c r="G6" s="56"/>
      <c r="H6" s="56"/>
      <c r="I6" s="56"/>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Rates'!$C$23</f>
        <v>7.0209999999999995E-2</v>
      </c>
      <c r="T12" s="205">
        <f>'Rider Rates'!$C$23</f>
        <v>7.0209999999999995E-2</v>
      </c>
      <c r="U12" s="205">
        <f>'Rider Rates'!$C$23</f>
        <v>7.0209999999999995E-2</v>
      </c>
      <c r="V12" s="205">
        <f>'Rider Rates'!$C$23</f>
        <v>7.0209999999999995E-2</v>
      </c>
      <c r="W12" s="205">
        <f>'Rider Rates'!$C$23</f>
        <v>7.0209999999999995E-2</v>
      </c>
      <c r="X12" s="205">
        <f>'Rider Rates'!$B$23</f>
        <v>7.0209999999999995E-2</v>
      </c>
      <c r="Y12" s="205">
        <f>'Rider Rates'!$B$23</f>
        <v>7.0209999999999995E-2</v>
      </c>
      <c r="Z12" s="205">
        <f>'Rider Rates'!$B$23</f>
        <v>7.0209999999999995E-2</v>
      </c>
      <c r="AA12" s="205">
        <f>'Rider Rates'!$B$23</f>
        <v>7.0209999999999995E-2</v>
      </c>
      <c r="AB12" s="205">
        <f>'Rider Rates'!$C$23</f>
        <v>7.0209999999999995E-2</v>
      </c>
      <c r="AC12" s="205">
        <f>'Rider Rates'!$C$23</f>
        <v>7.0209999999999995E-2</v>
      </c>
      <c r="AD12" s="205">
        <f>'Rider Rates'!$C$23</f>
        <v>7.0209999999999995E-2</v>
      </c>
    </row>
    <row r="13" spans="1:256" x14ac:dyDescent="0.25">
      <c r="C13" s="68" t="s">
        <v>184</v>
      </c>
      <c r="D13" s="68" t="s">
        <v>185</v>
      </c>
    </row>
    <row r="14" spans="1:256" x14ac:dyDescent="0.25">
      <c r="A14" s="158" t="s">
        <v>186</v>
      </c>
      <c r="B14" s="158"/>
      <c r="C14" s="206">
        <f>'Customer Info'!B19</f>
        <v>0</v>
      </c>
      <c r="D14" s="206">
        <f>ROUND(C14*C20,1)</f>
        <v>0</v>
      </c>
      <c r="E14" s="158" t="s">
        <v>13</v>
      </c>
      <c r="F14" s="160"/>
      <c r="G14" s="158" t="s">
        <v>2</v>
      </c>
      <c r="I14" s="207" t="s">
        <v>2</v>
      </c>
      <c r="J14" s="158"/>
      <c r="K14" s="158"/>
      <c r="L14" s="158"/>
      <c r="M14" s="158"/>
      <c r="N14" s="158"/>
    </row>
    <row r="15" spans="1:256" x14ac:dyDescent="0.25">
      <c r="A15" s="158" t="s">
        <v>187</v>
      </c>
      <c r="B15" s="158"/>
      <c r="C15" s="206">
        <f>'Customer Info'!B20</f>
        <v>0</v>
      </c>
      <c r="D15" s="206">
        <f>C15*C20</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5">
      <c r="A17" s="158" t="s">
        <v>206</v>
      </c>
      <c r="B17" s="158"/>
      <c r="C17" s="159">
        <f>'Customer Info'!$B$28</f>
        <v>0</v>
      </c>
      <c r="D17" s="159">
        <f>$C$17*$C$20</f>
        <v>0</v>
      </c>
      <c r="E17" s="158" t="s">
        <v>207</v>
      </c>
      <c r="F17" s="160"/>
      <c r="K17" s="158"/>
      <c r="L17" s="158"/>
      <c r="M17" s="158"/>
      <c r="N17" s="158"/>
    </row>
    <row r="18" spans="1:30" x14ac:dyDescent="0.25">
      <c r="A18" s="158" t="s">
        <v>208</v>
      </c>
      <c r="B18" s="158"/>
      <c r="C18" s="206">
        <f>IF('Customer Info'!$B$19=0,0,ROUND(MAX(ROUND('Customer Info'!$B$19*'GS SEC OAD'!C20,1),ROUND('Customer Info'!$B$20*'GS SEC OAD'!C20,1))/'Customer Info'!$D$30,1))</f>
        <v>0</v>
      </c>
      <c r="D18" s="206">
        <f>$C$18</f>
        <v>0</v>
      </c>
      <c r="E18" s="158" t="s">
        <v>209</v>
      </c>
      <c r="F18" s="160"/>
      <c r="K18" s="158"/>
      <c r="L18" s="158"/>
      <c r="M18" s="158"/>
      <c r="N18" s="158"/>
    </row>
    <row r="19" spans="1:30" x14ac:dyDescent="0.25">
      <c r="A19" s="158" t="s">
        <v>210</v>
      </c>
      <c r="B19" s="158"/>
      <c r="C19" s="159"/>
      <c r="D19" s="206">
        <f>MAX(100,ROUND(1.15*(MAX('Customer Info'!$B$19*'GS SEC OAD'!C20,'Customer Info'!$B$20*'GS SEC OAD'!C20)),1))</f>
        <v>100</v>
      </c>
      <c r="E19" s="158" t="s">
        <v>209</v>
      </c>
      <c r="F19" s="160"/>
      <c r="K19" s="158"/>
      <c r="L19" s="158"/>
      <c r="M19" s="158"/>
      <c r="N19" s="158"/>
    </row>
    <row r="20" spans="1:30" x14ac:dyDescent="0.25">
      <c r="A20" s="158" t="s">
        <v>189</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5">
      <c r="A21" s="158" t="s">
        <v>2</v>
      </c>
      <c r="B21" s="158"/>
      <c r="C21" s="210" t="s">
        <v>2</v>
      </c>
      <c r="D21" s="453" t="s">
        <v>2</v>
      </c>
      <c r="E21" s="453"/>
      <c r="F21" s="453"/>
      <c r="G21" s="453"/>
      <c r="H21" s="453"/>
      <c r="K21" s="158"/>
      <c r="L21" s="158"/>
      <c r="M21" s="158"/>
      <c r="N21" s="158"/>
      <c r="O21" s="188"/>
    </row>
    <row r="22" spans="1:30" x14ac:dyDescent="0.25">
      <c r="A22" s="158" t="s">
        <v>2</v>
      </c>
      <c r="B22" s="158"/>
      <c r="C22" s="210" t="s">
        <v>2</v>
      </c>
      <c r="D22" s="453" t="s">
        <v>2</v>
      </c>
      <c r="E22" s="453"/>
      <c r="F22" s="453"/>
      <c r="G22" s="453"/>
      <c r="H22" s="453"/>
      <c r="I22" s="57"/>
      <c r="J22" s="57"/>
      <c r="K22" s="158"/>
      <c r="L22" s="158"/>
      <c r="M22" s="158"/>
      <c r="N22" s="158"/>
      <c r="O22" s="188"/>
    </row>
    <row r="23" spans="1:30" x14ac:dyDescent="0.25">
      <c r="A23" s="158"/>
      <c r="B23" s="158"/>
      <c r="C23" s="160"/>
      <c r="D23" s="160"/>
      <c r="E23" s="160"/>
      <c r="F23" s="160"/>
      <c r="G23" s="57"/>
      <c r="H23" s="57"/>
      <c r="I23" s="57"/>
      <c r="J23" s="57"/>
      <c r="K23" s="158"/>
      <c r="L23" s="158"/>
      <c r="M23" s="158"/>
      <c r="N23" s="158"/>
      <c r="O23" s="158"/>
    </row>
    <row r="24" spans="1:30" x14ac:dyDescent="0.25">
      <c r="A24" s="162" t="s">
        <v>72</v>
      </c>
      <c r="B24" s="163"/>
      <c r="C24" s="163"/>
      <c r="D24" s="163"/>
      <c r="E24" s="163"/>
      <c r="F24" s="163"/>
      <c r="G24" s="445" t="s">
        <v>73</v>
      </c>
      <c r="H24" s="446"/>
      <c r="I24" s="446"/>
      <c r="J24" s="447"/>
      <c r="K24" s="163"/>
      <c r="L24" s="448" t="s">
        <v>74</v>
      </c>
      <c r="M24" s="448"/>
      <c r="N24" s="448"/>
      <c r="O24" s="448"/>
    </row>
    <row r="25" spans="1:30" x14ac:dyDescent="0.25">
      <c r="G25" s="164" t="s">
        <v>75</v>
      </c>
      <c r="H25" s="164" t="s">
        <v>76</v>
      </c>
      <c r="I25" s="164" t="s">
        <v>77</v>
      </c>
      <c r="J25" s="118" t="s">
        <v>78</v>
      </c>
      <c r="L25" s="165" t="s">
        <v>75</v>
      </c>
      <c r="M25" s="165" t="s">
        <v>76</v>
      </c>
      <c r="N25" s="165" t="s">
        <v>77</v>
      </c>
      <c r="O25" s="165" t="s">
        <v>78</v>
      </c>
      <c r="P25" s="166" t="s">
        <v>79</v>
      </c>
    </row>
    <row r="26" spans="1:30" x14ac:dyDescent="0.25">
      <c r="A26" t="s">
        <v>80</v>
      </c>
      <c r="G26" s="189"/>
      <c r="H26" s="189"/>
      <c r="I26" s="189">
        <v>9.4</v>
      </c>
      <c r="J26" s="189">
        <f>SUM(G26:I26)</f>
        <v>9.4</v>
      </c>
      <c r="L26" s="190"/>
      <c r="M26" s="190"/>
      <c r="N26" s="190">
        <f>I26</f>
        <v>9.4</v>
      </c>
      <c r="O26" s="128">
        <f>SUM(L26:N26)</f>
        <v>9.4</v>
      </c>
      <c r="P26" s="92">
        <v>44531</v>
      </c>
    </row>
    <row r="27" spans="1:30" x14ac:dyDescent="0.25">
      <c r="A27" t="s">
        <v>168</v>
      </c>
      <c r="D27" s="4">
        <f>D16</f>
        <v>0</v>
      </c>
      <c r="E27" s="97" t="s">
        <v>19</v>
      </c>
      <c r="F27" s="84" t="s">
        <v>82</v>
      </c>
      <c r="G27" s="191"/>
      <c r="H27" s="189"/>
      <c r="I27" s="189"/>
      <c r="J27" s="191"/>
      <c r="K27" s="94" t="s">
        <v>87</v>
      </c>
      <c r="L27" s="189"/>
      <c r="M27" s="190"/>
      <c r="N27" s="189"/>
      <c r="O27" s="128"/>
      <c r="P27" s="92"/>
    </row>
    <row r="28" spans="1:30" x14ac:dyDescent="0.25">
      <c r="A28" t="s">
        <v>211</v>
      </c>
      <c r="D28" s="349">
        <f>ROUND(MAX(D14,D15,('Customer Info'!B15-100)*0.6,('Customer Info'!B17-100)*0.6),1)</f>
        <v>0</v>
      </c>
      <c r="E28" s="158" t="s">
        <v>13</v>
      </c>
      <c r="F28" s="1" t="s">
        <v>82</v>
      </c>
      <c r="G28" s="337"/>
      <c r="H28" s="337"/>
      <c r="I28" s="337">
        <v>7.01</v>
      </c>
      <c r="J28" s="337">
        <f>SUM(G28:I28)</f>
        <v>7.01</v>
      </c>
      <c r="K28" s="154" t="s">
        <v>165</v>
      </c>
      <c r="L28" s="189"/>
      <c r="M28" s="189"/>
      <c r="N28" s="189">
        <f>ROUND($D28*I28,2)</f>
        <v>0</v>
      </c>
      <c r="O28" s="128">
        <f>SUM(L28:N28)</f>
        <v>0</v>
      </c>
      <c r="P28" s="92">
        <v>44531</v>
      </c>
    </row>
    <row r="29" spans="1:30" x14ac:dyDescent="0.25">
      <c r="A29" t="s">
        <v>212</v>
      </c>
      <c r="D29" s="349">
        <f>IF(D18&lt;=100,0,ROUND(IF(D18-D19&gt;0,D18-D19),1))</f>
        <v>0</v>
      </c>
      <c r="E29" s="158" t="s">
        <v>213</v>
      </c>
      <c r="F29" s="1" t="s">
        <v>82</v>
      </c>
      <c r="G29" s="338"/>
      <c r="H29" s="337"/>
      <c r="I29" s="337">
        <v>1.25</v>
      </c>
      <c r="J29" s="338">
        <f>SUM(G29:I29)</f>
        <v>1.25</v>
      </c>
      <c r="K29" s="154" t="s">
        <v>165</v>
      </c>
      <c r="L29" s="189"/>
      <c r="M29" s="189"/>
      <c r="N29" s="189">
        <f>ROUND($D29*I29,2)</f>
        <v>0</v>
      </c>
      <c r="O29" s="189">
        <f>SUM(L29:N29)</f>
        <v>0</v>
      </c>
      <c r="P29" s="92">
        <v>44531</v>
      </c>
    </row>
    <row r="30" spans="1:30" x14ac:dyDescent="0.25">
      <c r="A30" s="144" t="s">
        <v>84</v>
      </c>
      <c r="B30" s="144"/>
      <c r="C30" s="144"/>
      <c r="D30" s="170"/>
      <c r="E30" s="170"/>
      <c r="F30" s="144"/>
      <c r="G30" s="144"/>
      <c r="H30" s="144"/>
      <c r="I30" s="144"/>
      <c r="J30" s="144"/>
      <c r="K30" s="172"/>
      <c r="L30" s="171"/>
      <c r="M30" s="171"/>
      <c r="N30" s="171">
        <f>SUM(N26:N29)</f>
        <v>9.4</v>
      </c>
      <c r="O30" s="171">
        <f>SUM(O26:O29)</f>
        <v>9.4</v>
      </c>
    </row>
    <row r="31" spans="1:30" x14ac:dyDescent="0.25">
      <c r="A31" s="192"/>
      <c r="B31" s="192"/>
      <c r="C31" s="193"/>
      <c r="D31" s="193"/>
      <c r="E31" s="193"/>
      <c r="F31" s="193"/>
      <c r="G31" s="194"/>
      <c r="H31" s="194"/>
      <c r="I31" s="194"/>
      <c r="J31" s="194"/>
      <c r="K31" s="192"/>
      <c r="L31" s="192"/>
      <c r="M31" s="192"/>
      <c r="N31" s="192"/>
      <c r="O31" s="192"/>
      <c r="P31" s="192"/>
    </row>
    <row r="32" spans="1:30" x14ac:dyDescent="0.25">
      <c r="A32" s="155" t="s">
        <v>85</v>
      </c>
      <c r="D32" s="4"/>
      <c r="E32" s="4"/>
      <c r="K32" s="154"/>
      <c r="L32" s="154"/>
      <c r="M32" s="154"/>
      <c r="N32" s="154"/>
      <c r="O32" s="213"/>
      <c r="P32" s="213"/>
    </row>
    <row r="33" spans="1:221" x14ac:dyDescent="0.25">
      <c r="A33" s="144"/>
      <c r="D33" s="4"/>
      <c r="E33" s="4"/>
      <c r="K33" s="154"/>
      <c r="L33" s="154"/>
      <c r="M33" s="154"/>
      <c r="N33" s="154"/>
      <c r="O33" s="213"/>
    </row>
    <row r="34" spans="1:221" x14ac:dyDescent="0.25">
      <c r="A34" s="72" t="s">
        <v>86</v>
      </c>
      <c r="D34" s="4">
        <f>IF($C$16&lt;0,0,IF($C$16&gt;833000,833000,$C$16))</f>
        <v>0</v>
      </c>
      <c r="E34" s="152" t="s">
        <v>19</v>
      </c>
      <c r="F34" s="1" t="s">
        <v>82</v>
      </c>
      <c r="G34" s="167"/>
      <c r="H34" s="191"/>
      <c r="I34" s="100">
        <f>'Rider Rates'!$B$4</f>
        <v>4.6278999999999999E-3</v>
      </c>
      <c r="J34" s="214">
        <f>SUM(G34:I34)</f>
        <v>4.6278999999999999E-3</v>
      </c>
      <c r="K34" s="154" t="s">
        <v>87</v>
      </c>
      <c r="L34" s="189"/>
      <c r="M34" s="189"/>
      <c r="N34" s="189">
        <f>ROUND($D34*I34,2)</f>
        <v>0</v>
      </c>
      <c r="O34" s="189">
        <f>SUM(L34:N34)</f>
        <v>0</v>
      </c>
      <c r="P34" s="92">
        <f>'Rider Rates'!$D$4</f>
        <v>45657</v>
      </c>
    </row>
    <row r="35" spans="1:221" x14ac:dyDescent="0.25">
      <c r="A35" s="72" t="s">
        <v>88</v>
      </c>
      <c r="D35" s="4">
        <f>IF($C$16-833000&gt;0,$C$16-D34,0)</f>
        <v>0</v>
      </c>
      <c r="E35" s="152" t="s">
        <v>19</v>
      </c>
      <c r="F35" s="1" t="s">
        <v>82</v>
      </c>
      <c r="G35" s="167"/>
      <c r="H35" s="191"/>
      <c r="I35" s="100">
        <f>'Rider Rates'!$B$5</f>
        <v>1.7560000000000001E-4</v>
      </c>
      <c r="J35" s="215">
        <f>SUM(G35:I35)</f>
        <v>1.7560000000000001E-4</v>
      </c>
      <c r="K35" s="154" t="s">
        <v>87</v>
      </c>
      <c r="L35" s="189"/>
      <c r="M35" s="189"/>
      <c r="N35" s="189">
        <f>ROUND($D35*I35,2)</f>
        <v>0</v>
      </c>
      <c r="O35" s="189">
        <f>SUM(L35:N35)</f>
        <v>0</v>
      </c>
      <c r="P35" s="92">
        <f>'Rider Rates'!$D$4</f>
        <v>45657</v>
      </c>
    </row>
    <row r="36" spans="1:221" x14ac:dyDescent="0.25">
      <c r="A36" s="72" t="s">
        <v>190</v>
      </c>
      <c r="B36" t="s">
        <v>2</v>
      </c>
      <c r="D36" s="4">
        <f>IF('Customer Info'!$C$33=TRUE,0,IF(C16&lt;0,0,IF(C16&gt;2000,2000,C16)))</f>
        <v>0</v>
      </c>
      <c r="E36" s="152" t="s">
        <v>19</v>
      </c>
      <c r="F36" s="1" t="s">
        <v>82</v>
      </c>
      <c r="G36" s="167"/>
      <c r="H36" s="191"/>
      <c r="I36" s="112">
        <f>'Rider Rates'!$B$8</f>
        <v>4.6499999999999996E-3</v>
      </c>
      <c r="J36" s="216">
        <f>SUM(G36:I36)</f>
        <v>4.6499999999999996E-3</v>
      </c>
      <c r="K36" s="154" t="s">
        <v>87</v>
      </c>
      <c r="L36" s="189"/>
      <c r="M36" s="189"/>
      <c r="N36" s="189">
        <f>ROUND($D36*I36,2)</f>
        <v>0</v>
      </c>
      <c r="O36" s="189">
        <f>SUM(L36:N36)</f>
        <v>0</v>
      </c>
      <c r="P36" s="92">
        <f>'Rider Rates'!$D$7</f>
        <v>44531</v>
      </c>
    </row>
    <row r="37" spans="1:221" x14ac:dyDescent="0.25">
      <c r="A37" s="72" t="s">
        <v>191</v>
      </c>
      <c r="B37" t="s">
        <v>2</v>
      </c>
      <c r="D37" s="4">
        <f>IF('Customer Info'!$C$33=TRUE,0,IF(C16&gt;15000,13000,IF(C16&gt;2000,C16-2000,0)))</f>
        <v>0</v>
      </c>
      <c r="E37" s="152" t="s">
        <v>19</v>
      </c>
      <c r="F37" s="1" t="s">
        <v>82</v>
      </c>
      <c r="G37" s="167"/>
      <c r="H37" s="191"/>
      <c r="I37" s="112">
        <f>'Rider Rates'!$B$9</f>
        <v>4.1900000000000001E-3</v>
      </c>
      <c r="J37" s="216">
        <f>SUM(G37:I37)</f>
        <v>4.1900000000000001E-3</v>
      </c>
      <c r="K37" s="154" t="s">
        <v>87</v>
      </c>
      <c r="L37" s="189"/>
      <c r="M37" s="189"/>
      <c r="N37" s="189">
        <f>ROUND($D37*I37,2)</f>
        <v>0</v>
      </c>
      <c r="O37" s="189">
        <f>SUM(L37:N37)</f>
        <v>0</v>
      </c>
      <c r="P37" s="92">
        <f>'Rider Rates'!$D$7</f>
        <v>44531</v>
      </c>
    </row>
    <row r="38" spans="1:221" x14ac:dyDescent="0.25">
      <c r="A38" s="72" t="s">
        <v>192</v>
      </c>
      <c r="B38" t="s">
        <v>2</v>
      </c>
      <c r="D38" s="4">
        <f>IF('Customer Info'!$C$33=TRUE,0,IF(C16-D36-D37&gt;0,C16-D36-D37,0))</f>
        <v>0</v>
      </c>
      <c r="E38" s="152" t="s">
        <v>19</v>
      </c>
      <c r="F38" s="1" t="s">
        <v>82</v>
      </c>
      <c r="G38" s="167"/>
      <c r="H38" s="191"/>
      <c r="I38" s="112">
        <f>'Rider Rates'!$B$10</f>
        <v>3.63E-3</v>
      </c>
      <c r="J38" s="216">
        <f>SUM(G38:I38)</f>
        <v>3.63E-3</v>
      </c>
      <c r="K38" s="154" t="s">
        <v>87</v>
      </c>
      <c r="L38" s="189"/>
      <c r="M38" s="189"/>
      <c r="N38" s="189">
        <f>ROUND($D38*I38,2)</f>
        <v>0</v>
      </c>
      <c r="O38" s="189">
        <f>SUM(L38:N38)</f>
        <v>0</v>
      </c>
      <c r="P38" s="92">
        <f>'Rider Rates'!$D$7</f>
        <v>44531</v>
      </c>
    </row>
    <row r="39" spans="1:221" x14ac:dyDescent="0.25">
      <c r="A39" s="72" t="s">
        <v>93</v>
      </c>
      <c r="B39" s="72"/>
      <c r="C39" s="72"/>
      <c r="D39" s="217">
        <f>$N$30</f>
        <v>9.4</v>
      </c>
      <c r="E39" s="97" t="s">
        <v>94</v>
      </c>
      <c r="F39" s="84" t="s">
        <v>82</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5">
      <c r="A40" s="72" t="s">
        <v>98</v>
      </c>
      <c r="B40" s="72"/>
      <c r="C40" s="72"/>
      <c r="D40" s="4">
        <f>IF($C$16&lt;0,0,IF($C$16&gt;833000,833000,$C$16))</f>
        <v>0</v>
      </c>
      <c r="E40" s="97" t="s">
        <v>19</v>
      </c>
      <c r="F40" s="84" t="s">
        <v>82</v>
      </c>
      <c r="G40" s="100"/>
      <c r="H40" s="100"/>
      <c r="I40" s="100">
        <f>'Rider Rates'!D53</f>
        <v>1.8006999999999999E-3</v>
      </c>
      <c r="J40" s="100">
        <f>SUM(G40:I40)</f>
        <v>1.8006999999999999E-3</v>
      </c>
      <c r="K40" s="94" t="s">
        <v>87</v>
      </c>
      <c r="L40" s="89"/>
      <c r="M40" s="89"/>
      <c r="N40" s="189">
        <f>D40*J40</f>
        <v>0</v>
      </c>
      <c r="O40" s="89">
        <f t="shared" si="0"/>
        <v>0</v>
      </c>
      <c r="P40" s="92">
        <f>'Rider Rates'!E53</f>
        <v>45658</v>
      </c>
    </row>
    <row r="41" spans="1:221" x14ac:dyDescent="0.25">
      <c r="A41" s="76" t="s">
        <v>99</v>
      </c>
      <c r="B41" s="72"/>
      <c r="C41" s="72"/>
      <c r="D41" s="4">
        <f>IF($C$16&lt;0,0,$C$16)</f>
        <v>0</v>
      </c>
      <c r="E41" s="97" t="s">
        <v>19</v>
      </c>
      <c r="F41" s="84" t="s">
        <v>82</v>
      </c>
      <c r="G41" s="100"/>
      <c r="H41" s="100">
        <f>'Rider Rates'!$B$61</f>
        <v>6.0079999999999997E-4</v>
      </c>
      <c r="I41" s="100"/>
      <c r="J41" s="100">
        <f>SUM(G41:I41)</f>
        <v>6.0079999999999997E-4</v>
      </c>
      <c r="K41" s="94" t="s">
        <v>87</v>
      </c>
      <c r="L41" s="89"/>
      <c r="M41" s="89">
        <f>ROUND(D41*H41,2)</f>
        <v>0</v>
      </c>
      <c r="N41" s="116"/>
      <c r="O41" s="89">
        <f t="shared" si="0"/>
        <v>0</v>
      </c>
      <c r="P41" s="92">
        <f>'Rider Rates'!$D$61</f>
        <v>45383</v>
      </c>
    </row>
    <row r="42" spans="1:221" x14ac:dyDescent="0.25">
      <c r="A42" s="76" t="s">
        <v>99</v>
      </c>
      <c r="B42" s="72"/>
      <c r="C42" s="72"/>
      <c r="D42" s="349">
        <f>D14</f>
        <v>0</v>
      </c>
      <c r="E42" s="152" t="s">
        <v>214</v>
      </c>
      <c r="F42" s="1" t="s">
        <v>82</v>
      </c>
      <c r="G42" s="100"/>
      <c r="H42" s="90">
        <f>'Rider Rates'!$B$66</f>
        <v>6.73</v>
      </c>
      <c r="I42" s="100"/>
      <c r="J42" s="90">
        <f>SUM(G42:I42)</f>
        <v>6.73</v>
      </c>
      <c r="K42" s="94" t="s">
        <v>165</v>
      </c>
      <c r="L42" s="89"/>
      <c r="M42" s="89">
        <f>ROUND(D42*H42,2)</f>
        <v>0</v>
      </c>
      <c r="N42" s="116"/>
      <c r="O42" s="89">
        <f t="shared" si="0"/>
        <v>0</v>
      </c>
      <c r="P42" s="92">
        <f>'Rider Rates'!$D$66</f>
        <v>45383</v>
      </c>
    </row>
    <row r="43" spans="1:221" x14ac:dyDescent="0.25">
      <c r="A43" s="76" t="s">
        <v>193</v>
      </c>
      <c r="B43" s="72"/>
      <c r="C43" s="72"/>
      <c r="D43" s="4">
        <f>IF('Customer Info'!C35=TRUE,0,IF($C$16&lt;0,0,$C$16))</f>
        <v>0</v>
      </c>
      <c r="E43" s="97" t="s">
        <v>19</v>
      </c>
      <c r="F43" s="84" t="s">
        <v>82</v>
      </c>
      <c r="G43" s="100"/>
      <c r="H43" s="100"/>
      <c r="I43" s="100">
        <f>'Rider Rates'!$B$75+'Rider Rates'!$C$75</f>
        <v>0</v>
      </c>
      <c r="J43" s="100">
        <f>SUM(G43:I43)</f>
        <v>0</v>
      </c>
      <c r="K43" s="94" t="s">
        <v>87</v>
      </c>
      <c r="L43" s="89"/>
      <c r="M43" s="89"/>
      <c r="N43" s="189">
        <f>ROUND($D$43*'Rider Rates'!$B$75,2)+ROUND($D$43*'Rider Rates'!$C$75,2)</f>
        <v>0</v>
      </c>
      <c r="O43" s="128">
        <f t="shared" si="0"/>
        <v>0</v>
      </c>
      <c r="P43" s="92">
        <f>'Rider Rates'!$D$75</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5">
      <c r="A44" s="76" t="s">
        <v>193</v>
      </c>
      <c r="B44" s="72"/>
      <c r="C44" s="72"/>
      <c r="D44" s="349">
        <f>IF('Customer Info'!C35=TRUE,0,$D$28)</f>
        <v>0</v>
      </c>
      <c r="E44" s="97" t="s">
        <v>13</v>
      </c>
      <c r="F44" s="84" t="s">
        <v>82</v>
      </c>
      <c r="G44" s="100"/>
      <c r="H44" s="100"/>
      <c r="I44" s="90">
        <f>'Rider Rates'!$B$85</f>
        <v>0</v>
      </c>
      <c r="J44" s="90">
        <f>SUM(G44:I44)</f>
        <v>0</v>
      </c>
      <c r="K44" s="94" t="s">
        <v>87</v>
      </c>
      <c r="L44" s="89"/>
      <c r="M44" s="89"/>
      <c r="N44" s="189">
        <f>ROUND($D44*I44,2)</f>
        <v>0</v>
      </c>
      <c r="O44" s="128">
        <f>SUM(L44:N44)</f>
        <v>0</v>
      </c>
      <c r="P44" s="92">
        <f>'Rider Rates'!$D$85</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5">
      <c r="A45" s="76" t="s">
        <v>102</v>
      </c>
      <c r="B45" s="72"/>
      <c r="C45" s="72"/>
      <c r="D45" s="217">
        <f>$N$30</f>
        <v>9.4</v>
      </c>
      <c r="E45" s="97" t="s">
        <v>94</v>
      </c>
      <c r="F45" s="84" t="s">
        <v>82</v>
      </c>
      <c r="G45" s="117"/>
      <c r="H45" s="118"/>
      <c r="I45" s="119">
        <f>'Rider Rates'!$B$89</f>
        <v>4.94232E-2</v>
      </c>
      <c r="J45" s="119">
        <f>SUM(H45:I45)</f>
        <v>4.94232E-2</v>
      </c>
      <c r="K45" s="94"/>
      <c r="L45" s="89"/>
      <c r="M45" s="89"/>
      <c r="N45" s="89">
        <f>ROUND(N$30*I45,2)</f>
        <v>0.46</v>
      </c>
      <c r="O45" s="128">
        <f t="shared" si="0"/>
        <v>0.46</v>
      </c>
      <c r="P45" s="92">
        <f>'Rider Rates'!$D$89</f>
        <v>45562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5">
      <c r="A46" s="76" t="s">
        <v>103</v>
      </c>
      <c r="B46" s="72"/>
      <c r="C46" s="72"/>
      <c r="D46" s="217">
        <f>$N$30</f>
        <v>9.4</v>
      </c>
      <c r="E46" s="97" t="s">
        <v>94</v>
      </c>
      <c r="F46" s="84" t="s">
        <v>82</v>
      </c>
      <c r="G46" s="120"/>
      <c r="H46" s="85"/>
      <c r="I46" s="119">
        <f>'Rider Rates'!$B$91</f>
        <v>6.6985699999999995E-2</v>
      </c>
      <c r="J46" s="119">
        <f>SUM(H46:I46)</f>
        <v>6.6985699999999995E-2</v>
      </c>
      <c r="K46" s="94"/>
      <c r="L46" s="89"/>
      <c r="M46" s="89"/>
      <c r="N46" s="89">
        <f>ROUND(N$30*I46,2)</f>
        <v>0.63</v>
      </c>
      <c r="O46" s="128">
        <f t="shared" si="0"/>
        <v>0.63</v>
      </c>
      <c r="P46" s="92">
        <f>'Rider Rates'!$D$91</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5">
      <c r="A47" s="76" t="s">
        <v>104</v>
      </c>
      <c r="B47" s="72"/>
      <c r="C47" s="72"/>
      <c r="D47" s="113"/>
      <c r="E47" s="97" t="s">
        <v>57</v>
      </c>
      <c r="F47" s="84"/>
      <c r="G47" s="120"/>
      <c r="H47" s="85"/>
      <c r="I47" s="121">
        <f>'Rider Rates'!$B$95</f>
        <v>17.53</v>
      </c>
      <c r="J47" s="121">
        <f>SUM(G47:I47)</f>
        <v>17.53</v>
      </c>
      <c r="K47" s="94"/>
      <c r="L47" s="89"/>
      <c r="M47" s="89"/>
      <c r="N47" s="89">
        <f>I47</f>
        <v>17.53</v>
      </c>
      <c r="O47" s="89">
        <f>SUM(L47:N47)</f>
        <v>17.53</v>
      </c>
      <c r="P47" s="92">
        <f>'Rider Rates'!$D$95</f>
        <v>45657</v>
      </c>
    </row>
    <row r="48" spans="1:221" x14ac:dyDescent="0.25">
      <c r="A48" s="76" t="s">
        <v>106</v>
      </c>
      <c r="B48" s="72"/>
      <c r="C48" s="72"/>
      <c r="D48" s="217">
        <f>$N$30</f>
        <v>9.4</v>
      </c>
      <c r="E48" s="97" t="s">
        <v>94</v>
      </c>
      <c r="F48" s="84" t="s">
        <v>82</v>
      </c>
      <c r="G48" s="120"/>
      <c r="H48" s="85"/>
      <c r="I48" s="119">
        <f>'Rider Rates'!$B$109</f>
        <v>0.2363101</v>
      </c>
      <c r="J48" s="119">
        <f>SUM(H48:I48)</f>
        <v>0.2363101</v>
      </c>
      <c r="K48" s="94"/>
      <c r="L48" s="89"/>
      <c r="M48" s="89"/>
      <c r="N48" s="89">
        <f>ROUND(N$30*I48,2)</f>
        <v>2.2200000000000002</v>
      </c>
      <c r="O48" s="89">
        <f t="shared" si="0"/>
        <v>2.2200000000000002</v>
      </c>
      <c r="P48" s="92">
        <f>'Rider Rates'!$D$109</f>
        <v>45622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107</v>
      </c>
      <c r="B49" s="72"/>
      <c r="C49" s="72"/>
      <c r="D49" s="113"/>
      <c r="E49" s="97" t="s">
        <v>57</v>
      </c>
      <c r="F49" s="84"/>
      <c r="G49" s="120"/>
      <c r="H49" s="85"/>
      <c r="I49" s="121">
        <f>'Rider Rates'!$B$113</f>
        <v>0</v>
      </c>
      <c r="J49" s="121">
        <f t="shared" ref="J49:J55" si="1">SUM(G49:I49)</f>
        <v>0</v>
      </c>
      <c r="K49" s="94"/>
      <c r="L49" s="89"/>
      <c r="M49" s="89"/>
      <c r="N49" s="89">
        <f>I49</f>
        <v>0</v>
      </c>
      <c r="O49" s="89">
        <f t="shared" ref="O49:O55" si="2">SUM(L49:N49)</f>
        <v>0</v>
      </c>
      <c r="P49" s="92">
        <f>'Rider Rates'!$D$113</f>
        <v>44894</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108</v>
      </c>
      <c r="B50" s="72"/>
      <c r="C50" s="72"/>
      <c r="D50" s="113"/>
      <c r="E50" s="97" t="s">
        <v>57</v>
      </c>
      <c r="F50" s="84"/>
      <c r="G50" s="120"/>
      <c r="H50" s="85"/>
      <c r="I50" s="123">
        <f>'Rider Rates'!B126</f>
        <v>4.84</v>
      </c>
      <c r="J50" s="121">
        <f t="shared" si="1"/>
        <v>4.84</v>
      </c>
      <c r="K50" s="94"/>
      <c r="L50" s="89"/>
      <c r="M50" s="89"/>
      <c r="N50" s="125">
        <f>I50</f>
        <v>4.84</v>
      </c>
      <c r="O50" s="89">
        <f t="shared" si="2"/>
        <v>4.84</v>
      </c>
      <c r="P50" s="92">
        <f>'Rider Rates'!D126</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110</v>
      </c>
      <c r="B51" s="72"/>
      <c r="C51" s="72"/>
      <c r="D51" s="4">
        <f>IF($C$16&lt;1,0,$C$16)</f>
        <v>0</v>
      </c>
      <c r="E51" s="97" t="s">
        <v>19</v>
      </c>
      <c r="F51" s="126" t="s">
        <v>82</v>
      </c>
      <c r="G51" s="99"/>
      <c r="H51" s="99"/>
      <c r="I51" s="183">
        <f>'Rider Rates'!B122</f>
        <v>0</v>
      </c>
      <c r="J51" s="183">
        <f t="shared" si="1"/>
        <v>0</v>
      </c>
      <c r="K51" s="94" t="s">
        <v>87</v>
      </c>
      <c r="L51" s="89"/>
      <c r="M51" s="89"/>
      <c r="N51" s="89">
        <f>D51*I51</f>
        <v>0</v>
      </c>
      <c r="O51" s="89">
        <f t="shared" si="2"/>
        <v>0</v>
      </c>
      <c r="P51" s="92">
        <f>'Rider Rates'!D122</f>
        <v>45657</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169</v>
      </c>
      <c r="B52" s="72"/>
      <c r="C52" s="72"/>
      <c r="D52" s="111">
        <f>IF(C16&lt;0,0,IF(C16&gt;833000,833000,C16))</f>
        <v>0</v>
      </c>
      <c r="E52" s="97" t="s">
        <v>19</v>
      </c>
      <c r="F52" s="84" t="s">
        <v>82</v>
      </c>
      <c r="G52" s="195"/>
      <c r="H52" s="195"/>
      <c r="I52" s="195">
        <f>'Rider Rates'!$B$130</f>
        <v>2.9050000000000001E-4</v>
      </c>
      <c r="J52" s="195">
        <f t="shared" si="1"/>
        <v>2.9050000000000001E-4</v>
      </c>
      <c r="K52" s="94" t="s">
        <v>87</v>
      </c>
      <c r="L52" s="196"/>
      <c r="M52" s="196"/>
      <c r="N52" s="196">
        <f>IF(D52*J52&gt;'Rider Rates'!$C$130,'Rider Rates'!$C$130,D52*J52)</f>
        <v>0</v>
      </c>
      <c r="O52" s="196">
        <f t="shared" si="2"/>
        <v>0</v>
      </c>
      <c r="P52" s="129">
        <f>'Rider Rates'!$E$130</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170</v>
      </c>
      <c r="B53" s="72"/>
      <c r="C53" s="72"/>
      <c r="D53" s="4">
        <f>IF(C16&gt;833000,C16-833000,0)</f>
        <v>0</v>
      </c>
      <c r="E53" s="97" t="s">
        <v>19</v>
      </c>
      <c r="F53" s="84" t="s">
        <v>82</v>
      </c>
      <c r="G53" s="195"/>
      <c r="H53" s="195"/>
      <c r="I53" s="195">
        <f>'Rider Rates'!$B$131</f>
        <v>0</v>
      </c>
      <c r="J53" s="195">
        <f t="shared" si="1"/>
        <v>0</v>
      </c>
      <c r="K53" s="94" t="s">
        <v>87</v>
      </c>
      <c r="L53" s="196"/>
      <c r="M53" s="196"/>
      <c r="N53" s="196">
        <f>D53*J53</f>
        <v>0</v>
      </c>
      <c r="O53" s="196">
        <f t="shared" si="2"/>
        <v>0</v>
      </c>
      <c r="P53" s="129">
        <f>'Rider Rates'!$E$131</f>
        <v>45658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112</v>
      </c>
      <c r="B54" s="72"/>
      <c r="C54" s="72"/>
      <c r="D54" s="111">
        <f>D16</f>
        <v>0</v>
      </c>
      <c r="E54" s="97" t="s">
        <v>19</v>
      </c>
      <c r="F54" s="126" t="s">
        <v>82</v>
      </c>
      <c r="G54" s="100"/>
      <c r="H54" s="100"/>
      <c r="I54" s="100">
        <f>'Rider Rates'!$B$135</f>
        <v>0</v>
      </c>
      <c r="J54" s="115">
        <f t="shared" si="1"/>
        <v>0</v>
      </c>
      <c r="K54" s="94" t="s">
        <v>87</v>
      </c>
      <c r="L54" s="89"/>
      <c r="M54" s="89"/>
      <c r="N54" s="89">
        <f>D54*J54</f>
        <v>0</v>
      </c>
      <c r="O54" s="89">
        <f t="shared" si="2"/>
        <v>0</v>
      </c>
      <c r="P54" s="92">
        <f>'Rider Rates'!$D$135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113</v>
      </c>
      <c r="B55" s="72"/>
      <c r="C55" s="72"/>
      <c r="D55" s="111"/>
      <c r="E55" s="97" t="s">
        <v>57</v>
      </c>
      <c r="F55" s="84" t="s">
        <v>82</v>
      </c>
      <c r="G55" s="127"/>
      <c r="H55" s="127"/>
      <c r="I55" s="127">
        <f>'Rider Rates'!$B$142</f>
        <v>0</v>
      </c>
      <c r="J55" s="127">
        <f t="shared" si="1"/>
        <v>0</v>
      </c>
      <c r="K55" s="94"/>
      <c r="L55" s="128"/>
      <c r="M55" s="128"/>
      <c r="N55" s="128">
        <f>J55</f>
        <v>0</v>
      </c>
      <c r="O55" s="128">
        <f t="shared" si="2"/>
        <v>0</v>
      </c>
      <c r="P55" s="129">
        <f>'Rider Rates'!$D$142</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114</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30" t="s">
        <v>115</v>
      </c>
      <c r="B57" s="69"/>
      <c r="C57" s="69"/>
      <c r="D57" s="131"/>
      <c r="E57" s="132"/>
      <c r="F57" s="133"/>
      <c r="G57" s="133"/>
      <c r="H57" s="133"/>
      <c r="I57" s="133"/>
      <c r="J57" s="133"/>
      <c r="K57" s="134"/>
      <c r="L57" s="105">
        <f>SUM(L34:L56)</f>
        <v>0</v>
      </c>
      <c r="M57" s="105">
        <f>SUM(M34:M56)</f>
        <v>0</v>
      </c>
      <c r="N57" s="105">
        <f>SUM(N34:N56)</f>
        <v>25.68</v>
      </c>
      <c r="O57" s="105">
        <f>SUM(O34:O56)</f>
        <v>25.68</v>
      </c>
      <c r="P57" s="135"/>
    </row>
    <row r="58" spans="1:221" x14ac:dyDescent="0.25">
      <c r="A58" s="144"/>
      <c r="D58" s="4"/>
      <c r="E58" s="152"/>
      <c r="F58" s="1"/>
      <c r="G58" s="218"/>
      <c r="H58" s="218"/>
      <c r="I58" s="218"/>
      <c r="J58" s="218"/>
      <c r="K58" s="154"/>
      <c r="L58" s="154"/>
      <c r="M58" s="154"/>
      <c r="N58" s="154"/>
      <c r="O58" s="213"/>
      <c r="P58" s="154"/>
    </row>
    <row r="59" spans="1:221" x14ac:dyDescent="0.25">
      <c r="A59" s="204" t="s">
        <v>181</v>
      </c>
      <c r="B59" s="186"/>
      <c r="C59" s="186"/>
      <c r="D59" s="186"/>
      <c r="E59" s="186"/>
      <c r="F59" s="186"/>
      <c r="G59" s="186"/>
      <c r="H59" s="186"/>
      <c r="I59" s="186"/>
      <c r="J59" s="186"/>
      <c r="K59" s="186"/>
      <c r="L59" s="219">
        <f>L30+L57</f>
        <v>0</v>
      </c>
      <c r="M59" s="219">
        <f>M30+M57</f>
        <v>0</v>
      </c>
      <c r="N59" s="219">
        <f>N30+N57</f>
        <v>35.08</v>
      </c>
      <c r="O59" s="219">
        <f>O30+O57</f>
        <v>35.08</v>
      </c>
      <c r="P59" s="219"/>
    </row>
    <row r="60" spans="1:221" x14ac:dyDescent="0.25">
      <c r="A60" s="144"/>
      <c r="B60" s="144"/>
      <c r="C60" s="144"/>
      <c r="D60" s="144"/>
      <c r="E60" s="144"/>
      <c r="F60" s="144"/>
      <c r="G60" s="144"/>
      <c r="H60" s="144"/>
      <c r="I60" s="144"/>
      <c r="J60" s="144"/>
      <c r="K60" s="144"/>
      <c r="L60" s="144"/>
      <c r="M60" s="144"/>
      <c r="N60" s="144"/>
      <c r="O60" s="171"/>
      <c r="P60" s="171"/>
    </row>
    <row r="61" spans="1:221" x14ac:dyDescent="0.25">
      <c r="A61" s="144" t="s">
        <v>194</v>
      </c>
      <c r="B61" s="144"/>
      <c r="C61" s="144"/>
      <c r="D61" s="144"/>
      <c r="E61" s="144"/>
      <c r="F61" s="144"/>
      <c r="G61" s="144"/>
      <c r="H61" s="144"/>
      <c r="I61" s="144"/>
      <c r="J61" s="144"/>
      <c r="K61" s="144"/>
      <c r="L61" s="144"/>
      <c r="M61" s="144"/>
      <c r="N61" s="144"/>
      <c r="O61" s="171">
        <f>O26+O28+O57</f>
        <v>35.08</v>
      </c>
      <c r="P61" s="92">
        <v>40967</v>
      </c>
    </row>
    <row r="62" spans="1:221" x14ac:dyDescent="0.25">
      <c r="A62" s="144"/>
      <c r="B62" s="144"/>
      <c r="C62" s="144"/>
      <c r="D62" s="144"/>
      <c r="E62" s="144"/>
      <c r="F62" s="144"/>
      <c r="G62" s="220"/>
      <c r="H62" s="220"/>
      <c r="I62" s="220"/>
      <c r="J62" s="220"/>
      <c r="K62" s="154"/>
      <c r="L62" s="154"/>
      <c r="M62" s="154"/>
      <c r="N62" s="154"/>
      <c r="O62" s="171"/>
    </row>
    <row r="63" spans="1:221" x14ac:dyDescent="0.25">
      <c r="A63" s="155" t="s">
        <v>118</v>
      </c>
      <c r="B63" s="144"/>
      <c r="C63" s="144"/>
      <c r="D63" s="144"/>
      <c r="E63" s="144"/>
      <c r="F63" s="144"/>
      <c r="G63" s="220"/>
      <c r="H63" s="220"/>
      <c r="I63" s="220"/>
      <c r="J63" s="220"/>
      <c r="K63" s="154"/>
      <c r="L63" s="154"/>
      <c r="M63" s="154"/>
      <c r="N63" s="154"/>
      <c r="O63" s="142">
        <f>MAX($O$59,$O$61)</f>
        <v>35.08</v>
      </c>
    </row>
    <row r="64" spans="1:221" x14ac:dyDescent="0.25">
      <c r="A64" s="144"/>
      <c r="B64" s="144"/>
      <c r="C64" s="144"/>
      <c r="D64" s="144"/>
      <c r="E64" s="144"/>
      <c r="F64" s="144"/>
      <c r="G64" s="220"/>
      <c r="H64" s="220"/>
      <c r="I64" s="220"/>
      <c r="J64" s="220"/>
      <c r="K64" s="154"/>
      <c r="L64" s="154"/>
      <c r="M64" s="154"/>
      <c r="N64" s="154"/>
      <c r="O64" s="171"/>
    </row>
    <row r="65" spans="1:16" x14ac:dyDescent="0.25">
      <c r="A65" s="144"/>
      <c r="B65" s="144"/>
      <c r="C65" s="144"/>
      <c r="D65" s="144"/>
      <c r="E65" s="144"/>
      <c r="F65" s="144"/>
      <c r="G65" s="153" t="s">
        <v>195</v>
      </c>
      <c r="H65" s="220"/>
      <c r="I65" s="144"/>
      <c r="J65" s="220"/>
      <c r="K65" s="154"/>
      <c r="L65" s="143"/>
      <c r="M65" s="143"/>
      <c r="N65" s="143"/>
      <c r="O65" s="143">
        <f>ROUND(IF($C$16&lt;1,0,$O$63/($C$16*100)*10000),2)</f>
        <v>0</v>
      </c>
      <c r="P65" s="144" t="s">
        <v>120</v>
      </c>
    </row>
    <row r="66" spans="1:16" x14ac:dyDescent="0.25">
      <c r="A66" s="144"/>
      <c r="B66" s="144"/>
      <c r="C66" s="144"/>
      <c r="D66" s="144"/>
      <c r="E66" s="144"/>
      <c r="F66" s="144"/>
      <c r="G66" s="146" t="s">
        <v>121</v>
      </c>
      <c r="H66" s="221"/>
      <c r="I66" s="64"/>
      <c r="J66" s="221"/>
      <c r="K66" s="222"/>
      <c r="L66" s="72"/>
      <c r="M66" s="72"/>
      <c r="N66" s="72"/>
      <c r="O66" s="147">
        <f>ROUND(IF($C$16&lt;1,0,(L59)/($C$16*100)*10000),2)</f>
        <v>0</v>
      </c>
      <c r="P66" s="59" t="s">
        <v>120</v>
      </c>
    </row>
    <row r="67" spans="1:16" x14ac:dyDescent="0.25">
      <c r="A67" s="144"/>
      <c r="B67" s="144"/>
      <c r="C67" s="144"/>
      <c r="D67" s="144"/>
      <c r="E67" s="144"/>
      <c r="F67" s="144"/>
      <c r="G67" s="153"/>
      <c r="H67" s="220"/>
      <c r="I67" s="153"/>
      <c r="J67" s="220"/>
      <c r="K67" s="154"/>
      <c r="L67" s="154"/>
      <c r="M67" s="154"/>
      <c r="N67" s="154"/>
      <c r="O67" s="223"/>
      <c r="P67" s="144"/>
    </row>
    <row r="68" spans="1:16" ht="20.25" customHeight="1" x14ac:dyDescent="0.4">
      <c r="A68" s="44"/>
      <c r="B68" s="144"/>
      <c r="C68" s="144"/>
      <c r="D68" s="224" t="str">
        <f>IF('Customer Info'!$C$33=TRUE,"Notice: Billing Charge does not include Self Assessed KWH Tax"," ")</f>
        <v xml:space="preserve"> </v>
      </c>
      <c r="E68" s="44"/>
      <c r="F68" s="1"/>
      <c r="G68" s="225"/>
      <c r="H68" s="226"/>
      <c r="I68" s="213"/>
      <c r="J68" s="226"/>
      <c r="K68" s="144"/>
      <c r="L68" s="144"/>
      <c r="M68" s="144"/>
      <c r="N68" s="213"/>
    </row>
    <row r="69" spans="1:16" x14ac:dyDescent="0.25">
      <c r="A69" s="144"/>
      <c r="B69" s="144"/>
      <c r="C69" s="144"/>
      <c r="D69" s="174"/>
      <c r="E69" s="44"/>
      <c r="F69" s="1"/>
      <c r="G69" s="226"/>
      <c r="H69" s="226"/>
      <c r="I69" s="227"/>
      <c r="J69" s="226"/>
      <c r="K69" s="144"/>
      <c r="L69" s="144"/>
      <c r="M69" s="144"/>
      <c r="N69" s="144"/>
      <c r="O69" s="171"/>
    </row>
    <row r="70" spans="1:16" x14ac:dyDescent="0.25">
      <c r="A70" s="144"/>
      <c r="B70" s="144"/>
      <c r="C70" s="144"/>
      <c r="D70" s="174"/>
      <c r="E70" s="44"/>
      <c r="F70" s="1"/>
      <c r="G70" s="226"/>
      <c r="H70" s="226"/>
      <c r="I70" s="226"/>
      <c r="J70" s="226"/>
      <c r="K70" s="144"/>
      <c r="L70" s="144"/>
      <c r="M70" s="144"/>
      <c r="N70" s="144"/>
      <c r="O70" s="171"/>
    </row>
    <row r="71" spans="1:16" x14ac:dyDescent="0.25">
      <c r="A71" s="155"/>
      <c r="B71" s="144"/>
      <c r="C71" s="144"/>
      <c r="D71" s="144"/>
      <c r="E71" s="144"/>
      <c r="F71" s="144"/>
      <c r="G71" s="144"/>
      <c r="H71" s="144"/>
      <c r="J71" s="144"/>
      <c r="K71" s="144"/>
      <c r="L71" s="171"/>
      <c r="M71" s="171"/>
      <c r="N71" s="171"/>
      <c r="O71" s="142"/>
    </row>
    <row r="72" spans="1:16" x14ac:dyDescent="0.25">
      <c r="B72" s="144"/>
      <c r="C72" s="144"/>
      <c r="D72" s="144"/>
      <c r="E72" s="144"/>
      <c r="F72" s="144"/>
      <c r="G72" s="153"/>
      <c r="H72" s="144"/>
      <c r="I72" s="144"/>
      <c r="J72" s="144"/>
      <c r="K72" s="144"/>
      <c r="L72" s="228"/>
      <c r="M72" s="228"/>
      <c r="N72" s="228"/>
      <c r="O72" s="223"/>
      <c r="P72" s="144"/>
    </row>
    <row r="73" spans="1:16" x14ac:dyDescent="0.25">
      <c r="G73" s="64"/>
      <c r="H73" s="148"/>
      <c r="I73" s="64"/>
      <c r="J73" s="148"/>
      <c r="K73" s="148"/>
      <c r="L73" s="149"/>
      <c r="M73" s="149"/>
      <c r="N73" s="149"/>
      <c r="O73" s="150"/>
      <c r="P73" s="59"/>
    </row>
    <row r="75" spans="1:16" x14ac:dyDescent="0.25">
      <c r="A75" s="432"/>
    </row>
    <row r="76" spans="1:16" x14ac:dyDescent="0.25">
      <c r="A76" s="432"/>
    </row>
    <row r="77" spans="1:16" x14ac:dyDescent="0.25">
      <c r="A77" s="432"/>
    </row>
    <row r="78" spans="1:16" x14ac:dyDescent="0.25">
      <c r="A78" s="432"/>
    </row>
    <row r="79" spans="1:16" x14ac:dyDescent="0.25">
      <c r="A79" s="432"/>
    </row>
    <row r="80" spans="1:1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sheetData>
  <sheetProtection algorithmName="SHA-512" hashValue="uq0Wu+nkuWRSokv0jFNnDWglU1y2zyDBt35HcHDjBsYcCfACDXdplIkoKtdh4FI5Jmx6GgsQHModUFt0UxJqLw==" saltValue="JCf3ozONkO9ANL2xPDPWr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5:A89"/>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274320</xdr:colOff>
                    <xdr:row>83</xdr:row>
                    <xdr:rowOff>45720</xdr:rowOff>
                  </from>
                  <to>
                    <xdr:col>16</xdr:col>
                    <xdr:colOff>30480</xdr:colOff>
                    <xdr:row>84</xdr:row>
                    <xdr:rowOff>83820</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9"/>
  <sheetViews>
    <sheetView showGridLines="0" topLeftCell="A20"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232</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233</v>
      </c>
      <c r="C6" s="229"/>
      <c r="D6" s="229"/>
      <c r="E6" s="229"/>
      <c r="F6" s="229"/>
      <c r="G6" s="229"/>
      <c r="H6" s="229"/>
      <c r="I6" s="229"/>
      <c r="J6" s="229"/>
      <c r="K6" s="229"/>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5">
      <c r="C13" s="68" t="s">
        <v>184</v>
      </c>
      <c r="D13" s="68" t="s">
        <v>185</v>
      </c>
    </row>
    <row r="14" spans="1:256" x14ac:dyDescent="0.25">
      <c r="A14" s="158" t="s">
        <v>186</v>
      </c>
      <c r="B14" s="158"/>
      <c r="C14" s="206">
        <f>'Customer Info'!B19</f>
        <v>0</v>
      </c>
      <c r="D14" s="206">
        <f>ROUND(C14*C20,1)</f>
        <v>0</v>
      </c>
      <c r="E14" s="158" t="s">
        <v>13</v>
      </c>
      <c r="F14" s="160"/>
      <c r="G14" s="158" t="s">
        <v>2</v>
      </c>
      <c r="I14" s="207" t="s">
        <v>2</v>
      </c>
      <c r="J14" s="158"/>
      <c r="K14" s="158"/>
      <c r="L14" s="158"/>
      <c r="M14" s="158"/>
      <c r="N14" s="158"/>
    </row>
    <row r="15" spans="1:256" x14ac:dyDescent="0.25">
      <c r="A15" s="158" t="s">
        <v>187</v>
      </c>
      <c r="B15" s="158"/>
      <c r="C15" s="206">
        <f>'Customer Info'!B20</f>
        <v>0</v>
      </c>
      <c r="D15" s="206">
        <f>C15*C20</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5">
      <c r="A17" s="158" t="s">
        <v>206</v>
      </c>
      <c r="B17" s="158"/>
      <c r="C17" s="159">
        <f>'Customer Info'!$B$28</f>
        <v>0</v>
      </c>
      <c r="D17" s="159">
        <f>$C$17</f>
        <v>0</v>
      </c>
      <c r="E17" s="158" t="s">
        <v>207</v>
      </c>
      <c r="F17" s="160"/>
      <c r="G17" s="158"/>
      <c r="H17" s="158"/>
      <c r="I17" s="158"/>
      <c r="J17" s="158"/>
      <c r="K17" s="158"/>
      <c r="L17" s="158"/>
      <c r="M17" s="158"/>
      <c r="N17" s="158"/>
      <c r="O17" s="158"/>
    </row>
    <row r="18" spans="1:30" x14ac:dyDescent="0.25">
      <c r="A18" s="158" t="s">
        <v>208</v>
      </c>
      <c r="B18" s="158"/>
      <c r="C18" s="206">
        <f>IF('Customer Info'!$B$19=0,0,ROUND(MAX(ROUND('Customer Info'!$B$19*'GS PRI OAD'!C20,1),ROUND('Customer Info'!$B$20*'GS PRI OAD'!C20,1))/'Customer Info'!$D$30,1))</f>
        <v>0</v>
      </c>
      <c r="D18" s="206">
        <f>$C$18</f>
        <v>0</v>
      </c>
      <c r="E18" s="158" t="s">
        <v>209</v>
      </c>
      <c r="F18" s="160"/>
      <c r="G18" s="158"/>
      <c r="H18" s="158"/>
      <c r="I18" s="158"/>
      <c r="J18" s="158"/>
      <c r="K18" s="158"/>
      <c r="L18" s="158"/>
      <c r="M18" s="158"/>
      <c r="N18" s="158"/>
      <c r="O18" s="158"/>
    </row>
    <row r="19" spans="1:30" x14ac:dyDescent="0.25">
      <c r="A19" s="158" t="s">
        <v>210</v>
      </c>
      <c r="B19" s="158"/>
      <c r="C19" s="159"/>
      <c r="D19" s="206">
        <f>MAX(100,ROUND(1.15*(MAX('Customer Info'!$B$19*'GS PRI OAD'!C20,'Customer Info'!$B$20*'GS PRI OAD'!C20)),1))</f>
        <v>100</v>
      </c>
      <c r="E19" s="158" t="s">
        <v>209</v>
      </c>
      <c r="F19" s="160"/>
      <c r="K19" s="158"/>
      <c r="L19" s="158"/>
      <c r="M19" s="158"/>
      <c r="N19" s="158"/>
    </row>
    <row r="20" spans="1:30" x14ac:dyDescent="0.25">
      <c r="A20" s="158" t="s">
        <v>189</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5">
      <c r="A21" s="158" t="s">
        <v>2</v>
      </c>
      <c r="B21" s="158"/>
      <c r="C21" s="210" t="s">
        <v>2</v>
      </c>
      <c r="D21" s="453" t="s">
        <v>2</v>
      </c>
      <c r="E21" s="453"/>
      <c r="F21" s="453"/>
      <c r="G21" s="453"/>
      <c r="H21" s="453"/>
      <c r="K21" s="158"/>
      <c r="L21" s="158"/>
      <c r="M21" s="158"/>
      <c r="N21" s="158"/>
      <c r="O21" s="188"/>
    </row>
    <row r="22" spans="1:30" x14ac:dyDescent="0.25">
      <c r="A22" s="158" t="s">
        <v>2</v>
      </c>
      <c r="B22" s="158"/>
      <c r="C22" s="210" t="s">
        <v>2</v>
      </c>
      <c r="D22" s="453" t="s">
        <v>2</v>
      </c>
      <c r="E22" s="453"/>
      <c r="F22" s="453"/>
      <c r="G22" s="453"/>
      <c r="H22" s="453"/>
      <c r="I22" s="57"/>
      <c r="J22" s="57"/>
      <c r="K22" s="158"/>
      <c r="L22" s="158"/>
      <c r="M22" s="158"/>
      <c r="N22" s="158"/>
      <c r="O22" s="188"/>
    </row>
    <row r="23" spans="1:30" x14ac:dyDescent="0.25">
      <c r="A23" s="158"/>
      <c r="B23" s="158"/>
      <c r="C23" s="160"/>
      <c r="D23" s="160"/>
      <c r="E23" s="160"/>
      <c r="F23" s="160"/>
      <c r="G23" s="57"/>
      <c r="H23" s="57"/>
      <c r="I23" s="57"/>
      <c r="J23" s="57"/>
      <c r="K23" s="158"/>
      <c r="L23" s="158"/>
      <c r="M23" s="158"/>
      <c r="N23" s="158"/>
      <c r="O23" s="158"/>
    </row>
    <row r="24" spans="1:30" x14ac:dyDescent="0.25">
      <c r="A24" s="162" t="s">
        <v>72</v>
      </c>
      <c r="B24" s="163"/>
      <c r="C24" s="163"/>
      <c r="D24" s="163"/>
      <c r="E24" s="163"/>
      <c r="F24" s="163"/>
      <c r="G24" s="445" t="s">
        <v>73</v>
      </c>
      <c r="H24" s="446"/>
      <c r="I24" s="446"/>
      <c r="J24" s="447"/>
      <c r="K24" s="163"/>
      <c r="L24" s="448" t="s">
        <v>74</v>
      </c>
      <c r="M24" s="448"/>
      <c r="N24" s="448"/>
      <c r="O24" s="448"/>
    </row>
    <row r="25" spans="1:30" x14ac:dyDescent="0.25">
      <c r="G25" s="164" t="s">
        <v>75</v>
      </c>
      <c r="H25" s="164" t="s">
        <v>76</v>
      </c>
      <c r="I25" s="164" t="s">
        <v>77</v>
      </c>
      <c r="J25" s="118" t="s">
        <v>78</v>
      </c>
      <c r="L25" s="165" t="s">
        <v>75</v>
      </c>
      <c r="M25" s="165" t="s">
        <v>76</v>
      </c>
      <c r="N25" s="165" t="s">
        <v>77</v>
      </c>
      <c r="O25" s="165" t="s">
        <v>78</v>
      </c>
      <c r="P25" s="166" t="s">
        <v>79</v>
      </c>
    </row>
    <row r="26" spans="1:30" x14ac:dyDescent="0.25">
      <c r="A26" t="s">
        <v>80</v>
      </c>
      <c r="G26" s="189"/>
      <c r="H26" s="189"/>
      <c r="I26" s="189">
        <v>138.5</v>
      </c>
      <c r="J26" s="189">
        <f>SUM(G26:I26)</f>
        <v>138.5</v>
      </c>
      <c r="L26" s="190"/>
      <c r="M26" s="190"/>
      <c r="N26" s="190">
        <f>I26</f>
        <v>138.5</v>
      </c>
      <c r="O26" s="128">
        <f>SUM(L26:N26)</f>
        <v>138.5</v>
      </c>
      <c r="P26" s="92">
        <v>44531</v>
      </c>
    </row>
    <row r="27" spans="1:30" x14ac:dyDescent="0.25">
      <c r="A27" t="s">
        <v>168</v>
      </c>
      <c r="D27" s="4">
        <f>D16</f>
        <v>0</v>
      </c>
      <c r="E27" s="97" t="s">
        <v>19</v>
      </c>
      <c r="F27" s="84" t="s">
        <v>82</v>
      </c>
      <c r="G27" s="191"/>
      <c r="H27" s="189"/>
      <c r="I27" s="189"/>
      <c r="J27" s="191"/>
      <c r="K27" s="94" t="s">
        <v>87</v>
      </c>
      <c r="L27" s="189"/>
      <c r="M27" s="190"/>
      <c r="N27" s="189"/>
      <c r="O27" s="128"/>
      <c r="P27" s="92"/>
    </row>
    <row r="28" spans="1:30" x14ac:dyDescent="0.25">
      <c r="A28" t="s">
        <v>211</v>
      </c>
      <c r="D28" s="349">
        <f>ROUND(MAX(D14,D15,('Customer Info'!B15-100)*0.6,('Customer Info'!B17-100)*0.6),1)</f>
        <v>0</v>
      </c>
      <c r="E28" s="158" t="s">
        <v>13</v>
      </c>
      <c r="F28" s="1" t="s">
        <v>82</v>
      </c>
      <c r="G28" s="337"/>
      <c r="H28" s="337"/>
      <c r="I28" s="337">
        <v>6.33</v>
      </c>
      <c r="J28" s="337">
        <f>SUM(G28:I28)</f>
        <v>6.33</v>
      </c>
      <c r="K28" s="154" t="s">
        <v>165</v>
      </c>
      <c r="L28" s="189"/>
      <c r="M28" s="189"/>
      <c r="N28" s="189">
        <f>ROUND($D28*I28,2)</f>
        <v>0</v>
      </c>
      <c r="O28" s="128">
        <f>SUM(L28:N28)</f>
        <v>0</v>
      </c>
      <c r="P28" s="92">
        <v>45261</v>
      </c>
    </row>
    <row r="29" spans="1:30" x14ac:dyDescent="0.25">
      <c r="A29" t="s">
        <v>212</v>
      </c>
      <c r="D29" s="349">
        <f>IF(D18&lt;=100,0,ROUND(IF(D18-D19&gt;0,D18-D19),1))</f>
        <v>0</v>
      </c>
      <c r="E29" s="158" t="s">
        <v>213</v>
      </c>
      <c r="F29" s="1" t="s">
        <v>82</v>
      </c>
      <c r="G29" s="338"/>
      <c r="H29" s="337"/>
      <c r="I29" s="337">
        <v>1.21</v>
      </c>
      <c r="J29" s="338">
        <f>SUM(G29:I29)</f>
        <v>1.21</v>
      </c>
      <c r="K29" s="154" t="s">
        <v>165</v>
      </c>
      <c r="L29" s="189"/>
      <c r="M29" s="189"/>
      <c r="N29" s="189">
        <f>ROUND($D29*I29,2)</f>
        <v>0</v>
      </c>
      <c r="O29" s="189">
        <f>SUM(L29:N29)</f>
        <v>0</v>
      </c>
      <c r="P29" s="92">
        <v>44531</v>
      </c>
    </row>
    <row r="30" spans="1:30" x14ac:dyDescent="0.25">
      <c r="A30" s="144" t="s">
        <v>84</v>
      </c>
      <c r="B30" s="144"/>
      <c r="C30" s="144"/>
      <c r="D30" s="170"/>
      <c r="E30" s="170"/>
      <c r="F30" s="144"/>
      <c r="G30" s="144"/>
      <c r="H30" s="144"/>
      <c r="I30" s="144"/>
      <c r="J30" s="144"/>
      <c r="K30" s="172"/>
      <c r="L30" s="171"/>
      <c r="M30" s="171"/>
      <c r="N30" s="171">
        <f>SUM(N26:N29)</f>
        <v>138.5</v>
      </c>
      <c r="O30" s="171">
        <f>SUM(O26:O29)</f>
        <v>138.5</v>
      </c>
    </row>
    <row r="31" spans="1:30" x14ac:dyDescent="0.25">
      <c r="A31" s="192"/>
      <c r="B31" s="192"/>
      <c r="C31" s="193"/>
      <c r="D31" s="193"/>
      <c r="E31" s="193"/>
      <c r="F31" s="193"/>
      <c r="G31" s="194"/>
      <c r="H31" s="194"/>
      <c r="I31" s="194"/>
      <c r="J31" s="194"/>
      <c r="K31" s="192"/>
      <c r="L31" s="192"/>
      <c r="M31" s="192"/>
      <c r="N31" s="192"/>
      <c r="O31" s="192"/>
      <c r="P31" s="192"/>
    </row>
    <row r="32" spans="1:30" x14ac:dyDescent="0.25">
      <c r="A32" s="155" t="s">
        <v>85</v>
      </c>
      <c r="D32" s="4"/>
      <c r="E32" s="4"/>
      <c r="K32" s="154"/>
      <c r="L32" s="154"/>
      <c r="M32" s="154"/>
      <c r="N32" s="154"/>
      <c r="O32" s="213"/>
      <c r="P32" s="213"/>
    </row>
    <row r="33" spans="1:221" x14ac:dyDescent="0.25">
      <c r="A33" s="144"/>
      <c r="D33" s="4"/>
      <c r="E33" s="4"/>
      <c r="K33" s="154"/>
      <c r="L33" s="154"/>
      <c r="M33" s="154"/>
      <c r="N33" s="154"/>
      <c r="O33" s="213"/>
    </row>
    <row r="34" spans="1:221" x14ac:dyDescent="0.25">
      <c r="A34" s="72" t="s">
        <v>86</v>
      </c>
      <c r="D34" s="4">
        <f>IF($C$16&lt;0,0,IF($C$16&gt;833000,833000,$C$16))</f>
        <v>0</v>
      </c>
      <c r="E34" s="152" t="s">
        <v>19</v>
      </c>
      <c r="F34" s="1" t="s">
        <v>82</v>
      </c>
      <c r="G34" s="167"/>
      <c r="H34" s="191"/>
      <c r="I34" s="100">
        <f>'Rider Rates'!$B$4</f>
        <v>4.6278999999999999E-3</v>
      </c>
      <c r="J34" s="214">
        <f>SUM(G34:I34)</f>
        <v>4.6278999999999999E-3</v>
      </c>
      <c r="K34" s="154" t="s">
        <v>87</v>
      </c>
      <c r="L34" s="189"/>
      <c r="M34" s="189"/>
      <c r="N34" s="189">
        <f>ROUND($D34*I34,2)</f>
        <v>0</v>
      </c>
      <c r="O34" s="189">
        <f>SUM(L34:N34)</f>
        <v>0</v>
      </c>
      <c r="P34" s="92">
        <f>'Rider Rates'!$D$4</f>
        <v>45657</v>
      </c>
    </row>
    <row r="35" spans="1:221" x14ac:dyDescent="0.25">
      <c r="A35" s="72" t="s">
        <v>88</v>
      </c>
      <c r="D35" s="4">
        <f>IF($C$16-833000&gt;0,$C$16-D34,0)</f>
        <v>0</v>
      </c>
      <c r="E35" s="152" t="s">
        <v>19</v>
      </c>
      <c r="F35" s="1" t="s">
        <v>82</v>
      </c>
      <c r="G35" s="167"/>
      <c r="H35" s="191"/>
      <c r="I35" s="100">
        <f>'Rider Rates'!$B$5</f>
        <v>1.7560000000000001E-4</v>
      </c>
      <c r="J35" s="215">
        <f>SUM(G35:I35)</f>
        <v>1.7560000000000001E-4</v>
      </c>
      <c r="K35" s="154" t="s">
        <v>87</v>
      </c>
      <c r="L35" s="189"/>
      <c r="M35" s="189"/>
      <c r="N35" s="189">
        <f>ROUND($D35*I35,2)</f>
        <v>0</v>
      </c>
      <c r="O35" s="189">
        <f>SUM(L35:N35)</f>
        <v>0</v>
      </c>
      <c r="P35" s="92">
        <f>'Rider Rates'!$D$4</f>
        <v>45657</v>
      </c>
    </row>
    <row r="36" spans="1:221" x14ac:dyDescent="0.25">
      <c r="A36" s="72" t="s">
        <v>190</v>
      </c>
      <c r="B36" t="s">
        <v>2</v>
      </c>
      <c r="D36" s="4">
        <f>IF('Customer Info'!$C$33=TRUE,0,IF(C16&lt;0,0,IF(C16&gt;2000,2000,C16)))</f>
        <v>0</v>
      </c>
      <c r="E36" s="152" t="s">
        <v>19</v>
      </c>
      <c r="F36" s="1" t="s">
        <v>82</v>
      </c>
      <c r="G36" s="167"/>
      <c r="H36" s="191"/>
      <c r="I36" s="112">
        <f>'Rider Rates'!$B$8</f>
        <v>4.6499999999999996E-3</v>
      </c>
      <c r="J36" s="216">
        <f>SUM(G36:I36)</f>
        <v>4.6499999999999996E-3</v>
      </c>
      <c r="K36" s="154" t="s">
        <v>87</v>
      </c>
      <c r="L36" s="189"/>
      <c r="M36" s="189"/>
      <c r="N36" s="189">
        <f>ROUND($D36*I36,2)</f>
        <v>0</v>
      </c>
      <c r="O36" s="189">
        <f>SUM(L36:N36)</f>
        <v>0</v>
      </c>
      <c r="P36" s="92">
        <f>'Rider Rates'!$D$7</f>
        <v>44531</v>
      </c>
    </row>
    <row r="37" spans="1:221" x14ac:dyDescent="0.25">
      <c r="A37" s="72" t="s">
        <v>191</v>
      </c>
      <c r="B37" t="s">
        <v>2</v>
      </c>
      <c r="D37" s="4">
        <f>IF('Customer Info'!$C$33=TRUE,0,IF(C16&gt;15000,13000,IF(C16&gt;2000,C16-2000,0)))</f>
        <v>0</v>
      </c>
      <c r="E37" s="152" t="s">
        <v>19</v>
      </c>
      <c r="F37" s="1" t="s">
        <v>82</v>
      </c>
      <c r="G37" s="167"/>
      <c r="H37" s="191"/>
      <c r="I37" s="112">
        <f>'Rider Rates'!$B$9</f>
        <v>4.1900000000000001E-3</v>
      </c>
      <c r="J37" s="216">
        <f>SUM(G37:I37)</f>
        <v>4.1900000000000001E-3</v>
      </c>
      <c r="K37" s="154" t="s">
        <v>87</v>
      </c>
      <c r="L37" s="189"/>
      <c r="M37" s="189"/>
      <c r="N37" s="189">
        <f>ROUND($D37*I37,2)</f>
        <v>0</v>
      </c>
      <c r="O37" s="189">
        <f>SUM(L37:N37)</f>
        <v>0</v>
      </c>
      <c r="P37" s="92">
        <f>'Rider Rates'!$D$7</f>
        <v>44531</v>
      </c>
    </row>
    <row r="38" spans="1:221" x14ac:dyDescent="0.25">
      <c r="A38" s="72" t="s">
        <v>192</v>
      </c>
      <c r="B38" t="s">
        <v>2</v>
      </c>
      <c r="D38" s="4">
        <f>IF('Customer Info'!$C$33=TRUE,0,IF(C16-D36-D37&gt;0,C16-D36-D37,0))</f>
        <v>0</v>
      </c>
      <c r="E38" s="152" t="s">
        <v>19</v>
      </c>
      <c r="F38" s="1" t="s">
        <v>82</v>
      </c>
      <c r="G38" s="167"/>
      <c r="H38" s="191"/>
      <c r="I38" s="112">
        <f>'Rider Rates'!$B$10</f>
        <v>3.63E-3</v>
      </c>
      <c r="J38" s="216">
        <f>SUM(G38:I38)</f>
        <v>3.63E-3</v>
      </c>
      <c r="K38" s="154" t="s">
        <v>87</v>
      </c>
      <c r="L38" s="189"/>
      <c r="M38" s="189"/>
      <c r="N38" s="189">
        <f>ROUND($D38*I38,2)</f>
        <v>0</v>
      </c>
      <c r="O38" s="189">
        <f>SUM(L38:N38)</f>
        <v>0</v>
      </c>
      <c r="P38" s="92">
        <f>'Rider Rates'!$D$7</f>
        <v>44531</v>
      </c>
    </row>
    <row r="39" spans="1:221" x14ac:dyDescent="0.25">
      <c r="A39" s="72" t="s">
        <v>93</v>
      </c>
      <c r="B39" s="72"/>
      <c r="C39" s="72"/>
      <c r="D39" s="217">
        <f>$N$30</f>
        <v>138.5</v>
      </c>
      <c r="E39" s="97" t="s">
        <v>94</v>
      </c>
      <c r="F39" s="84" t="s">
        <v>82</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5">
      <c r="A40" s="72" t="s">
        <v>98</v>
      </c>
      <c r="B40" s="72"/>
      <c r="C40" s="72"/>
      <c r="D40" s="4">
        <f>IF($C$16&lt;0,0,IF($C$16&gt;833000,833000,$C$16))</f>
        <v>0</v>
      </c>
      <c r="E40" s="97" t="s">
        <v>19</v>
      </c>
      <c r="F40" s="84" t="s">
        <v>82</v>
      </c>
      <c r="G40" s="100"/>
      <c r="H40" s="100"/>
      <c r="I40" s="100">
        <f>'Rider Rates'!D53</f>
        <v>1.8006999999999999E-3</v>
      </c>
      <c r="J40" s="100">
        <f>SUM(G40:I40)</f>
        <v>1.8006999999999999E-3</v>
      </c>
      <c r="K40" s="94" t="s">
        <v>87</v>
      </c>
      <c r="L40" s="89"/>
      <c r="M40" s="89"/>
      <c r="N40" s="189">
        <f>D40*J40</f>
        <v>0</v>
      </c>
      <c r="O40" s="89">
        <f t="shared" si="0"/>
        <v>0</v>
      </c>
      <c r="P40" s="92">
        <f>'Rider Rates'!E53</f>
        <v>45658</v>
      </c>
    </row>
    <row r="41" spans="1:221" x14ac:dyDescent="0.25">
      <c r="A41" s="76" t="s">
        <v>99</v>
      </c>
      <c r="B41" s="72"/>
      <c r="C41" s="72"/>
      <c r="D41" s="4">
        <f>IF($C$16&lt;0,0,$C$16)</f>
        <v>0</v>
      </c>
      <c r="E41" s="97" t="s">
        <v>19</v>
      </c>
      <c r="F41" s="84" t="s">
        <v>82</v>
      </c>
      <c r="G41" s="100"/>
      <c r="H41" s="100">
        <f>'Rider Rates'!B62</f>
        <v>5.8060000000000002E-4</v>
      </c>
      <c r="I41" s="100"/>
      <c r="J41" s="100">
        <f>SUM(G41:I41)</f>
        <v>5.8060000000000002E-4</v>
      </c>
      <c r="K41" s="94" t="s">
        <v>87</v>
      </c>
      <c r="L41" s="89"/>
      <c r="M41" s="89">
        <f>ROUND(D41*H41,2)</f>
        <v>0</v>
      </c>
      <c r="N41" s="116"/>
      <c r="O41" s="89">
        <f t="shared" si="0"/>
        <v>0</v>
      </c>
      <c r="P41" s="92">
        <f>'Rider Rates'!$D$61</f>
        <v>45383</v>
      </c>
    </row>
    <row r="42" spans="1:221" x14ac:dyDescent="0.25">
      <c r="A42" s="76" t="s">
        <v>99</v>
      </c>
      <c r="B42" s="72"/>
      <c r="C42" s="72"/>
      <c r="D42" s="349">
        <f>D14</f>
        <v>0</v>
      </c>
      <c r="E42" s="152" t="s">
        <v>214</v>
      </c>
      <c r="F42" s="1" t="s">
        <v>82</v>
      </c>
      <c r="G42" s="100"/>
      <c r="H42" s="90">
        <f>'Rider Rates'!B67</f>
        <v>6.76</v>
      </c>
      <c r="I42" s="100"/>
      <c r="J42" s="90">
        <f>SUM(G42:I42)</f>
        <v>6.76</v>
      </c>
      <c r="K42" s="94" t="s">
        <v>165</v>
      </c>
      <c r="L42" s="89"/>
      <c r="M42" s="89">
        <f>ROUND(D42*H42,2)</f>
        <v>0</v>
      </c>
      <c r="N42" s="116"/>
      <c r="O42" s="89">
        <f t="shared" si="0"/>
        <v>0</v>
      </c>
      <c r="P42" s="92">
        <f>'Rider Rates'!$D$66</f>
        <v>45383</v>
      </c>
    </row>
    <row r="43" spans="1:221" x14ac:dyDescent="0.25">
      <c r="A43" s="76" t="s">
        <v>193</v>
      </c>
      <c r="B43" s="72"/>
      <c r="C43" s="72"/>
      <c r="D43" s="4">
        <f>IF('Customer Info'!C35=TRUE,0,IF($C$16&lt;0,0,$C$16))</f>
        <v>0</v>
      </c>
      <c r="E43" s="97" t="s">
        <v>19</v>
      </c>
      <c r="F43" s="84" t="s">
        <v>82</v>
      </c>
      <c r="G43" s="100"/>
      <c r="H43" s="100"/>
      <c r="I43" s="100">
        <f>'Rider Rates'!$B$75+'Rider Rates'!$C$75</f>
        <v>0</v>
      </c>
      <c r="J43" s="100">
        <f>SUM(G43:I43)</f>
        <v>0</v>
      </c>
      <c r="K43" s="94" t="s">
        <v>87</v>
      </c>
      <c r="L43" s="89"/>
      <c r="M43" s="89"/>
      <c r="N43" s="189">
        <f>ROUND($D$43*'Rider Rates'!$B$75,2)+ROUND($D$43*'Rider Rates'!$C$75,2)</f>
        <v>0</v>
      </c>
      <c r="O43" s="128">
        <f t="shared" si="0"/>
        <v>0</v>
      </c>
      <c r="P43" s="92">
        <f>'Rider Rates'!$D$75</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5">
      <c r="A44" s="76" t="s">
        <v>193</v>
      </c>
      <c r="B44" s="72"/>
      <c r="C44" s="72"/>
      <c r="D44" s="349">
        <f>IF('Customer Info'!C35=TRUE,0,$D$28)</f>
        <v>0</v>
      </c>
      <c r="E44" s="97" t="s">
        <v>13</v>
      </c>
      <c r="F44" s="84" t="s">
        <v>82</v>
      </c>
      <c r="G44" s="100"/>
      <c r="H44" s="100"/>
      <c r="I44" s="90">
        <f>'Rider Rates'!$B$85</f>
        <v>0</v>
      </c>
      <c r="J44" s="90">
        <f>SUM(G44:I44)</f>
        <v>0</v>
      </c>
      <c r="K44" s="94" t="s">
        <v>87</v>
      </c>
      <c r="L44" s="89"/>
      <c r="M44" s="89"/>
      <c r="N44" s="189">
        <f>ROUND($D44*I44,2)</f>
        <v>0</v>
      </c>
      <c r="O44" s="128">
        <f>SUM(L44:N44)</f>
        <v>0</v>
      </c>
      <c r="P44" s="92">
        <f>'Rider Rates'!$D$85</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5">
      <c r="A45" s="76" t="s">
        <v>102</v>
      </c>
      <c r="B45" s="72"/>
      <c r="C45" s="72"/>
      <c r="D45" s="217">
        <f>$N$30</f>
        <v>138.5</v>
      </c>
      <c r="E45" s="97" t="s">
        <v>94</v>
      </c>
      <c r="F45" s="84" t="s">
        <v>82</v>
      </c>
      <c r="G45" s="117"/>
      <c r="H45" s="118"/>
      <c r="I45" s="119">
        <f>'Rider Rates'!$B$89</f>
        <v>4.94232E-2</v>
      </c>
      <c r="J45" s="119">
        <f>SUM(H45:I45)</f>
        <v>4.94232E-2</v>
      </c>
      <c r="K45" s="94"/>
      <c r="L45" s="89"/>
      <c r="M45" s="89"/>
      <c r="N45" s="89">
        <f>ROUND(N$30*I45,2)</f>
        <v>6.85</v>
      </c>
      <c r="O45" s="128">
        <f t="shared" si="0"/>
        <v>6.85</v>
      </c>
      <c r="P45" s="92">
        <f>'Rider Rates'!$D$89</f>
        <v>45562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5">
      <c r="A46" s="76" t="s">
        <v>103</v>
      </c>
      <c r="B46" s="72"/>
      <c r="C46" s="72"/>
      <c r="D46" s="217">
        <f>$N$30</f>
        <v>138.5</v>
      </c>
      <c r="E46" s="97" t="s">
        <v>94</v>
      </c>
      <c r="F46" s="84" t="s">
        <v>82</v>
      </c>
      <c r="G46" s="120"/>
      <c r="H46" s="85"/>
      <c r="I46" s="119">
        <f>'Rider Rates'!$B$91</f>
        <v>6.6985699999999995E-2</v>
      </c>
      <c r="J46" s="119">
        <f>SUM(H46:I46)</f>
        <v>6.6985699999999995E-2</v>
      </c>
      <c r="K46" s="94"/>
      <c r="L46" s="89"/>
      <c r="M46" s="89"/>
      <c r="N46" s="89">
        <f>ROUND(N$30*I46,2)</f>
        <v>9.2799999999999994</v>
      </c>
      <c r="O46" s="128">
        <f t="shared" si="0"/>
        <v>9.2799999999999994</v>
      </c>
      <c r="P46" s="92">
        <f>'Rider Rates'!$D$91</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5">
      <c r="A47" s="76" t="s">
        <v>104</v>
      </c>
      <c r="B47" s="72"/>
      <c r="C47" s="72"/>
      <c r="D47" s="113"/>
      <c r="E47" s="97" t="s">
        <v>57</v>
      </c>
      <c r="F47" s="84"/>
      <c r="G47" s="120"/>
      <c r="H47" s="85"/>
      <c r="I47" s="121">
        <f>'Rider Rates'!$B$95</f>
        <v>17.53</v>
      </c>
      <c r="J47" s="121">
        <f>SUM(G47:I47)</f>
        <v>17.53</v>
      </c>
      <c r="K47" s="94"/>
      <c r="L47" s="89"/>
      <c r="M47" s="89"/>
      <c r="N47" s="89">
        <f>I47</f>
        <v>17.53</v>
      </c>
      <c r="O47" s="89">
        <f>SUM(L47:N47)</f>
        <v>17.53</v>
      </c>
      <c r="P47" s="92">
        <f>'Rider Rates'!$D$95</f>
        <v>45657</v>
      </c>
    </row>
    <row r="48" spans="1:221" x14ac:dyDescent="0.25">
      <c r="A48" s="76" t="s">
        <v>106</v>
      </c>
      <c r="B48" s="72"/>
      <c r="C48" s="72"/>
      <c r="D48" s="217">
        <f>$N$30</f>
        <v>138.5</v>
      </c>
      <c r="E48" s="97" t="s">
        <v>94</v>
      </c>
      <c r="F48" s="84" t="s">
        <v>82</v>
      </c>
      <c r="G48" s="120"/>
      <c r="H48" s="85"/>
      <c r="I48" s="119">
        <f>'Rider Rates'!$B$109</f>
        <v>0.2363101</v>
      </c>
      <c r="J48" s="119">
        <f>SUM(H48:I48)</f>
        <v>0.2363101</v>
      </c>
      <c r="K48" s="94"/>
      <c r="L48" s="89"/>
      <c r="M48" s="89"/>
      <c r="N48" s="89">
        <f>ROUND(N$30*I48,2)</f>
        <v>32.729999999999997</v>
      </c>
      <c r="O48" s="89">
        <f t="shared" si="0"/>
        <v>32.729999999999997</v>
      </c>
      <c r="P48" s="92">
        <f>'Rider Rates'!$D$109</f>
        <v>45622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107</v>
      </c>
      <c r="B49" s="72"/>
      <c r="C49" s="72"/>
      <c r="D49" s="113"/>
      <c r="E49" s="97" t="s">
        <v>57</v>
      </c>
      <c r="F49" s="84"/>
      <c r="G49" s="120"/>
      <c r="H49" s="85"/>
      <c r="I49" s="121">
        <f>'Rider Rates'!$B$113</f>
        <v>0</v>
      </c>
      <c r="J49" s="121">
        <f t="shared" ref="J49:J55" si="1">SUM(G49:I49)</f>
        <v>0</v>
      </c>
      <c r="K49" s="94"/>
      <c r="L49" s="89"/>
      <c r="M49" s="89"/>
      <c r="N49" s="89">
        <f>I49</f>
        <v>0</v>
      </c>
      <c r="O49" s="89">
        <f t="shared" ref="O49:O55" si="2">SUM(L49:N49)</f>
        <v>0</v>
      </c>
      <c r="P49" s="92">
        <f>'Rider Rates'!$D$113</f>
        <v>44894</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108</v>
      </c>
      <c r="B50" s="72"/>
      <c r="C50" s="72"/>
      <c r="D50" s="113"/>
      <c r="E50" s="97" t="s">
        <v>57</v>
      </c>
      <c r="F50" s="84"/>
      <c r="G50" s="120"/>
      <c r="H50" s="85"/>
      <c r="I50" s="123">
        <f>'Rider Rates'!B126</f>
        <v>4.84</v>
      </c>
      <c r="J50" s="121">
        <f t="shared" si="1"/>
        <v>4.84</v>
      </c>
      <c r="K50" s="94"/>
      <c r="L50" s="89"/>
      <c r="M50" s="89"/>
      <c r="N50" s="125">
        <f>I50</f>
        <v>4.84</v>
      </c>
      <c r="O50" s="89">
        <f t="shared" si="2"/>
        <v>4.84</v>
      </c>
      <c r="P50" s="92">
        <f>'Rider Rates'!D126</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110</v>
      </c>
      <c r="B51" s="72"/>
      <c r="C51" s="72"/>
      <c r="D51" s="4">
        <f>IF($C$16&lt;1,0,$C$16)</f>
        <v>0</v>
      </c>
      <c r="E51" s="97" t="s">
        <v>19</v>
      </c>
      <c r="F51" s="126" t="s">
        <v>82</v>
      </c>
      <c r="G51" s="99"/>
      <c r="H51" s="99"/>
      <c r="I51" s="183">
        <f>'Rider Rates'!B122</f>
        <v>0</v>
      </c>
      <c r="J51" s="183">
        <f t="shared" si="1"/>
        <v>0</v>
      </c>
      <c r="K51" s="94" t="s">
        <v>87</v>
      </c>
      <c r="L51" s="89"/>
      <c r="M51" s="89"/>
      <c r="N51" s="89">
        <f>D51*I51</f>
        <v>0</v>
      </c>
      <c r="O51" s="89">
        <f t="shared" si="2"/>
        <v>0</v>
      </c>
      <c r="P51" s="92">
        <f>'Rider Rates'!D122</f>
        <v>45657</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169</v>
      </c>
      <c r="B52" s="72"/>
      <c r="C52" s="72"/>
      <c r="D52" s="111">
        <f>IF(C16&lt;0,0,IF(C16&gt;833000,833000,C16))</f>
        <v>0</v>
      </c>
      <c r="E52" s="97" t="s">
        <v>19</v>
      </c>
      <c r="F52" s="84" t="s">
        <v>82</v>
      </c>
      <c r="G52" s="195"/>
      <c r="H52" s="195"/>
      <c r="I52" s="195">
        <f>'Rider Rates'!$B$130</f>
        <v>2.9050000000000001E-4</v>
      </c>
      <c r="J52" s="195">
        <f t="shared" si="1"/>
        <v>2.9050000000000001E-4</v>
      </c>
      <c r="K52" s="94" t="s">
        <v>87</v>
      </c>
      <c r="L52" s="196"/>
      <c r="M52" s="196"/>
      <c r="N52" s="196">
        <f>IF(D52*J52&gt;'Rider Rates'!$C$130,'Rider Rates'!$C$130,D52*J52)</f>
        <v>0</v>
      </c>
      <c r="O52" s="196">
        <f t="shared" si="2"/>
        <v>0</v>
      </c>
      <c r="P52" s="129">
        <f>'Rider Rates'!$E$130</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170</v>
      </c>
      <c r="B53" s="72"/>
      <c r="C53" s="72"/>
      <c r="D53" s="4">
        <f>IF(C16&gt;833000,C16-833000,0)</f>
        <v>0</v>
      </c>
      <c r="E53" s="97" t="s">
        <v>19</v>
      </c>
      <c r="F53" s="84" t="s">
        <v>82</v>
      </c>
      <c r="G53" s="195"/>
      <c r="H53" s="195"/>
      <c r="I53" s="195">
        <f>'Rider Rates'!$B$131</f>
        <v>0</v>
      </c>
      <c r="J53" s="195">
        <f t="shared" si="1"/>
        <v>0</v>
      </c>
      <c r="K53" s="94" t="s">
        <v>87</v>
      </c>
      <c r="L53" s="196"/>
      <c r="M53" s="196"/>
      <c r="N53" s="196">
        <f>D53*J53</f>
        <v>0</v>
      </c>
      <c r="O53" s="196">
        <f t="shared" si="2"/>
        <v>0</v>
      </c>
      <c r="P53" s="129">
        <f>'Rider Rates'!$E$131</f>
        <v>45658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112</v>
      </c>
      <c r="B54" s="72"/>
      <c r="C54" s="72"/>
      <c r="D54" s="111">
        <f>D16</f>
        <v>0</v>
      </c>
      <c r="E54" s="97" t="s">
        <v>19</v>
      </c>
      <c r="F54" s="126" t="s">
        <v>82</v>
      </c>
      <c r="G54" s="100"/>
      <c r="H54" s="100"/>
      <c r="I54" s="100">
        <f>'Rider Rates'!$B$137</f>
        <v>0</v>
      </c>
      <c r="J54" s="115">
        <f t="shared" si="1"/>
        <v>0</v>
      </c>
      <c r="K54" s="94" t="s">
        <v>87</v>
      </c>
      <c r="L54" s="89"/>
      <c r="M54" s="89"/>
      <c r="N54" s="89">
        <f>D54*J54</f>
        <v>0</v>
      </c>
      <c r="O54" s="89">
        <f t="shared" si="2"/>
        <v>0</v>
      </c>
      <c r="P54" s="92">
        <f>'Rider Rates'!$D$135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113</v>
      </c>
      <c r="B55" s="72"/>
      <c r="C55" s="72"/>
      <c r="D55" s="111"/>
      <c r="E55" s="97" t="s">
        <v>57</v>
      </c>
      <c r="F55" s="84" t="s">
        <v>82</v>
      </c>
      <c r="G55" s="127"/>
      <c r="H55" s="127"/>
      <c r="I55" s="127">
        <f>'Rider Rates'!$B$142</f>
        <v>0</v>
      </c>
      <c r="J55" s="127">
        <f t="shared" si="1"/>
        <v>0</v>
      </c>
      <c r="K55" s="94"/>
      <c r="L55" s="128"/>
      <c r="M55" s="128"/>
      <c r="N55" s="128">
        <f>J55</f>
        <v>0</v>
      </c>
      <c r="O55" s="128">
        <f t="shared" si="2"/>
        <v>0</v>
      </c>
      <c r="P55" s="129">
        <f>'Rider Rates'!$D$142</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114</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30" t="s">
        <v>115</v>
      </c>
      <c r="B57" s="69"/>
      <c r="C57" s="69"/>
      <c r="D57" s="131"/>
      <c r="E57" s="132"/>
      <c r="F57" s="133"/>
      <c r="G57" s="133"/>
      <c r="H57" s="133"/>
      <c r="I57" s="133"/>
      <c r="J57" s="133"/>
      <c r="K57" s="134"/>
      <c r="L57" s="105">
        <f>SUM(L34:L56)</f>
        <v>0</v>
      </c>
      <c r="M57" s="105">
        <f>SUM(M34:M56)</f>
        <v>0</v>
      </c>
      <c r="N57" s="105">
        <f>SUM(N34:N56)</f>
        <v>71.22999999999999</v>
      </c>
      <c r="O57" s="105">
        <f>SUM(O34:O56)</f>
        <v>71.22999999999999</v>
      </c>
      <c r="P57" s="135"/>
    </row>
    <row r="58" spans="1:221" x14ac:dyDescent="0.25">
      <c r="A58" s="144"/>
      <c r="D58" s="4"/>
      <c r="E58" s="152"/>
      <c r="F58" s="1"/>
      <c r="G58" s="218"/>
      <c r="H58" s="218"/>
      <c r="I58" s="218"/>
      <c r="J58" s="218"/>
      <c r="K58" s="154"/>
      <c r="L58" s="154"/>
      <c r="M58" s="154"/>
      <c r="N58" s="154"/>
      <c r="O58" s="213"/>
      <c r="P58" s="154"/>
    </row>
    <row r="59" spans="1:221" x14ac:dyDescent="0.25">
      <c r="A59" s="204" t="s">
        <v>181</v>
      </c>
      <c r="B59" s="186"/>
      <c r="C59" s="186"/>
      <c r="D59" s="186"/>
      <c r="E59" s="186"/>
      <c r="F59" s="186"/>
      <c r="G59" s="186"/>
      <c r="H59" s="186"/>
      <c r="I59" s="186"/>
      <c r="J59" s="186"/>
      <c r="K59" s="186"/>
      <c r="L59" s="219">
        <f>L30+L57</f>
        <v>0</v>
      </c>
      <c r="M59" s="219">
        <f>M30+M57</f>
        <v>0</v>
      </c>
      <c r="N59" s="219">
        <f>N30+N57</f>
        <v>209.73</v>
      </c>
      <c r="O59" s="219">
        <f>O30+O57</f>
        <v>209.73</v>
      </c>
      <c r="P59" s="219"/>
    </row>
    <row r="60" spans="1:221" x14ac:dyDescent="0.25">
      <c r="A60" s="144"/>
      <c r="B60" s="144"/>
      <c r="C60" s="144"/>
      <c r="D60" s="144"/>
      <c r="E60" s="144"/>
      <c r="F60" s="144"/>
      <c r="G60" s="144"/>
      <c r="H60" s="144"/>
      <c r="I60" s="144"/>
      <c r="J60" s="144"/>
      <c r="K60" s="144"/>
      <c r="L60" s="144"/>
      <c r="M60" s="144"/>
      <c r="N60" s="144"/>
      <c r="O60" s="171"/>
      <c r="P60" s="171"/>
    </row>
    <row r="61" spans="1:221" x14ac:dyDescent="0.25">
      <c r="A61" s="144" t="s">
        <v>194</v>
      </c>
      <c r="B61" s="144"/>
      <c r="C61" s="144"/>
      <c r="D61" s="144"/>
      <c r="E61" s="144"/>
      <c r="F61" s="144"/>
      <c r="G61" s="144"/>
      <c r="H61" s="144"/>
      <c r="I61" s="144"/>
      <c r="J61" s="144"/>
      <c r="K61" s="144"/>
      <c r="L61" s="144"/>
      <c r="M61" s="144"/>
      <c r="N61" s="144"/>
      <c r="O61" s="171">
        <f>O26+O28+O57</f>
        <v>209.73</v>
      </c>
      <c r="P61" s="92">
        <v>40967</v>
      </c>
    </row>
    <row r="62" spans="1:221" x14ac:dyDescent="0.25">
      <c r="A62" s="144"/>
      <c r="B62" s="144"/>
      <c r="C62" s="144"/>
      <c r="D62" s="144"/>
      <c r="E62" s="144"/>
      <c r="F62" s="144"/>
      <c r="G62" s="220"/>
      <c r="H62" s="220"/>
      <c r="I62" s="220"/>
      <c r="J62" s="220"/>
      <c r="K62" s="154"/>
      <c r="L62" s="154"/>
      <c r="M62" s="154"/>
      <c r="N62" s="154"/>
      <c r="O62" s="171"/>
    </row>
    <row r="63" spans="1:221" x14ac:dyDescent="0.25">
      <c r="A63" s="155" t="s">
        <v>118</v>
      </c>
      <c r="B63" s="144"/>
      <c r="C63" s="144"/>
      <c r="D63" s="144"/>
      <c r="E63" s="144"/>
      <c r="F63" s="144"/>
      <c r="G63" s="220"/>
      <c r="H63" s="220"/>
      <c r="I63" s="220"/>
      <c r="J63" s="220"/>
      <c r="K63" s="154"/>
      <c r="L63" s="154"/>
      <c r="M63" s="154"/>
      <c r="N63" s="154"/>
      <c r="O63" s="142">
        <f>MAX($O$59,$O$61)</f>
        <v>209.73</v>
      </c>
    </row>
    <row r="64" spans="1:221" x14ac:dyDescent="0.25">
      <c r="A64" s="144"/>
      <c r="B64" s="144"/>
      <c r="C64" s="144"/>
      <c r="D64" s="144"/>
      <c r="E64" s="144"/>
      <c r="F64" s="144"/>
      <c r="G64" s="220"/>
      <c r="H64" s="220"/>
      <c r="I64" s="220"/>
      <c r="J64" s="220"/>
      <c r="K64" s="154"/>
      <c r="L64" s="154"/>
      <c r="M64" s="154"/>
      <c r="N64" s="154"/>
      <c r="O64" s="171"/>
    </row>
    <row r="65" spans="1:16" x14ac:dyDescent="0.25">
      <c r="A65" s="144"/>
      <c r="B65" s="144"/>
      <c r="C65" s="144"/>
      <c r="D65" s="144"/>
      <c r="E65" s="144"/>
      <c r="F65" s="144"/>
      <c r="G65" s="153" t="s">
        <v>195</v>
      </c>
      <c r="H65" s="220"/>
      <c r="I65" s="144"/>
      <c r="J65" s="220"/>
      <c r="K65" s="154"/>
      <c r="L65" s="143"/>
      <c r="M65" s="143"/>
      <c r="N65" s="143"/>
      <c r="O65" s="143">
        <f>ROUND(IF($C$16&lt;1,0,$O$63/($C$16*100)*10000),2)</f>
        <v>0</v>
      </c>
      <c r="P65" s="144" t="s">
        <v>120</v>
      </c>
    </row>
    <row r="66" spans="1:16" x14ac:dyDescent="0.25">
      <c r="A66" s="144"/>
      <c r="B66" s="144"/>
      <c r="C66" s="144"/>
      <c r="D66" s="144"/>
      <c r="E66" s="144"/>
      <c r="F66" s="144"/>
      <c r="G66" s="146" t="s">
        <v>121</v>
      </c>
      <c r="H66" s="221"/>
      <c r="I66" s="64"/>
      <c r="J66" s="221"/>
      <c r="K66" s="222"/>
      <c r="L66" s="72"/>
      <c r="M66" s="72"/>
      <c r="N66" s="72"/>
      <c r="O66" s="147">
        <f>ROUND(IF($C$16&lt;1,0,(L59)/($C$16*100)*10000),2)</f>
        <v>0</v>
      </c>
      <c r="P66" s="59" t="s">
        <v>120</v>
      </c>
    </row>
    <row r="67" spans="1:16" x14ac:dyDescent="0.25">
      <c r="A67" s="144"/>
      <c r="B67" s="144"/>
      <c r="C67" s="144"/>
      <c r="D67" s="144"/>
      <c r="E67" s="144"/>
      <c r="F67" s="144"/>
      <c r="G67" s="153"/>
      <c r="H67" s="220"/>
      <c r="I67" s="153"/>
      <c r="J67" s="220"/>
      <c r="K67" s="154"/>
      <c r="L67" s="154"/>
      <c r="M67" s="154"/>
      <c r="N67" s="154"/>
      <c r="O67" s="223"/>
      <c r="P67" s="144"/>
    </row>
    <row r="68" spans="1:16" ht="20.25" customHeight="1" x14ac:dyDescent="0.4">
      <c r="A68" s="44"/>
      <c r="B68" s="144"/>
      <c r="C68" s="144"/>
      <c r="D68" s="224" t="str">
        <f>IF('Customer Info'!$C$33=TRUE,"Notice: Billing Charge does not include Self Assessed KWH Tax"," ")</f>
        <v xml:space="preserve"> </v>
      </c>
      <c r="E68" s="44"/>
      <c r="F68" s="1"/>
      <c r="G68" s="225"/>
      <c r="H68" s="226"/>
      <c r="I68" s="213"/>
      <c r="J68" s="226"/>
      <c r="K68" s="144"/>
      <c r="L68" s="144"/>
      <c r="M68" s="144"/>
      <c r="N68" s="213"/>
    </row>
    <row r="69" spans="1:16" x14ac:dyDescent="0.25">
      <c r="A69" s="144"/>
      <c r="B69" s="144"/>
      <c r="C69" s="144"/>
      <c r="D69" s="174"/>
      <c r="E69" s="44"/>
      <c r="F69" s="1"/>
      <c r="G69" s="226"/>
      <c r="H69" s="226"/>
      <c r="I69" s="227"/>
      <c r="J69" s="226"/>
      <c r="K69" s="144"/>
      <c r="L69" s="144"/>
      <c r="M69" s="144"/>
      <c r="N69" s="144"/>
      <c r="O69" s="171"/>
    </row>
    <row r="70" spans="1:16" x14ac:dyDescent="0.25">
      <c r="A70" s="144"/>
      <c r="B70" s="144"/>
      <c r="C70" s="144"/>
      <c r="D70" s="174"/>
      <c r="E70" s="44"/>
      <c r="F70" s="1"/>
      <c r="G70" s="226"/>
      <c r="H70" s="226"/>
      <c r="I70" s="226"/>
      <c r="J70" s="226"/>
      <c r="K70" s="144"/>
      <c r="L70" s="144"/>
      <c r="M70" s="144"/>
      <c r="N70" s="144"/>
      <c r="O70" s="171"/>
    </row>
    <row r="71" spans="1:16" x14ac:dyDescent="0.25">
      <c r="A71" s="155"/>
      <c r="B71" s="144"/>
      <c r="C71" s="144"/>
      <c r="D71" s="144"/>
      <c r="E71" s="144"/>
      <c r="F71" s="144"/>
      <c r="G71" s="144"/>
      <c r="H71" s="144"/>
      <c r="J71" s="144"/>
      <c r="K71" s="144"/>
      <c r="L71" s="171"/>
      <c r="M71" s="171"/>
      <c r="N71" s="171"/>
      <c r="O71" s="142"/>
    </row>
    <row r="72" spans="1:16" x14ac:dyDescent="0.25">
      <c r="B72" s="144"/>
      <c r="C72" s="144"/>
      <c r="D72" s="144"/>
      <c r="E72" s="144"/>
      <c r="F72" s="144"/>
      <c r="G72" s="153"/>
      <c r="H72" s="144"/>
      <c r="I72" s="144"/>
      <c r="J72" s="144"/>
      <c r="K72" s="144"/>
      <c r="L72" s="228"/>
      <c r="M72" s="228"/>
      <c r="N72" s="228"/>
      <c r="O72" s="223"/>
      <c r="P72" s="144"/>
    </row>
    <row r="73" spans="1:16" x14ac:dyDescent="0.25">
      <c r="G73" s="64"/>
      <c r="H73" s="148"/>
      <c r="I73" s="64"/>
      <c r="J73" s="148"/>
      <c r="K73" s="148"/>
      <c r="L73" s="149"/>
      <c r="M73" s="149"/>
      <c r="N73" s="149"/>
      <c r="O73" s="150"/>
      <c r="P73" s="59"/>
    </row>
    <row r="75" spans="1:16" x14ac:dyDescent="0.25">
      <c r="A75" s="432"/>
    </row>
    <row r="76" spans="1:16" x14ac:dyDescent="0.25">
      <c r="A76" s="432"/>
    </row>
    <row r="77" spans="1:16" x14ac:dyDescent="0.25">
      <c r="A77" s="432"/>
    </row>
    <row r="78" spans="1:16" x14ac:dyDescent="0.25">
      <c r="A78" s="432"/>
    </row>
    <row r="79" spans="1:16" x14ac:dyDescent="0.25">
      <c r="A79" s="432"/>
    </row>
    <row r="80" spans="1:1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sheetData>
  <sheetProtection algorithmName="SHA-512" hashValue="z9Nc6b+rYG9TDrv3fnEsgkdG/XEd21tRQ0QSE9XQvIDhQtsDVK+xD3ZyadKUqE8KgcRwmgHTpUg0lFowSeDC+g==" saltValue="zpg6tf3S6Czsn/aWBt8hy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5:A89"/>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274320</xdr:colOff>
                    <xdr:row>83</xdr:row>
                    <xdr:rowOff>45720</xdr:rowOff>
                  </from>
                  <to>
                    <xdr:col>16</xdr:col>
                    <xdr:colOff>30480</xdr:colOff>
                    <xdr:row>84</xdr:row>
                    <xdr:rowOff>83820</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8"/>
  <sheetViews>
    <sheetView showGridLines="0" topLeftCell="A24" zoomScale="80" zoomScaleNormal="80" workbookViewId="0">
      <selection activeCell="B22" sqref="B2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49" t="s">
        <v>52</v>
      </c>
      <c r="B1" s="449"/>
      <c r="C1" s="449"/>
      <c r="D1" s="449"/>
      <c r="E1" s="449"/>
      <c r="F1" s="449"/>
      <c r="G1" s="449"/>
      <c r="H1" s="449"/>
      <c r="I1" s="449"/>
      <c r="J1" s="449"/>
      <c r="K1" s="449"/>
      <c r="L1" s="449"/>
      <c r="M1" s="449"/>
      <c r="N1" s="449"/>
      <c r="O1" s="449"/>
      <c r="P1" s="449"/>
    </row>
    <row r="2" spans="1:256" ht="21" x14ac:dyDescent="0.4">
      <c r="A2" s="433" t="s">
        <v>141</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c r="GD2" s="433"/>
      <c r="GE2" s="433"/>
      <c r="GF2" s="433"/>
      <c r="GG2" s="433"/>
      <c r="GH2" s="433"/>
      <c r="GI2" s="433"/>
      <c r="GJ2" s="433"/>
      <c r="GK2" s="433"/>
      <c r="GL2" s="433"/>
      <c r="GM2" s="433"/>
      <c r="GN2" s="433"/>
      <c r="GO2" s="433"/>
      <c r="GP2" s="433"/>
      <c r="GQ2" s="433"/>
      <c r="GR2" s="433"/>
      <c r="GS2" s="433"/>
      <c r="GT2" s="433"/>
      <c r="GU2" s="433"/>
      <c r="GV2" s="433"/>
      <c r="GW2" s="433"/>
      <c r="GX2" s="433"/>
      <c r="GY2" s="433"/>
      <c r="GZ2" s="433"/>
      <c r="HA2" s="433"/>
      <c r="HB2" s="433"/>
      <c r="HC2" s="433"/>
      <c r="HD2" s="433"/>
      <c r="HE2" s="433"/>
      <c r="HF2" s="433"/>
      <c r="HG2" s="433"/>
      <c r="HH2" s="433"/>
      <c r="HI2" s="433"/>
      <c r="HJ2" s="433"/>
      <c r="HK2" s="433"/>
      <c r="HL2" s="433"/>
      <c r="HM2" s="433"/>
      <c r="HN2" s="433"/>
      <c r="HO2" s="433"/>
      <c r="HP2" s="433"/>
      <c r="HQ2" s="433"/>
      <c r="HR2" s="433"/>
      <c r="HS2" s="433"/>
      <c r="HT2" s="433"/>
      <c r="HU2" s="433"/>
      <c r="HV2" s="433"/>
      <c r="HW2" s="433"/>
      <c r="HX2" s="433"/>
      <c r="HY2" s="433"/>
      <c r="HZ2" s="433"/>
      <c r="IA2" s="433"/>
      <c r="IB2" s="433"/>
      <c r="IC2" s="433"/>
      <c r="ID2" s="433"/>
      <c r="IE2" s="433"/>
      <c r="IF2" s="433"/>
      <c r="IG2" s="433"/>
      <c r="IH2" s="433"/>
      <c r="II2" s="433"/>
      <c r="IJ2" s="433"/>
      <c r="IK2" s="433"/>
      <c r="IL2" s="433"/>
      <c r="IM2" s="433"/>
      <c r="IN2" s="433"/>
      <c r="IO2" s="433"/>
      <c r="IP2" s="433"/>
      <c r="IQ2" s="433"/>
      <c r="IR2" s="433"/>
      <c r="IS2" s="433"/>
      <c r="IT2" s="433"/>
      <c r="IU2" s="433"/>
      <c r="IV2" s="433"/>
    </row>
    <row r="3" spans="1:256" ht="17.399999999999999" x14ac:dyDescent="0.3">
      <c r="A3" s="450" t="s">
        <v>234</v>
      </c>
      <c r="B3" s="450"/>
      <c r="C3" s="450"/>
      <c r="D3" s="450"/>
      <c r="E3" s="450"/>
      <c r="F3" s="450"/>
      <c r="G3" s="450"/>
      <c r="H3" s="450"/>
      <c r="I3" s="450"/>
      <c r="J3" s="450"/>
      <c r="K3" s="450"/>
      <c r="L3" s="450"/>
      <c r="M3" s="450"/>
      <c r="N3" s="450"/>
      <c r="O3" s="450"/>
      <c r="P3" s="450"/>
    </row>
    <row r="4" spans="1:256"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256" ht="15" x14ac:dyDescent="0.25">
      <c r="A5" s="55"/>
      <c r="B5" s="55"/>
      <c r="C5" s="55"/>
      <c r="D5" s="55"/>
      <c r="E5" s="55"/>
      <c r="F5" s="55"/>
      <c r="G5" s="55"/>
      <c r="H5" s="55"/>
      <c r="I5" s="55"/>
      <c r="J5" s="55"/>
      <c r="K5" s="55"/>
    </row>
    <row r="6" spans="1:256" x14ac:dyDescent="0.25">
      <c r="A6" s="56">
        <f ca="1">TODAY()</f>
        <v>45656</v>
      </c>
      <c r="B6" s="76" t="s">
        <v>235</v>
      </c>
      <c r="C6" s="229"/>
      <c r="D6" s="229"/>
      <c r="E6" s="229"/>
      <c r="F6" s="229"/>
      <c r="G6" s="229"/>
      <c r="H6" s="229"/>
      <c r="I6" s="229"/>
      <c r="J6" s="229"/>
      <c r="K6" s="229"/>
    </row>
    <row r="7" spans="1:256" ht="24.6" x14ac:dyDescent="0.4">
      <c r="A7" s="451"/>
      <c r="B7" s="451"/>
      <c r="C7" s="451"/>
      <c r="D7" s="451"/>
      <c r="E7" s="451"/>
      <c r="F7" s="451"/>
      <c r="G7" s="451"/>
      <c r="H7" s="451"/>
      <c r="I7" s="451"/>
      <c r="J7" s="451"/>
      <c r="K7" s="451"/>
      <c r="L7" s="451"/>
      <c r="M7" s="451"/>
      <c r="N7" s="451"/>
      <c r="O7" s="451"/>
      <c r="P7" s="451"/>
    </row>
    <row r="8" spans="1:256" ht="15" x14ac:dyDescent="0.25">
      <c r="A8" s="57" t="s">
        <v>5</v>
      </c>
      <c r="B8" s="58"/>
      <c r="C8" s="59">
        <f>'Customer Info'!B7</f>
        <v>0</v>
      </c>
      <c r="I8" s="60"/>
    </row>
    <row r="9" spans="1:256" ht="15" x14ac:dyDescent="0.25">
      <c r="A9" s="61" t="s">
        <v>55</v>
      </c>
      <c r="B9" s="58"/>
      <c r="C9" s="59">
        <f>'Customer Info'!B8</f>
        <v>0</v>
      </c>
    </row>
    <row r="10" spans="1:256" x14ac:dyDescent="0.25">
      <c r="A10" s="57" t="s">
        <v>124</v>
      </c>
      <c r="B10" s="62">
        <f>'Customer Info'!B9</f>
        <v>1</v>
      </c>
      <c r="C10" s="63" t="str">
        <f>LOOKUP(B10,R10:AD10,R11:AD11)</f>
        <v>January</v>
      </c>
      <c r="D10" s="64">
        <f>'Customer Info'!C9</f>
        <v>2025</v>
      </c>
      <c r="S10">
        <v>1</v>
      </c>
      <c r="T10">
        <v>2</v>
      </c>
      <c r="U10">
        <v>3</v>
      </c>
      <c r="V10">
        <v>4</v>
      </c>
      <c r="W10">
        <v>5</v>
      </c>
      <c r="X10">
        <v>6</v>
      </c>
      <c r="Y10">
        <v>7</v>
      </c>
      <c r="Z10">
        <v>8</v>
      </c>
      <c r="AA10">
        <v>9</v>
      </c>
      <c r="AB10">
        <v>10</v>
      </c>
      <c r="AC10">
        <v>11</v>
      </c>
      <c r="AD10">
        <v>12</v>
      </c>
    </row>
    <row r="11" spans="1:256" ht="15" customHeight="1" x14ac:dyDescent="0.25">
      <c r="A11" s="444"/>
      <c r="B11" s="444"/>
      <c r="C11" s="444"/>
      <c r="D11" s="444"/>
      <c r="E11" s="444"/>
      <c r="F11" s="444"/>
      <c r="G11" s="444"/>
      <c r="H11" s="444"/>
      <c r="I11" s="444"/>
      <c r="R11" t="s">
        <v>57</v>
      </c>
      <c r="S11" s="68" t="s">
        <v>58</v>
      </c>
      <c r="T11" s="68" t="s">
        <v>59</v>
      </c>
      <c r="U11" s="68" t="s">
        <v>60</v>
      </c>
      <c r="V11" s="68" t="s">
        <v>61</v>
      </c>
      <c r="W11" s="68" t="s">
        <v>62</v>
      </c>
      <c r="X11" s="68" t="s">
        <v>63</v>
      </c>
      <c r="Y11" s="68" t="s">
        <v>64</v>
      </c>
      <c r="Z11" s="68" t="s">
        <v>65</v>
      </c>
      <c r="AA11" s="68" t="s">
        <v>66</v>
      </c>
      <c r="AB11" s="68" t="s">
        <v>67</v>
      </c>
      <c r="AC11" s="68" t="s">
        <v>68</v>
      </c>
      <c r="AD11" s="68" t="s">
        <v>69</v>
      </c>
    </row>
    <row r="12" spans="1:256" x14ac:dyDescent="0.25">
      <c r="A12" s="162" t="s">
        <v>70</v>
      </c>
      <c r="B12" s="163"/>
      <c r="C12" s="163"/>
      <c r="D12" s="163"/>
      <c r="E12" s="163"/>
      <c r="F12" s="163"/>
      <c r="G12" s="163"/>
      <c r="H12" s="163"/>
      <c r="I12" s="163"/>
      <c r="J12" s="163"/>
      <c r="K12" s="163"/>
      <c r="L12" s="163"/>
      <c r="M12" s="163"/>
      <c r="N12" s="163"/>
      <c r="O12" s="163"/>
      <c r="P12" s="163"/>
      <c r="R12" s="44" t="s">
        <v>145</v>
      </c>
      <c r="S12" s="205">
        <f>'Rider Rates'!$C$25</f>
        <v>6.6629999999999995E-2</v>
      </c>
      <c r="T12" s="205">
        <f>'Rider Rates'!$C$25</f>
        <v>6.6629999999999995E-2</v>
      </c>
      <c r="U12" s="205">
        <f>'Rider Rates'!$C$25</f>
        <v>6.6629999999999995E-2</v>
      </c>
      <c r="V12" s="205">
        <f>'Rider Rates'!$C$25</f>
        <v>6.6629999999999995E-2</v>
      </c>
      <c r="W12" s="205">
        <f>'Rider Rates'!$C$25</f>
        <v>6.6629999999999995E-2</v>
      </c>
      <c r="X12" s="205">
        <f>'Rider Rates'!$C$25</f>
        <v>6.6629999999999995E-2</v>
      </c>
      <c r="Y12" s="205">
        <f>'Rider Rates'!$C$25</f>
        <v>6.6629999999999995E-2</v>
      </c>
      <c r="Z12" s="205">
        <f>'Rider Rates'!$C$25</f>
        <v>6.6629999999999995E-2</v>
      </c>
      <c r="AA12" s="205">
        <f>'Rider Rates'!$C$25</f>
        <v>6.6629999999999995E-2</v>
      </c>
      <c r="AB12" s="205">
        <f>'Rider Rates'!$C$25</f>
        <v>6.6629999999999995E-2</v>
      </c>
      <c r="AC12" s="205">
        <f>'Rider Rates'!$C$25</f>
        <v>6.6629999999999995E-2</v>
      </c>
      <c r="AD12" s="205">
        <f>'Rider Rates'!$C$25</f>
        <v>6.6629999999999995E-2</v>
      </c>
      <c r="AE12" s="205"/>
      <c r="AF12" s="205"/>
    </row>
    <row r="13" spans="1:256" x14ac:dyDescent="0.25">
      <c r="C13" s="68" t="s">
        <v>184</v>
      </c>
      <c r="D13" s="68" t="s">
        <v>185</v>
      </c>
    </row>
    <row r="14" spans="1:256" x14ac:dyDescent="0.25">
      <c r="A14" s="158" t="s">
        <v>186</v>
      </c>
      <c r="B14" s="158"/>
      <c r="C14" s="206">
        <f>'Customer Info'!B19</f>
        <v>0</v>
      </c>
      <c r="D14" s="206">
        <f>ROUND(C14*C19,1)</f>
        <v>0</v>
      </c>
      <c r="E14" s="158" t="s">
        <v>13</v>
      </c>
      <c r="F14" s="160"/>
      <c r="G14" s="158" t="s">
        <v>2</v>
      </c>
      <c r="I14" s="207" t="s">
        <v>2</v>
      </c>
      <c r="J14" s="158"/>
      <c r="K14" s="158"/>
      <c r="L14" s="158"/>
      <c r="M14" s="158"/>
      <c r="N14" s="158"/>
    </row>
    <row r="15" spans="1:256" x14ac:dyDescent="0.25">
      <c r="A15" s="158" t="s">
        <v>187</v>
      </c>
      <c r="B15" s="158"/>
      <c r="C15" s="206">
        <f>'Customer Info'!B20</f>
        <v>0</v>
      </c>
      <c r="D15" s="206">
        <f>C15*C19</f>
        <v>0</v>
      </c>
      <c r="E15" s="158" t="s">
        <v>13</v>
      </c>
      <c r="F15" s="160"/>
      <c r="G15" s="158" t="s">
        <v>188</v>
      </c>
      <c r="I15" s="208" t="str">
        <f>IF(MAX(C14,C15)&gt;0,C16/(MAX(C14,C15)*730), " ")</f>
        <v xml:space="preserve"> </v>
      </c>
      <c r="J15" s="158"/>
      <c r="K15" s="158"/>
      <c r="L15" s="158"/>
      <c r="M15" s="158"/>
      <c r="N15" s="158"/>
      <c r="X15" s="205"/>
      <c r="Y15" s="205"/>
      <c r="Z15" s="205"/>
      <c r="AA15" s="205"/>
    </row>
    <row r="16" spans="1:256" x14ac:dyDescent="0.25">
      <c r="A16" s="158" t="s">
        <v>137</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5">
      <c r="A17" s="158" t="s">
        <v>217</v>
      </c>
      <c r="B17" s="158"/>
      <c r="C17" s="159">
        <f>'Customer Info'!$B$27</f>
        <v>0</v>
      </c>
      <c r="D17" s="159">
        <f>C17*C19</f>
        <v>0</v>
      </c>
      <c r="E17" s="158" t="s">
        <v>218</v>
      </c>
      <c r="F17" s="160"/>
      <c r="K17" s="158"/>
      <c r="L17" s="158"/>
      <c r="M17" s="158"/>
      <c r="N17" s="158"/>
    </row>
    <row r="18" spans="1:30" x14ac:dyDescent="0.25">
      <c r="A18" s="158" t="s">
        <v>219</v>
      </c>
      <c r="B18" s="158"/>
      <c r="C18" s="159"/>
      <c r="D18" s="159">
        <f>IF((D17-(ROUND(MAX(D14,D15)*0.5,1)))&lt;0,0,(D17-(ROUND(MAX(D14,D15)*0.5,1))))</f>
        <v>0</v>
      </c>
      <c r="E18" s="158" t="s">
        <v>220</v>
      </c>
      <c r="F18" s="160"/>
      <c r="K18" s="158"/>
      <c r="L18" s="158"/>
      <c r="M18" s="158"/>
      <c r="N18" s="158"/>
    </row>
    <row r="19" spans="1:30" x14ac:dyDescent="0.25">
      <c r="A19" s="158" t="s">
        <v>189</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5">
      <c r="A20" s="158" t="s">
        <v>2</v>
      </c>
      <c r="B20" s="158"/>
      <c r="C20" s="210" t="s">
        <v>2</v>
      </c>
      <c r="D20" s="453" t="s">
        <v>2</v>
      </c>
      <c r="E20" s="453"/>
      <c r="F20" s="453"/>
      <c r="G20" s="453"/>
      <c r="H20" s="453"/>
      <c r="K20" s="158"/>
      <c r="L20" s="158"/>
      <c r="M20" s="158"/>
      <c r="N20" s="158"/>
      <c r="O20" s="188"/>
    </row>
    <row r="21" spans="1:30" x14ac:dyDescent="0.25">
      <c r="A21" s="158" t="s">
        <v>2</v>
      </c>
      <c r="B21" s="158"/>
      <c r="C21" s="210" t="s">
        <v>2</v>
      </c>
      <c r="D21" s="453" t="s">
        <v>2</v>
      </c>
      <c r="E21" s="453"/>
      <c r="F21" s="453"/>
      <c r="G21" s="453"/>
      <c r="H21" s="453"/>
      <c r="I21" s="57"/>
      <c r="J21" s="57"/>
      <c r="K21" s="158"/>
      <c r="L21" s="158"/>
      <c r="M21" s="158"/>
      <c r="N21" s="158"/>
      <c r="O21" s="188"/>
    </row>
    <row r="22" spans="1:30" x14ac:dyDescent="0.25">
      <c r="A22" s="158"/>
      <c r="B22" s="158"/>
      <c r="C22" s="160"/>
      <c r="D22" s="160"/>
      <c r="E22" s="160"/>
      <c r="F22" s="160"/>
      <c r="G22" s="57"/>
      <c r="H22" s="57"/>
      <c r="I22" s="57"/>
      <c r="J22" s="57"/>
      <c r="K22" s="158"/>
      <c r="L22" s="158"/>
      <c r="M22" s="158"/>
      <c r="N22" s="158"/>
      <c r="O22" s="158"/>
    </row>
    <row r="23" spans="1:30" x14ac:dyDescent="0.25">
      <c r="A23" s="162" t="s">
        <v>72</v>
      </c>
      <c r="B23" s="163"/>
      <c r="C23" s="163"/>
      <c r="D23" s="163"/>
      <c r="E23" s="163"/>
      <c r="F23" s="163"/>
      <c r="G23" s="445" t="s">
        <v>73</v>
      </c>
      <c r="H23" s="446"/>
      <c r="I23" s="446"/>
      <c r="J23" s="447"/>
      <c r="K23" s="163"/>
      <c r="L23" s="448" t="s">
        <v>74</v>
      </c>
      <c r="M23" s="448"/>
      <c r="N23" s="448"/>
      <c r="O23" s="448"/>
    </row>
    <row r="24" spans="1:30" x14ac:dyDescent="0.25">
      <c r="G24" s="164" t="s">
        <v>75</v>
      </c>
      <c r="H24" s="164" t="s">
        <v>76</v>
      </c>
      <c r="I24" s="164" t="s">
        <v>77</v>
      </c>
      <c r="J24" s="118" t="s">
        <v>78</v>
      </c>
      <c r="L24" s="165" t="s">
        <v>75</v>
      </c>
      <c r="M24" s="165" t="s">
        <v>76</v>
      </c>
      <c r="N24" s="165" t="s">
        <v>77</v>
      </c>
      <c r="O24" s="165" t="s">
        <v>78</v>
      </c>
      <c r="P24" s="166" t="s">
        <v>79</v>
      </c>
    </row>
    <row r="25" spans="1:30" x14ac:dyDescent="0.25">
      <c r="A25" t="s">
        <v>80</v>
      </c>
      <c r="G25" s="189"/>
      <c r="H25" s="189"/>
      <c r="I25" s="189">
        <f>IF(D14&gt;2000,3600,825)</f>
        <v>825</v>
      </c>
      <c r="J25" s="189">
        <f>SUM(G25:I25)</f>
        <v>825</v>
      </c>
      <c r="L25" s="190"/>
      <c r="M25" s="190"/>
      <c r="N25" s="190">
        <f>I25</f>
        <v>825</v>
      </c>
      <c r="O25" s="128">
        <f>SUM(L25:N25)</f>
        <v>825</v>
      </c>
      <c r="P25" s="92">
        <v>44531</v>
      </c>
    </row>
    <row r="26" spans="1:30" x14ac:dyDescent="0.25">
      <c r="A26" t="s">
        <v>168</v>
      </c>
      <c r="D26" s="4">
        <f>D16</f>
        <v>0</v>
      </c>
      <c r="E26" s="97" t="s">
        <v>19</v>
      </c>
      <c r="F26" s="84" t="s">
        <v>82</v>
      </c>
      <c r="G26" s="191"/>
      <c r="H26" s="189"/>
      <c r="I26" s="189"/>
      <c r="J26" s="191"/>
      <c r="K26" s="94" t="s">
        <v>87</v>
      </c>
      <c r="L26" s="189"/>
      <c r="M26" s="190"/>
      <c r="N26" s="189"/>
      <c r="O26" s="128"/>
      <c r="P26" s="92"/>
    </row>
    <row r="27" spans="1:30" x14ac:dyDescent="0.25">
      <c r="A27" t="s">
        <v>211</v>
      </c>
      <c r="D27" s="349">
        <f>ROUND(MAX(D14,D15,('Customer Info'!B15-100)*0.6,('Customer Info'!B17-100)*0.6),1)</f>
        <v>0</v>
      </c>
      <c r="E27" s="158" t="s">
        <v>13</v>
      </c>
      <c r="F27" s="1" t="s">
        <v>82</v>
      </c>
      <c r="G27" s="337"/>
      <c r="H27" s="337"/>
      <c r="I27" s="337">
        <v>0</v>
      </c>
      <c r="J27" s="337">
        <f>SUM(G27:I27)</f>
        <v>0</v>
      </c>
      <c r="K27" s="154" t="s">
        <v>165</v>
      </c>
      <c r="L27" s="189"/>
      <c r="M27" s="189"/>
      <c r="N27" s="189">
        <f>ROUND($D27*I27,2)</f>
        <v>0</v>
      </c>
      <c r="O27" s="128">
        <f>SUM(L27:N27)</f>
        <v>0</v>
      </c>
      <c r="P27" s="92">
        <v>44531</v>
      </c>
    </row>
    <row r="28" spans="1:30" x14ac:dyDescent="0.25">
      <c r="A28" t="s">
        <v>212</v>
      </c>
      <c r="D28" s="349">
        <f>D18</f>
        <v>0</v>
      </c>
      <c r="E28" s="158" t="s">
        <v>213</v>
      </c>
      <c r="F28" s="1" t="s">
        <v>82</v>
      </c>
      <c r="G28" s="338"/>
      <c r="H28" s="337"/>
      <c r="I28" s="337">
        <v>0.7</v>
      </c>
      <c r="J28" s="338">
        <f>SUM(G28:I28)</f>
        <v>0.7</v>
      </c>
      <c r="K28" s="154" t="s">
        <v>165</v>
      </c>
      <c r="L28" s="189"/>
      <c r="M28" s="189"/>
      <c r="N28" s="189">
        <f>ROUND($D28*I28,2)</f>
        <v>0</v>
      </c>
      <c r="O28" s="189">
        <f>SUM(L28:N28)</f>
        <v>0</v>
      </c>
      <c r="P28" s="92">
        <v>44531</v>
      </c>
    </row>
    <row r="29" spans="1:30" x14ac:dyDescent="0.25">
      <c r="A29" s="144" t="s">
        <v>84</v>
      </c>
      <c r="B29" s="144"/>
      <c r="C29" s="144"/>
      <c r="D29" s="170"/>
      <c r="E29" s="170"/>
      <c r="F29" s="144"/>
      <c r="G29" s="144"/>
      <c r="H29" s="144"/>
      <c r="I29" s="144"/>
      <c r="J29" s="144"/>
      <c r="K29" s="172"/>
      <c r="L29" s="171"/>
      <c r="M29" s="171"/>
      <c r="N29" s="171">
        <f>SUM(N25:N28)</f>
        <v>825</v>
      </c>
      <c r="O29" s="171">
        <f>SUM(O25:O28)</f>
        <v>825</v>
      </c>
    </row>
    <row r="30" spans="1:30" x14ac:dyDescent="0.25">
      <c r="A30" s="192"/>
      <c r="B30" s="192"/>
      <c r="C30" s="193"/>
      <c r="D30" s="193"/>
      <c r="E30" s="193"/>
      <c r="F30" s="193"/>
      <c r="G30" s="194"/>
      <c r="H30" s="194"/>
      <c r="I30" s="194"/>
      <c r="J30" s="194"/>
      <c r="K30" s="192"/>
      <c r="L30" s="192"/>
      <c r="M30" s="192"/>
      <c r="N30" s="192"/>
      <c r="O30" s="192"/>
      <c r="P30" s="192"/>
    </row>
    <row r="31" spans="1:30" x14ac:dyDescent="0.25">
      <c r="A31" s="155" t="s">
        <v>85</v>
      </c>
      <c r="D31" s="4"/>
      <c r="E31" s="4"/>
      <c r="K31" s="154"/>
      <c r="L31" s="154"/>
      <c r="M31" s="154"/>
      <c r="N31" s="154"/>
      <c r="O31" s="213"/>
      <c r="P31" s="213"/>
    </row>
    <row r="32" spans="1:30" x14ac:dyDescent="0.25">
      <c r="A32" s="144"/>
      <c r="D32" s="4"/>
      <c r="E32" s="4"/>
      <c r="K32" s="154"/>
      <c r="L32" s="154"/>
      <c r="M32" s="154"/>
      <c r="N32" s="154"/>
      <c r="O32" s="213"/>
    </row>
    <row r="33" spans="1:221" x14ac:dyDescent="0.25">
      <c r="A33" s="72" t="s">
        <v>86</v>
      </c>
      <c r="D33" s="4">
        <f>IF($C$16&lt;0,0,IF($C$16&gt;833000,833000,$C$16))</f>
        <v>0</v>
      </c>
      <c r="E33" s="152" t="s">
        <v>19</v>
      </c>
      <c r="F33" s="1" t="s">
        <v>82</v>
      </c>
      <c r="G33" s="167"/>
      <c r="H33" s="191"/>
      <c r="I33" s="100">
        <f>'Rider Rates'!$B$4</f>
        <v>4.6278999999999999E-3</v>
      </c>
      <c r="J33" s="214">
        <f>SUM(G33:I33)</f>
        <v>4.6278999999999999E-3</v>
      </c>
      <c r="K33" s="154" t="s">
        <v>87</v>
      </c>
      <c r="L33" s="189"/>
      <c r="M33" s="189"/>
      <c r="N33" s="189">
        <f>ROUND($D33*I33,2)</f>
        <v>0</v>
      </c>
      <c r="O33" s="189">
        <f t="shared" ref="O33:O41" si="0">SUM(L33:N33)</f>
        <v>0</v>
      </c>
      <c r="P33" s="92">
        <f>'Rider Rates'!$D$4</f>
        <v>45657</v>
      </c>
    </row>
    <row r="34" spans="1:221" x14ac:dyDescent="0.25">
      <c r="A34" s="72" t="s">
        <v>88</v>
      </c>
      <c r="D34" s="4">
        <f>IF($C$16-833000&gt;0,$C$16-D33,0)</f>
        <v>0</v>
      </c>
      <c r="E34" s="152" t="s">
        <v>19</v>
      </c>
      <c r="F34" s="1" t="s">
        <v>82</v>
      </c>
      <c r="G34" s="167"/>
      <c r="H34" s="191"/>
      <c r="I34" s="100">
        <f>'Rider Rates'!$B$5</f>
        <v>1.7560000000000001E-4</v>
      </c>
      <c r="J34" s="215">
        <f>SUM(G34:I34)</f>
        <v>1.7560000000000001E-4</v>
      </c>
      <c r="K34" s="154" t="s">
        <v>87</v>
      </c>
      <c r="L34" s="189"/>
      <c r="M34" s="189"/>
      <c r="N34" s="189">
        <f>ROUND($D34*I34,2)</f>
        <v>0</v>
      </c>
      <c r="O34" s="189">
        <f t="shared" si="0"/>
        <v>0</v>
      </c>
      <c r="P34" s="92">
        <f>'Rider Rates'!$D$4</f>
        <v>45657</v>
      </c>
    </row>
    <row r="35" spans="1:221" x14ac:dyDescent="0.25">
      <c r="A35" s="72" t="s">
        <v>190</v>
      </c>
      <c r="B35" t="s">
        <v>2</v>
      </c>
      <c r="D35" s="4">
        <f>IF('Customer Info'!$C$33=TRUE,0,IF(C16&lt;0,0,IF(C16&gt;2000,2000,C16)))</f>
        <v>0</v>
      </c>
      <c r="E35" s="152" t="s">
        <v>19</v>
      </c>
      <c r="F35" s="1" t="s">
        <v>82</v>
      </c>
      <c r="G35" s="167"/>
      <c r="H35" s="191"/>
      <c r="I35" s="112">
        <f>'Rider Rates'!$B$8</f>
        <v>4.6499999999999996E-3</v>
      </c>
      <c r="J35" s="216">
        <f>SUM(G35:I35)</f>
        <v>4.6499999999999996E-3</v>
      </c>
      <c r="K35" s="154" t="s">
        <v>87</v>
      </c>
      <c r="L35" s="189"/>
      <c r="M35" s="189"/>
      <c r="N35" s="189">
        <f>ROUND($D35*I35,2)</f>
        <v>0</v>
      </c>
      <c r="O35" s="189">
        <f t="shared" si="0"/>
        <v>0</v>
      </c>
      <c r="P35" s="92">
        <f>'Rider Rates'!$D$7</f>
        <v>44531</v>
      </c>
    </row>
    <row r="36" spans="1:221" x14ac:dyDescent="0.25">
      <c r="A36" s="72" t="s">
        <v>191</v>
      </c>
      <c r="B36" t="s">
        <v>2</v>
      </c>
      <c r="D36" s="4">
        <f>IF('Customer Info'!$C$33=TRUE,0,IF(C16&gt;15000,13000,IF(C16&gt;2000,C16-2000,0)))</f>
        <v>0</v>
      </c>
      <c r="E36" s="152" t="s">
        <v>19</v>
      </c>
      <c r="F36" s="1" t="s">
        <v>82</v>
      </c>
      <c r="G36" s="167"/>
      <c r="H36" s="191"/>
      <c r="I36" s="112">
        <f>'Rider Rates'!$B$9</f>
        <v>4.1900000000000001E-3</v>
      </c>
      <c r="J36" s="216">
        <f>SUM(G36:I36)</f>
        <v>4.1900000000000001E-3</v>
      </c>
      <c r="K36" s="154" t="s">
        <v>87</v>
      </c>
      <c r="L36" s="189"/>
      <c r="M36" s="189"/>
      <c r="N36" s="189">
        <f>ROUND($D36*I36,2)</f>
        <v>0</v>
      </c>
      <c r="O36" s="189">
        <f t="shared" si="0"/>
        <v>0</v>
      </c>
      <c r="P36" s="92">
        <f>'Rider Rates'!$D$7</f>
        <v>44531</v>
      </c>
    </row>
    <row r="37" spans="1:221" x14ac:dyDescent="0.25">
      <c r="A37" s="72" t="s">
        <v>192</v>
      </c>
      <c r="B37" t="s">
        <v>2</v>
      </c>
      <c r="D37" s="4">
        <f>IF('Customer Info'!$C$33=TRUE,0,IF(C16-D35-D36&gt;0,C16-D35-D36,0))</f>
        <v>0</v>
      </c>
      <c r="E37" s="152" t="s">
        <v>19</v>
      </c>
      <c r="F37" s="1" t="s">
        <v>82</v>
      </c>
      <c r="G37" s="167"/>
      <c r="H37" s="191"/>
      <c r="I37" s="112">
        <f>'Rider Rates'!$B$10</f>
        <v>3.63E-3</v>
      </c>
      <c r="J37" s="216">
        <f>SUM(G37:I37)</f>
        <v>3.63E-3</v>
      </c>
      <c r="K37" s="154" t="s">
        <v>87</v>
      </c>
      <c r="L37" s="189"/>
      <c r="M37" s="189"/>
      <c r="N37" s="189">
        <f>ROUND($D37*I37,2)</f>
        <v>0</v>
      </c>
      <c r="O37" s="189">
        <f t="shared" si="0"/>
        <v>0</v>
      </c>
      <c r="P37" s="92">
        <f>'Rider Rates'!$D$7</f>
        <v>44531</v>
      </c>
    </row>
    <row r="38" spans="1:221" x14ac:dyDescent="0.25">
      <c r="A38" s="72" t="s">
        <v>93</v>
      </c>
      <c r="B38" s="72"/>
      <c r="C38" s="72"/>
      <c r="D38" s="217">
        <f>$N$29</f>
        <v>825</v>
      </c>
      <c r="E38" s="97" t="s">
        <v>94</v>
      </c>
      <c r="F38" s="84" t="s">
        <v>82</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5">
      <c r="A39" s="72" t="s">
        <v>98</v>
      </c>
      <c r="B39" s="72"/>
      <c r="C39" s="72"/>
      <c r="D39" s="4">
        <f>IF($C$16&lt;0,0,IF($C$16&gt;833000,833000,$C$16))</f>
        <v>0</v>
      </c>
      <c r="E39" s="97" t="s">
        <v>19</v>
      </c>
      <c r="F39" s="84" t="s">
        <v>82</v>
      </c>
      <c r="G39" s="100"/>
      <c r="H39" s="100"/>
      <c r="I39" s="100">
        <f>'Rider Rates'!D53</f>
        <v>1.8006999999999999E-3</v>
      </c>
      <c r="J39" s="100">
        <f>SUM(G39:I39)</f>
        <v>1.8006999999999999E-3</v>
      </c>
      <c r="K39" s="94" t="s">
        <v>87</v>
      </c>
      <c r="L39" s="89"/>
      <c r="M39" s="89"/>
      <c r="N39" s="189">
        <f>D39*J39</f>
        <v>0</v>
      </c>
      <c r="O39" s="89">
        <f t="shared" si="0"/>
        <v>0</v>
      </c>
      <c r="P39" s="92">
        <f>'Rider Rates'!E53</f>
        <v>45658</v>
      </c>
    </row>
    <row r="40" spans="1:221" x14ac:dyDescent="0.25">
      <c r="A40" s="76" t="s">
        <v>99</v>
      </c>
      <c r="B40" s="72"/>
      <c r="C40" s="72"/>
      <c r="D40" s="4">
        <f>IF($C$16&lt;0,0,$C$16)</f>
        <v>0</v>
      </c>
      <c r="E40" s="97" t="s">
        <v>19</v>
      </c>
      <c r="F40" s="84" t="s">
        <v>82</v>
      </c>
      <c r="G40" s="100"/>
      <c r="H40" s="100">
        <f>'Rider Rates'!$B$63</f>
        <v>5.7019999999999998E-4</v>
      </c>
      <c r="I40" s="100"/>
      <c r="J40" s="100">
        <f>SUM(G40:I40)</f>
        <v>5.7019999999999998E-4</v>
      </c>
      <c r="K40" s="94" t="s">
        <v>87</v>
      </c>
      <c r="L40" s="89"/>
      <c r="M40" s="89">
        <f>ROUND(D40*H40,2)</f>
        <v>0</v>
      </c>
      <c r="N40" s="116"/>
      <c r="O40" s="89">
        <f t="shared" si="0"/>
        <v>0</v>
      </c>
      <c r="P40" s="92">
        <f>'Rider Rates'!$D$63</f>
        <v>45383</v>
      </c>
    </row>
    <row r="41" spans="1:221" x14ac:dyDescent="0.25">
      <c r="A41" s="76" t="s">
        <v>99</v>
      </c>
      <c r="B41" s="72"/>
      <c r="C41" s="72"/>
      <c r="D41" s="349">
        <f>D14</f>
        <v>0</v>
      </c>
      <c r="E41" s="152" t="s">
        <v>214</v>
      </c>
      <c r="F41" s="1" t="s">
        <v>82</v>
      </c>
      <c r="G41" s="100"/>
      <c r="H41" s="90">
        <f>'Rider Rates'!$B$68</f>
        <v>7.45</v>
      </c>
      <c r="I41" s="100"/>
      <c r="J41" s="90">
        <f>SUM(G41:I41)</f>
        <v>7.45</v>
      </c>
      <c r="K41" s="94" t="s">
        <v>165</v>
      </c>
      <c r="L41" s="89"/>
      <c r="M41" s="89">
        <f>ROUND(D41*H41,2)</f>
        <v>0</v>
      </c>
      <c r="N41" s="116"/>
      <c r="O41" s="89">
        <f t="shared" si="0"/>
        <v>0</v>
      </c>
      <c r="P41" s="92">
        <f>'Rider Rates'!$D$68</f>
        <v>45383</v>
      </c>
    </row>
    <row r="42" spans="1:221" x14ac:dyDescent="0.25">
      <c r="A42" s="76" t="s">
        <v>193</v>
      </c>
      <c r="B42" s="72"/>
      <c r="C42" s="72"/>
      <c r="D42" s="4">
        <f>IF('Customer Info'!C35=TRUE,0,IF($C$16&lt;0,0,$C$16))</f>
        <v>0</v>
      </c>
      <c r="E42" s="97" t="s">
        <v>19</v>
      </c>
      <c r="F42" s="84" t="s">
        <v>82</v>
      </c>
      <c r="G42" s="100"/>
      <c r="H42" s="100"/>
      <c r="I42" s="100">
        <f>'Rider Rates'!$B$75+'Rider Rates'!$C$75</f>
        <v>0</v>
      </c>
      <c r="J42" s="100">
        <f>SUM(G42:I42)</f>
        <v>0</v>
      </c>
      <c r="K42" s="94" t="s">
        <v>87</v>
      </c>
      <c r="L42" s="89"/>
      <c r="M42" s="89"/>
      <c r="N42" s="189">
        <f>ROUND($D$42*'Rider Rates'!$B$75,2)+ROUND($D$42*'Rider Rates'!$C$75,2)</f>
        <v>0</v>
      </c>
      <c r="O42" s="128">
        <f t="shared" ref="O42:O47" si="1">SUM(L42:N42)</f>
        <v>0</v>
      </c>
      <c r="P42" s="92">
        <f>'Rider Rates'!$D$75</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5">
      <c r="A43" s="76" t="s">
        <v>193</v>
      </c>
      <c r="B43" s="72"/>
      <c r="C43" s="72"/>
      <c r="D43" s="349">
        <f>D14</f>
        <v>0</v>
      </c>
      <c r="E43" s="97" t="s">
        <v>13</v>
      </c>
      <c r="F43" s="84" t="s">
        <v>82</v>
      </c>
      <c r="G43" s="100"/>
      <c r="H43" s="100"/>
      <c r="I43" s="90">
        <f>'Rider Rates'!$B$85</f>
        <v>0</v>
      </c>
      <c r="J43" s="90">
        <f>SUM(G43:I43)</f>
        <v>0</v>
      </c>
      <c r="K43" s="94" t="s">
        <v>87</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5">
      <c r="A44" s="76" t="s">
        <v>102</v>
      </c>
      <c r="B44" s="72"/>
      <c r="C44" s="72"/>
      <c r="D44" s="217">
        <f>$N$29</f>
        <v>825</v>
      </c>
      <c r="E44" s="97" t="s">
        <v>94</v>
      </c>
      <c r="F44" s="84" t="s">
        <v>82</v>
      </c>
      <c r="G44" s="117"/>
      <c r="H44" s="118"/>
      <c r="I44" s="119">
        <f>'Rider Rates'!$B$89</f>
        <v>4.94232E-2</v>
      </c>
      <c r="J44" s="119">
        <f>SUM(H44:I44)</f>
        <v>4.94232E-2</v>
      </c>
      <c r="K44" s="94"/>
      <c r="L44" s="89"/>
      <c r="M44" s="89"/>
      <c r="N44" s="89">
        <f>ROUND(N$29*I44,2)</f>
        <v>40.770000000000003</v>
      </c>
      <c r="O44" s="128">
        <f t="shared" si="1"/>
        <v>40.770000000000003</v>
      </c>
      <c r="P44" s="92">
        <f>'Rider Rates'!$D$89</f>
        <v>45562</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5">
      <c r="A45" s="76" t="s">
        <v>103</v>
      </c>
      <c r="B45" s="72"/>
      <c r="C45" s="72"/>
      <c r="D45" s="217">
        <f>$N$29</f>
        <v>825</v>
      </c>
      <c r="E45" s="97" t="s">
        <v>94</v>
      </c>
      <c r="F45" s="84" t="s">
        <v>82</v>
      </c>
      <c r="G45" s="120"/>
      <c r="H45" s="85"/>
      <c r="I45" s="119">
        <f>'Rider Rates'!$B$91</f>
        <v>6.6985699999999995E-2</v>
      </c>
      <c r="J45" s="119">
        <f>SUM(H45:I45)</f>
        <v>6.6985699999999995E-2</v>
      </c>
      <c r="K45" s="94"/>
      <c r="L45" s="89"/>
      <c r="M45" s="89"/>
      <c r="N45" s="89">
        <f>ROUND(N$29*I45,2)</f>
        <v>55.26</v>
      </c>
      <c r="O45" s="128">
        <f t="shared" si="1"/>
        <v>55.26</v>
      </c>
      <c r="P45" s="92">
        <f>'Rider Rates'!$D$91</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5">
      <c r="A46" s="76" t="s">
        <v>104</v>
      </c>
      <c r="B46" s="72"/>
      <c r="C46" s="72"/>
      <c r="D46" s="113"/>
      <c r="E46" s="97" t="s">
        <v>57</v>
      </c>
      <c r="F46" s="84"/>
      <c r="G46" s="120"/>
      <c r="H46" s="85"/>
      <c r="I46" s="121">
        <f>'Rider Rates'!$B$95</f>
        <v>17.53</v>
      </c>
      <c r="J46" s="121">
        <f>SUM(G46:I46)</f>
        <v>17.53</v>
      </c>
      <c r="K46" s="94"/>
      <c r="L46" s="89"/>
      <c r="M46" s="89"/>
      <c r="N46" s="89">
        <f>I46</f>
        <v>17.53</v>
      </c>
      <c r="O46" s="89">
        <f>SUM(L46:N46)</f>
        <v>17.53</v>
      </c>
      <c r="P46" s="92">
        <f>'Rider Rates'!$D$95</f>
        <v>45657</v>
      </c>
    </row>
    <row r="47" spans="1:221" x14ac:dyDescent="0.25">
      <c r="A47" s="76" t="s">
        <v>106</v>
      </c>
      <c r="B47" s="72"/>
      <c r="C47" s="72"/>
      <c r="D47" s="217">
        <f>$N$29</f>
        <v>825</v>
      </c>
      <c r="E47" s="97" t="s">
        <v>94</v>
      </c>
      <c r="F47" s="84" t="s">
        <v>82</v>
      </c>
      <c r="G47" s="120"/>
      <c r="H47" s="85"/>
      <c r="I47" s="119">
        <f>'Rider Rates'!$B$109</f>
        <v>0.2363101</v>
      </c>
      <c r="J47" s="119">
        <f>SUM(H47:I47)</f>
        <v>0.2363101</v>
      </c>
      <c r="K47" s="94"/>
      <c r="L47" s="89"/>
      <c r="M47" s="89"/>
      <c r="N47" s="89">
        <f>ROUND(N$29*I47,2)</f>
        <v>194.96</v>
      </c>
      <c r="O47" s="89">
        <f t="shared" si="1"/>
        <v>194.96</v>
      </c>
      <c r="P47" s="92">
        <f>'Rider Rates'!$D$109</f>
        <v>45622</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107</v>
      </c>
      <c r="B48" s="72"/>
      <c r="C48" s="72"/>
      <c r="D48" s="113"/>
      <c r="E48" s="97" t="s">
        <v>57</v>
      </c>
      <c r="F48" s="84"/>
      <c r="G48" s="120"/>
      <c r="H48" s="85"/>
      <c r="I48" s="121">
        <f>'Rider Rates'!$B$113</f>
        <v>0</v>
      </c>
      <c r="J48" s="121">
        <f t="shared" ref="J48:J54" si="2">SUM(G48:I48)</f>
        <v>0</v>
      </c>
      <c r="K48" s="94"/>
      <c r="L48" s="89"/>
      <c r="M48" s="89"/>
      <c r="N48" s="89">
        <f>I48</f>
        <v>0</v>
      </c>
      <c r="O48" s="89">
        <f t="shared" ref="O48:O54" si="3">SUM(L48:N48)</f>
        <v>0</v>
      </c>
      <c r="P48" s="92">
        <f>'Rider Rates'!$D$113</f>
        <v>44894</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108</v>
      </c>
      <c r="B49" s="72"/>
      <c r="C49" s="72"/>
      <c r="D49" s="113"/>
      <c r="E49" s="97" t="s">
        <v>57</v>
      </c>
      <c r="F49" s="84"/>
      <c r="G49" s="120"/>
      <c r="H49" s="85"/>
      <c r="I49" s="123">
        <f>'Rider Rates'!B126</f>
        <v>4.84</v>
      </c>
      <c r="J49" s="121">
        <f t="shared" si="2"/>
        <v>4.84</v>
      </c>
      <c r="K49" s="94"/>
      <c r="L49" s="89"/>
      <c r="M49" s="89"/>
      <c r="N49" s="125">
        <f>I49</f>
        <v>4.84</v>
      </c>
      <c r="O49" s="89">
        <f t="shared" si="3"/>
        <v>4.84</v>
      </c>
      <c r="P49" s="92">
        <f>'Rider Rates'!D126</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110</v>
      </c>
      <c r="B50" s="72"/>
      <c r="C50" s="72"/>
      <c r="D50" s="4">
        <f>IF($C$16&lt;1,0,$C$16)</f>
        <v>0</v>
      </c>
      <c r="E50" s="97" t="s">
        <v>19</v>
      </c>
      <c r="F50" s="126" t="s">
        <v>82</v>
      </c>
      <c r="G50" s="99"/>
      <c r="H50" s="99"/>
      <c r="I50" s="183">
        <f>'Rider Rates'!B122</f>
        <v>0</v>
      </c>
      <c r="J50" s="183">
        <f t="shared" si="2"/>
        <v>0</v>
      </c>
      <c r="K50" s="94" t="s">
        <v>87</v>
      </c>
      <c r="L50" s="89"/>
      <c r="M50" s="89"/>
      <c r="N50" s="89">
        <f>D50*I50</f>
        <v>0</v>
      </c>
      <c r="O50" s="89">
        <f t="shared" si="3"/>
        <v>0</v>
      </c>
      <c r="P50" s="92">
        <f>'Rider Rates'!D122</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169</v>
      </c>
      <c r="B51" s="72"/>
      <c r="C51" s="72"/>
      <c r="D51" s="111">
        <f>IF(C16&lt;0,0,IF(C16&gt;833000,833000,C16))</f>
        <v>0</v>
      </c>
      <c r="E51" s="97" t="s">
        <v>19</v>
      </c>
      <c r="F51" s="84" t="s">
        <v>82</v>
      </c>
      <c r="G51" s="195"/>
      <c r="H51" s="195"/>
      <c r="I51" s="195">
        <f>'Rider Rates'!$B$130</f>
        <v>2.9050000000000001E-4</v>
      </c>
      <c r="J51" s="195">
        <f t="shared" si="2"/>
        <v>2.9050000000000001E-4</v>
      </c>
      <c r="K51" s="94" t="s">
        <v>87</v>
      </c>
      <c r="L51" s="196"/>
      <c r="M51" s="196"/>
      <c r="N51" s="196">
        <f>IF(D51*J51&gt;'Rider Rates'!$C$130,'Rider Rates'!$C$130,D51*J51)</f>
        <v>0</v>
      </c>
      <c r="O51" s="196">
        <f t="shared" si="3"/>
        <v>0</v>
      </c>
      <c r="P51" s="129">
        <f>'Rider Rates'!$E$130</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170</v>
      </c>
      <c r="B52" s="72"/>
      <c r="C52" s="72"/>
      <c r="D52" s="4">
        <f>IF(C16&gt;833000,C16-833000,0)</f>
        <v>0</v>
      </c>
      <c r="E52" s="97" t="s">
        <v>19</v>
      </c>
      <c r="F52" s="84" t="s">
        <v>82</v>
      </c>
      <c r="G52" s="195"/>
      <c r="H52" s="195"/>
      <c r="I52" s="195">
        <f>'Rider Rates'!$B$131</f>
        <v>0</v>
      </c>
      <c r="J52" s="195">
        <f t="shared" si="2"/>
        <v>0</v>
      </c>
      <c r="K52" s="94" t="s">
        <v>87</v>
      </c>
      <c r="L52" s="196"/>
      <c r="M52" s="196"/>
      <c r="N52" s="196">
        <f>D52*J52</f>
        <v>0</v>
      </c>
      <c r="O52" s="196">
        <f t="shared" si="3"/>
        <v>0</v>
      </c>
      <c r="P52" s="129">
        <f>'Rider Rates'!$E$131</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112</v>
      </c>
      <c r="B53" s="72"/>
      <c r="C53" s="72"/>
      <c r="D53" s="111">
        <f>D16</f>
        <v>0</v>
      </c>
      <c r="E53" s="97" t="s">
        <v>19</v>
      </c>
      <c r="F53" s="126" t="s">
        <v>82</v>
      </c>
      <c r="G53" s="100"/>
      <c r="H53" s="100"/>
      <c r="I53" s="100">
        <f>'Rider Rates'!$B$137</f>
        <v>0</v>
      </c>
      <c r="J53" s="115">
        <f t="shared" si="2"/>
        <v>0</v>
      </c>
      <c r="K53" s="94" t="s">
        <v>87</v>
      </c>
      <c r="L53" s="89"/>
      <c r="M53" s="89"/>
      <c r="N53" s="89">
        <f>D53*J53</f>
        <v>0</v>
      </c>
      <c r="O53" s="89">
        <f t="shared" si="3"/>
        <v>0</v>
      </c>
      <c r="P53" s="92">
        <f>'Rider Rates'!$D$135</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113</v>
      </c>
      <c r="B54" s="72"/>
      <c r="C54" s="72"/>
      <c r="D54" s="111"/>
      <c r="E54" s="97" t="s">
        <v>57</v>
      </c>
      <c r="F54" s="84" t="s">
        <v>82</v>
      </c>
      <c r="G54" s="127"/>
      <c r="H54" s="127"/>
      <c r="I54" s="127">
        <f>'Rider Rates'!$B$142</f>
        <v>0</v>
      </c>
      <c r="J54" s="127">
        <f t="shared" si="2"/>
        <v>0</v>
      </c>
      <c r="K54" s="94"/>
      <c r="L54" s="128"/>
      <c r="M54" s="128"/>
      <c r="N54" s="128">
        <f>J54</f>
        <v>0</v>
      </c>
      <c r="O54" s="128">
        <f t="shared" si="3"/>
        <v>0</v>
      </c>
      <c r="P54" s="129">
        <f>'Rider Rates'!$D$142</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114</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30" t="s">
        <v>115</v>
      </c>
      <c r="B56" s="69"/>
      <c r="C56" s="69"/>
      <c r="D56" s="131"/>
      <c r="E56" s="132"/>
      <c r="F56" s="133"/>
      <c r="G56" s="133"/>
      <c r="H56" s="133"/>
      <c r="I56" s="133"/>
      <c r="J56" s="133"/>
      <c r="K56" s="134"/>
      <c r="L56" s="105">
        <f>SUM(L33:L55)</f>
        <v>0</v>
      </c>
      <c r="M56" s="105">
        <f>SUM(M33:M55)</f>
        <v>0</v>
      </c>
      <c r="N56" s="105">
        <f>SUM(N33:N55)</f>
        <v>313.35999999999996</v>
      </c>
      <c r="O56" s="105">
        <f>SUM(O33:O55)</f>
        <v>313.35999999999996</v>
      </c>
      <c r="P56" s="135"/>
    </row>
    <row r="57" spans="1:221" x14ac:dyDescent="0.25">
      <c r="A57" s="144"/>
      <c r="D57" s="4"/>
      <c r="E57" s="152"/>
      <c r="F57" s="1"/>
      <c r="G57" s="218"/>
      <c r="H57" s="218"/>
      <c r="I57" s="218"/>
      <c r="J57" s="218"/>
      <c r="K57" s="154"/>
      <c r="L57" s="154"/>
      <c r="M57" s="154"/>
      <c r="N57" s="154"/>
      <c r="O57" s="213"/>
      <c r="P57" s="154"/>
    </row>
    <row r="58" spans="1:221" x14ac:dyDescent="0.25">
      <c r="A58" s="204" t="s">
        <v>181</v>
      </c>
      <c r="B58" s="186"/>
      <c r="C58" s="186"/>
      <c r="D58" s="186"/>
      <c r="E58" s="186"/>
      <c r="F58" s="186"/>
      <c r="G58" s="186"/>
      <c r="H58" s="186"/>
      <c r="I58" s="186"/>
      <c r="J58" s="186"/>
      <c r="K58" s="186"/>
      <c r="L58" s="219">
        <f>L29+L56</f>
        <v>0</v>
      </c>
      <c r="M58" s="219">
        <f>M29+M56</f>
        <v>0</v>
      </c>
      <c r="N58" s="219">
        <f>N29+N56</f>
        <v>1138.3599999999999</v>
      </c>
      <c r="O58" s="219">
        <f>O29+O56</f>
        <v>1138.3599999999999</v>
      </c>
      <c r="P58" s="219"/>
    </row>
    <row r="59" spans="1:221" x14ac:dyDescent="0.25">
      <c r="A59" s="144"/>
      <c r="B59" s="144"/>
      <c r="C59" s="144"/>
      <c r="D59" s="144"/>
      <c r="E59" s="144"/>
      <c r="F59" s="144"/>
      <c r="G59" s="144"/>
      <c r="H59" s="144"/>
      <c r="I59" s="144"/>
      <c r="J59" s="144"/>
      <c r="K59" s="144"/>
      <c r="L59" s="144"/>
      <c r="M59" s="144"/>
      <c r="N59" s="144"/>
      <c r="O59" s="171"/>
      <c r="P59" s="171"/>
    </row>
    <row r="60" spans="1:221" x14ac:dyDescent="0.25">
      <c r="A60" s="144" t="s">
        <v>194</v>
      </c>
      <c r="B60" s="144"/>
      <c r="C60" s="144"/>
      <c r="D60" s="144"/>
      <c r="E60" s="144"/>
      <c r="F60" s="144"/>
      <c r="G60" s="144"/>
      <c r="H60" s="144"/>
      <c r="I60" s="144"/>
      <c r="J60" s="144"/>
      <c r="K60" s="144"/>
      <c r="L60" s="144"/>
      <c r="M60" s="144"/>
      <c r="N60" s="144"/>
      <c r="O60" s="171">
        <f>O25+O27+O56</f>
        <v>1138.3599999999999</v>
      </c>
      <c r="P60" s="92">
        <v>40967</v>
      </c>
    </row>
    <row r="61" spans="1:221" x14ac:dyDescent="0.25">
      <c r="A61" s="144"/>
      <c r="B61" s="144"/>
      <c r="C61" s="144"/>
      <c r="D61" s="144"/>
      <c r="E61" s="144"/>
      <c r="F61" s="144"/>
      <c r="G61" s="220"/>
      <c r="H61" s="220"/>
      <c r="I61" s="220"/>
      <c r="J61" s="220"/>
      <c r="K61" s="154"/>
      <c r="L61" s="154"/>
      <c r="M61" s="154"/>
      <c r="N61" s="154"/>
      <c r="O61" s="171"/>
    </row>
    <row r="62" spans="1:221" x14ac:dyDescent="0.25">
      <c r="A62" s="155" t="s">
        <v>118</v>
      </c>
      <c r="B62" s="144"/>
      <c r="C62" s="144"/>
      <c r="D62" s="144"/>
      <c r="E62" s="144"/>
      <c r="F62" s="144"/>
      <c r="G62" s="220"/>
      <c r="H62" s="220"/>
      <c r="I62" s="220"/>
      <c r="J62" s="220"/>
      <c r="K62" s="154"/>
      <c r="L62" s="154"/>
      <c r="M62" s="154"/>
      <c r="N62" s="154"/>
      <c r="O62" s="142">
        <f>MAX($O$58,$O$60)</f>
        <v>1138.3599999999999</v>
      </c>
    </row>
    <row r="63" spans="1:221" x14ac:dyDescent="0.25">
      <c r="A63" s="144"/>
      <c r="B63" s="144"/>
      <c r="C63" s="144"/>
      <c r="D63" s="144"/>
      <c r="E63" s="144"/>
      <c r="F63" s="144"/>
      <c r="G63" s="220"/>
      <c r="H63" s="220"/>
      <c r="I63" s="220"/>
      <c r="J63" s="220"/>
      <c r="K63" s="154"/>
      <c r="L63" s="154"/>
      <c r="M63" s="154"/>
      <c r="N63" s="154"/>
      <c r="O63" s="171"/>
    </row>
    <row r="64" spans="1:221" x14ac:dyDescent="0.25">
      <c r="A64" s="144"/>
      <c r="B64" s="144"/>
      <c r="C64" s="144"/>
      <c r="D64" s="144"/>
      <c r="E64" s="144"/>
      <c r="F64" s="144"/>
      <c r="G64" s="153" t="s">
        <v>195</v>
      </c>
      <c r="H64" s="220"/>
      <c r="I64" s="144"/>
      <c r="J64" s="220"/>
      <c r="K64" s="154"/>
      <c r="L64" s="143"/>
      <c r="M64" s="143"/>
      <c r="N64" s="143"/>
      <c r="O64" s="143">
        <f>ROUND(IF($C$16&lt;1,0,$O$62/($C$16*100)*10000),2)</f>
        <v>0</v>
      </c>
      <c r="P64" s="144" t="s">
        <v>120</v>
      </c>
    </row>
    <row r="65" spans="1:16" x14ac:dyDescent="0.25">
      <c r="A65" s="144"/>
      <c r="B65" s="144"/>
      <c r="C65" s="144"/>
      <c r="D65" s="144"/>
      <c r="E65" s="144"/>
      <c r="F65" s="144"/>
      <c r="G65" s="146" t="s">
        <v>121</v>
      </c>
      <c r="H65" s="221"/>
      <c r="I65" s="64"/>
      <c r="J65" s="221"/>
      <c r="K65" s="222"/>
      <c r="L65" s="72"/>
      <c r="M65" s="72"/>
      <c r="N65" s="72"/>
      <c r="O65" s="147">
        <f>ROUND(IF($C$16&lt;1,0,(L58)/($C$16*100)*10000),2)</f>
        <v>0</v>
      </c>
      <c r="P65" s="59" t="s">
        <v>120</v>
      </c>
    </row>
    <row r="66" spans="1:16" x14ac:dyDescent="0.25">
      <c r="A66" s="144"/>
      <c r="B66" s="144"/>
      <c r="C66" s="144"/>
      <c r="D66" s="144"/>
      <c r="E66" s="144"/>
      <c r="F66" s="144"/>
      <c r="G66" s="153"/>
      <c r="H66" s="220"/>
      <c r="I66" s="153"/>
      <c r="J66" s="220"/>
      <c r="K66" s="154"/>
      <c r="L66" s="154"/>
      <c r="M66" s="154"/>
      <c r="N66" s="154"/>
      <c r="O66" s="223"/>
      <c r="P66" s="144"/>
    </row>
    <row r="67" spans="1:16" ht="20.25" customHeight="1" x14ac:dyDescent="0.4">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5">
      <c r="A68" s="144"/>
      <c r="B68" s="144"/>
      <c r="C68" s="144"/>
      <c r="D68" s="174"/>
      <c r="E68" s="44"/>
      <c r="F68" s="1"/>
      <c r="G68" s="226"/>
      <c r="H68" s="226"/>
      <c r="I68" s="227"/>
      <c r="J68" s="226"/>
      <c r="K68" s="144"/>
      <c r="L68" s="144"/>
      <c r="M68" s="144"/>
      <c r="N68" s="144"/>
      <c r="O68" s="171"/>
    </row>
    <row r="69" spans="1:16" x14ac:dyDescent="0.25">
      <c r="A69" s="144"/>
      <c r="B69" s="144"/>
      <c r="C69" s="144"/>
      <c r="D69" s="174"/>
      <c r="E69" s="44"/>
      <c r="F69" s="1"/>
      <c r="G69" s="226"/>
      <c r="H69" s="226"/>
      <c r="I69" s="226"/>
      <c r="J69" s="226"/>
      <c r="K69" s="144"/>
      <c r="L69" s="144"/>
      <c r="M69" s="144"/>
      <c r="N69" s="144"/>
      <c r="O69" s="171"/>
    </row>
    <row r="70" spans="1:16" x14ac:dyDescent="0.25">
      <c r="A70" s="155"/>
      <c r="B70" s="144"/>
      <c r="C70" s="144"/>
      <c r="D70" s="144"/>
      <c r="E70" s="144"/>
      <c r="F70" s="144"/>
      <c r="G70" s="144"/>
      <c r="H70" s="144"/>
      <c r="J70" s="144"/>
      <c r="K70" s="144"/>
      <c r="L70" s="171"/>
      <c r="M70" s="171"/>
      <c r="N70" s="171"/>
      <c r="O70" s="142"/>
    </row>
    <row r="71" spans="1:16" x14ac:dyDescent="0.25">
      <c r="B71" s="144"/>
      <c r="C71" s="144"/>
      <c r="D71" s="144"/>
      <c r="E71" s="144"/>
      <c r="F71" s="144"/>
      <c r="G71" s="153"/>
      <c r="H71" s="144"/>
      <c r="I71" s="144"/>
      <c r="J71" s="144"/>
      <c r="K71" s="144"/>
      <c r="L71" s="228"/>
      <c r="M71" s="228"/>
      <c r="N71" s="228"/>
      <c r="O71" s="223"/>
      <c r="P71" s="144"/>
    </row>
    <row r="72" spans="1:16" x14ac:dyDescent="0.25">
      <c r="G72" s="64"/>
      <c r="H72" s="148"/>
      <c r="I72" s="64"/>
      <c r="J72" s="148"/>
      <c r="K72" s="148"/>
      <c r="L72" s="149"/>
      <c r="M72" s="149"/>
      <c r="N72" s="149"/>
      <c r="O72" s="150"/>
      <c r="P72" s="59"/>
    </row>
    <row r="74" spans="1:16" x14ac:dyDescent="0.25">
      <c r="A74" s="432"/>
    </row>
    <row r="75" spans="1:16" x14ac:dyDescent="0.25">
      <c r="A75" s="432"/>
    </row>
    <row r="76" spans="1:16" x14ac:dyDescent="0.25">
      <c r="A76" s="432"/>
    </row>
    <row r="77" spans="1:16" x14ac:dyDescent="0.25">
      <c r="A77" s="432"/>
    </row>
    <row r="78" spans="1:16" x14ac:dyDescent="0.25">
      <c r="A78" s="432"/>
    </row>
    <row r="79" spans="1:16" x14ac:dyDescent="0.25">
      <c r="A79" s="432"/>
    </row>
    <row r="80" spans="1:1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sheetData>
  <sheetProtection algorithmName="SHA-512" hashValue="oykhgbyXwGIkfo862N+p+Ildv2m7VeKU54N8evxXRUNAOwwGtfkUQkMEc/SIT7S1nw+NPGJOYVlWPjuQIB8bIQ==" saltValue="7KLZF1JbFW4+5tO+rEYG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3"/>
  <sheetViews>
    <sheetView showGridLines="0" topLeftCell="A19" zoomScale="80" zoomScaleNormal="80" workbookViewId="0">
      <selection activeCell="B22" sqref="B2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3" t="s">
        <v>52</v>
      </c>
      <c r="B1" s="433"/>
      <c r="C1" s="433"/>
      <c r="D1" s="433"/>
      <c r="E1" s="433"/>
      <c r="F1" s="433"/>
      <c r="G1" s="433"/>
      <c r="H1" s="433"/>
      <c r="I1" s="433"/>
      <c r="J1" s="433"/>
      <c r="K1" s="433"/>
      <c r="L1" s="433"/>
      <c r="M1" s="433"/>
      <c r="N1" s="433"/>
      <c r="O1" s="433"/>
      <c r="P1" s="433"/>
      <c r="Q1" s="52"/>
    </row>
    <row r="2" spans="1:59" ht="18" customHeight="1" x14ac:dyDescent="0.25">
      <c r="A2" s="434" t="s">
        <v>53</v>
      </c>
      <c r="B2" s="434"/>
      <c r="C2" s="434"/>
      <c r="D2" s="434"/>
      <c r="E2" s="434"/>
      <c r="F2" s="434"/>
      <c r="G2" s="434"/>
      <c r="H2" s="434"/>
      <c r="I2" s="434"/>
      <c r="J2" s="434"/>
      <c r="K2" s="434"/>
      <c r="L2" s="434"/>
      <c r="M2" s="434"/>
      <c r="N2" s="434"/>
      <c r="O2" s="434"/>
      <c r="P2" s="434"/>
    </row>
    <row r="3" spans="1:59" ht="17.399999999999999" x14ac:dyDescent="0.3">
      <c r="A3" s="434"/>
      <c r="B3" s="434"/>
      <c r="C3" s="434"/>
      <c r="D3" s="434"/>
      <c r="E3" s="434"/>
      <c r="F3" s="434"/>
      <c r="G3" s="434"/>
      <c r="H3" s="434"/>
      <c r="I3" s="434"/>
      <c r="J3" s="434"/>
      <c r="K3" s="434"/>
      <c r="L3" s="434"/>
      <c r="M3" s="434"/>
      <c r="N3" s="434"/>
      <c r="O3" s="434"/>
      <c r="P3" s="434"/>
      <c r="Q3" s="53"/>
    </row>
    <row r="4" spans="1:59" ht="15.6" x14ac:dyDescent="0.3">
      <c r="A4" s="435" t="str">
        <f>'Customer Info'!$B$12</f>
        <v>Breakdown of Charges Based on Entered Information</v>
      </c>
      <c r="B4" s="435"/>
      <c r="C4" s="435"/>
      <c r="D4" s="435"/>
      <c r="E4" s="435"/>
      <c r="F4" s="435"/>
      <c r="G4" s="435"/>
      <c r="H4" s="435"/>
      <c r="I4" s="435"/>
      <c r="J4" s="435"/>
      <c r="K4" s="435"/>
      <c r="L4" s="435"/>
      <c r="M4" s="435"/>
      <c r="N4" s="435"/>
      <c r="O4" s="435"/>
      <c r="P4" s="435"/>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45656</v>
      </c>
      <c r="B6" s="436" t="s">
        <v>54</v>
      </c>
      <c r="C6" s="436"/>
      <c r="D6" s="436"/>
      <c r="E6" s="436"/>
      <c r="F6" s="436"/>
      <c r="G6" s="436"/>
      <c r="H6" s="436"/>
      <c r="I6" s="436"/>
      <c r="J6" s="436"/>
      <c r="K6" s="436"/>
      <c r="L6" s="436"/>
      <c r="M6" s="436"/>
      <c r="N6" s="436"/>
      <c r="O6" s="436"/>
    </row>
    <row r="7" spans="1:59" x14ac:dyDescent="0.25">
      <c r="A7" s="437" t="s">
        <v>2</v>
      </c>
      <c r="B7" s="437"/>
      <c r="C7" s="437"/>
      <c r="D7" s="437"/>
      <c r="E7" s="437"/>
      <c r="F7" s="437"/>
      <c r="G7" s="437"/>
      <c r="H7" s="437"/>
      <c r="I7" s="437"/>
      <c r="J7" s="437"/>
      <c r="K7" s="437"/>
    </row>
    <row r="9" spans="1:59" ht="15" x14ac:dyDescent="0.25">
      <c r="A9" s="57" t="s">
        <v>5</v>
      </c>
      <c r="B9" s="58"/>
      <c r="C9" s="59">
        <f>'Customer Info'!B7</f>
        <v>0</v>
      </c>
      <c r="I9" s="60"/>
    </row>
    <row r="10" spans="1:59" ht="15" x14ac:dyDescent="0.25">
      <c r="A10" s="61" t="s">
        <v>55</v>
      </c>
      <c r="B10" s="58"/>
      <c r="C10" s="59">
        <f>'Customer Info'!B8</f>
        <v>0</v>
      </c>
    </row>
    <row r="11" spans="1:59" x14ac:dyDescent="0.25">
      <c r="A11" s="57" t="s">
        <v>56</v>
      </c>
      <c r="B11" s="62">
        <f>'Customer Info'!B9</f>
        <v>1</v>
      </c>
      <c r="C11" s="63" t="str">
        <f>LOOKUP($B$11,$S$11:$AD$11,S12:AD12)</f>
        <v>January</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59" ht="15" x14ac:dyDescent="0.25">
      <c r="A13" s="69" t="s">
        <v>70</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5">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71</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72</v>
      </c>
      <c r="B23" s="72"/>
      <c r="C23" s="72"/>
      <c r="D23" s="72"/>
      <c r="E23" s="72"/>
      <c r="F23" s="72"/>
      <c r="G23" s="438" t="s">
        <v>73</v>
      </c>
      <c r="H23" s="439"/>
      <c r="I23" s="439"/>
      <c r="J23" s="440"/>
      <c r="K23" s="83"/>
      <c r="L23" s="441" t="s">
        <v>74</v>
      </c>
      <c r="M23" s="442"/>
      <c r="N23" s="442"/>
      <c r="O23" s="443"/>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75</v>
      </c>
      <c r="H24" s="85" t="s">
        <v>76</v>
      </c>
      <c r="I24" s="85" t="s">
        <v>77</v>
      </c>
      <c r="J24" s="85" t="s">
        <v>78</v>
      </c>
      <c r="K24" s="72"/>
      <c r="L24" s="86" t="s">
        <v>75</v>
      </c>
      <c r="M24" s="86" t="s">
        <v>76</v>
      </c>
      <c r="N24" s="86" t="s">
        <v>77</v>
      </c>
      <c r="O24" s="86" t="s">
        <v>78</v>
      </c>
      <c r="P24" s="87" t="s">
        <v>79</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80</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81</v>
      </c>
      <c r="B26" s="72"/>
      <c r="C26" s="72"/>
      <c r="D26" s="4">
        <f>MAX($D$17,0)</f>
        <v>0</v>
      </c>
      <c r="E26" s="97" t="s">
        <v>19</v>
      </c>
      <c r="F26" s="84" t="s">
        <v>82</v>
      </c>
      <c r="G26" s="98"/>
      <c r="H26" s="89"/>
      <c r="I26" s="99">
        <v>2.6312499999999999E-2</v>
      </c>
      <c r="J26" s="100">
        <f>SUM(G26:I26)</f>
        <v>2.6312499999999999E-2</v>
      </c>
      <c r="K26" s="94" t="s">
        <v>83</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02" t="s">
        <v>84</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69" t="s">
        <v>85</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86</v>
      </c>
      <c r="B31" s="110"/>
      <c r="C31" s="110"/>
      <c r="D31" s="111">
        <f>IF($D$17&lt;0,0,IF($D$17&gt;833000,833000,$D$17))</f>
        <v>0</v>
      </c>
      <c r="E31" s="97" t="s">
        <v>19</v>
      </c>
      <c r="F31" s="84" t="s">
        <v>82</v>
      </c>
      <c r="G31" s="100"/>
      <c r="H31" s="100"/>
      <c r="I31" s="100">
        <f>'Rider Rates'!$B$4</f>
        <v>4.6278999999999999E-3</v>
      </c>
      <c r="J31" s="100">
        <f t="shared" ref="J31:J37" si="0">SUM(G31:I31)</f>
        <v>4.6278999999999999E-3</v>
      </c>
      <c r="K31" s="94" t="s">
        <v>87</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88</v>
      </c>
      <c r="B32" s="72"/>
      <c r="C32" s="72"/>
      <c r="D32" s="4">
        <f>IF($D$17&gt;833000,$D$17-833000,0)</f>
        <v>0</v>
      </c>
      <c r="E32" s="97" t="s">
        <v>19</v>
      </c>
      <c r="F32" s="84" t="s">
        <v>82</v>
      </c>
      <c r="G32" s="100"/>
      <c r="H32" s="100"/>
      <c r="I32" s="100">
        <f>'Rider Rates'!$B$5</f>
        <v>1.7560000000000001E-4</v>
      </c>
      <c r="J32" s="100">
        <f t="shared" si="0"/>
        <v>1.7560000000000001E-4</v>
      </c>
      <c r="K32" s="94" t="s">
        <v>87</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89</v>
      </c>
      <c r="B33" s="72"/>
      <c r="C33" s="72"/>
      <c r="D33" s="111">
        <f>IF($D$17&lt;0,0,IF($D$17&gt;2000,2000,$D$17))</f>
        <v>0</v>
      </c>
      <c r="E33" s="97" t="s">
        <v>19</v>
      </c>
      <c r="F33" s="84" t="s">
        <v>82</v>
      </c>
      <c r="G33" s="100"/>
      <c r="H33" s="100"/>
      <c r="I33" s="112">
        <f>'Rider Rates'!$B$8</f>
        <v>4.6499999999999996E-3</v>
      </c>
      <c r="J33" s="112">
        <f t="shared" si="0"/>
        <v>4.6499999999999996E-3</v>
      </c>
      <c r="K33" s="94" t="s">
        <v>87</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90</v>
      </c>
      <c r="B34" s="72"/>
      <c r="C34" s="72"/>
      <c r="D34" s="111">
        <f>IF($D$17&lt;=2000,0,IF($D$17=0,0,IF($D$17-2000&gt;13000,13000,$D$17-2000)))</f>
        <v>0</v>
      </c>
      <c r="E34" s="97" t="s">
        <v>19</v>
      </c>
      <c r="F34" s="84" t="s">
        <v>82</v>
      </c>
      <c r="G34" s="100"/>
      <c r="H34" s="100"/>
      <c r="I34" s="112">
        <f>'Rider Rates'!$B$9</f>
        <v>4.1900000000000001E-3</v>
      </c>
      <c r="J34" s="112">
        <f t="shared" si="0"/>
        <v>4.1900000000000001E-3</v>
      </c>
      <c r="K34" s="94" t="s">
        <v>87</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91</v>
      </c>
      <c r="B35" s="72"/>
      <c r="C35" s="72"/>
      <c r="D35" s="111">
        <f>IF($D$17=0,0,IF($D$17-15000&gt;=0,$D$17-15000,0))</f>
        <v>0</v>
      </c>
      <c r="E35" s="97" t="s">
        <v>19</v>
      </c>
      <c r="F35" s="84" t="s">
        <v>82</v>
      </c>
      <c r="G35" s="100"/>
      <c r="H35" s="100"/>
      <c r="I35" s="112">
        <f>'Rider Rates'!$B$10</f>
        <v>3.63E-3</v>
      </c>
      <c r="J35" s="112">
        <f t="shared" si="0"/>
        <v>3.63E-3</v>
      </c>
      <c r="K35" s="94" t="s">
        <v>87</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92</v>
      </c>
      <c r="B36" s="72"/>
      <c r="C36" s="72"/>
      <c r="D36" s="111">
        <f>IF($D$17&lt;0,0,$D$17)</f>
        <v>0</v>
      </c>
      <c r="E36" s="97" t="s">
        <v>19</v>
      </c>
      <c r="F36" s="84" t="s">
        <v>82</v>
      </c>
      <c r="G36" s="100"/>
      <c r="H36" s="100"/>
      <c r="I36" s="100">
        <f>'Rider Rates'!B15</f>
        <v>0</v>
      </c>
      <c r="J36" s="100">
        <f t="shared" si="0"/>
        <v>0</v>
      </c>
      <c r="K36" s="94" t="s">
        <v>87</v>
      </c>
      <c r="L36" s="89"/>
      <c r="M36" s="89"/>
      <c r="N36" s="89">
        <f t="shared" si="1"/>
        <v>0</v>
      </c>
      <c r="O36" s="89">
        <f t="shared" ref="O36:O42" si="3">SUM(L36:N36)</f>
        <v>0</v>
      </c>
      <c r="P36" s="92">
        <f>'Rider Rates'!$D$15</f>
        <v>45505</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2" t="s">
        <v>93</v>
      </c>
      <c r="B37" s="72"/>
      <c r="C37" s="72"/>
      <c r="D37" s="113">
        <f>$N$27</f>
        <v>10</v>
      </c>
      <c r="E37" s="97" t="s">
        <v>94</v>
      </c>
      <c r="F37" s="84" t="s">
        <v>82</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95</v>
      </c>
      <c r="B38" s="72"/>
      <c r="C38" s="72"/>
      <c r="D38" s="111">
        <f>'Customer Info'!$B$22+'Customer Info'!$B$23-'Customer Info'!$B$24</f>
        <v>0</v>
      </c>
      <c r="E38" s="97" t="s">
        <v>19</v>
      </c>
      <c r="F38" s="84" t="s">
        <v>82</v>
      </c>
      <c r="G38" s="100">
        <f>'Rider Rates'!$B$21</f>
        <v>7.0209999999999995E-2</v>
      </c>
      <c r="H38" s="100"/>
      <c r="I38" s="100"/>
      <c r="J38" s="115">
        <f>SUM(G38:H38)</f>
        <v>7.0209999999999995E-2</v>
      </c>
      <c r="K38" s="94" t="s">
        <v>87</v>
      </c>
      <c r="L38" s="89">
        <f>ROUND(D38*G38,2)</f>
        <v>0</v>
      </c>
      <c r="M38" s="89"/>
      <c r="N38" s="89"/>
      <c r="O38" s="89">
        <f t="shared" si="3"/>
        <v>0</v>
      </c>
      <c r="P38" s="92">
        <f>'Rider Rates'!$D$21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96</v>
      </c>
      <c r="B39" s="72"/>
      <c r="C39" s="72"/>
      <c r="D39" s="111">
        <f>'Customer Info'!$B$22+'Customer Info'!$B$23-'Customer Info'!$B$24</f>
        <v>0</v>
      </c>
      <c r="E39" s="97" t="s">
        <v>19</v>
      </c>
      <c r="F39" s="84" t="s">
        <v>82</v>
      </c>
      <c r="G39" s="100">
        <f>'Rider Rates'!$B$28</f>
        <v>3.2000000000000002E-3</v>
      </c>
      <c r="H39" s="100"/>
      <c r="I39" s="100"/>
      <c r="J39" s="115">
        <f>SUM(G39:H39)</f>
        <v>3.2000000000000002E-3</v>
      </c>
      <c r="K39" s="94" t="s">
        <v>87</v>
      </c>
      <c r="L39" s="90">
        <f>ROUND($D$39*$G$39,2)</f>
        <v>0</v>
      </c>
      <c r="M39" s="89"/>
      <c r="N39" s="89"/>
      <c r="O39" s="89">
        <f>SUM(L39:N39)</f>
        <v>0</v>
      </c>
      <c r="P39" s="92">
        <f>'Rider Rates'!$D$28</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97</v>
      </c>
      <c r="B40" s="72"/>
      <c r="C40" s="72"/>
      <c r="D40" s="111">
        <f>'Customer Info'!$B$22+'Customer Info'!$B$23-'Customer Info'!$B$24</f>
        <v>0</v>
      </c>
      <c r="E40" s="97" t="s">
        <v>19</v>
      </c>
      <c r="F40" s="84" t="s">
        <v>82</v>
      </c>
      <c r="G40" s="100">
        <f>'Rider Rates'!$B$49</f>
        <v>4.5009999999999999E-4</v>
      </c>
      <c r="H40" s="100"/>
      <c r="I40" s="100"/>
      <c r="J40" s="115">
        <f>SUM(G40:H40)</f>
        <v>4.5009999999999999E-4</v>
      </c>
      <c r="K40" s="94" t="s">
        <v>87</v>
      </c>
      <c r="L40" s="89">
        <f>ROUND(D40*G40,2)</f>
        <v>0</v>
      </c>
      <c r="M40" s="89"/>
      <c r="N40" s="89"/>
      <c r="O40" s="89">
        <f t="shared" si="3"/>
        <v>0</v>
      </c>
      <c r="P40" s="92">
        <f>'Rider Rates'!$D$49</f>
        <v>45657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2" t="s">
        <v>98</v>
      </c>
      <c r="B41" s="72"/>
      <c r="C41" s="72"/>
      <c r="D41" s="111"/>
      <c r="E41" s="97" t="s">
        <v>57</v>
      </c>
      <c r="F41" s="84"/>
      <c r="G41" s="100"/>
      <c r="H41" s="100"/>
      <c r="I41" s="100">
        <f>'Rider Rates'!D52</f>
        <v>1.17</v>
      </c>
      <c r="J41" s="115">
        <f t="shared" ref="J41:J47" si="4">SUM(G41:I41)</f>
        <v>1.17</v>
      </c>
      <c r="K41" s="94"/>
      <c r="L41" s="89"/>
      <c r="M41" s="89"/>
      <c r="N41" s="89">
        <f>J41</f>
        <v>1.17</v>
      </c>
      <c r="O41" s="89">
        <f>SUM(L41:N41)</f>
        <v>1.17</v>
      </c>
      <c r="P41" s="92">
        <f>'Rider Rates'!E52</f>
        <v>45658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99</v>
      </c>
      <c r="B42" s="72"/>
      <c r="C42" s="72"/>
      <c r="D42" s="111">
        <f>IF($D$17&lt;0,0,$D$17)</f>
        <v>0</v>
      </c>
      <c r="E42" s="97" t="s">
        <v>19</v>
      </c>
      <c r="F42" s="84" t="s">
        <v>82</v>
      </c>
      <c r="G42" s="100"/>
      <c r="H42" s="100">
        <f>'Rider Rates'!$B$59</f>
        <v>4.3837099999999997E-2</v>
      </c>
      <c r="I42" s="100"/>
      <c r="J42" s="100">
        <f t="shared" si="4"/>
        <v>4.3837099999999997E-2</v>
      </c>
      <c r="K42" s="94" t="s">
        <v>87</v>
      </c>
      <c r="L42" s="89"/>
      <c r="M42" s="89">
        <f>ROUND(D42*H42,2)</f>
        <v>0</v>
      </c>
      <c r="N42" s="116"/>
      <c r="O42" s="89">
        <f t="shared" si="3"/>
        <v>0</v>
      </c>
      <c r="P42" s="92">
        <f>'Rider Rates'!$D$59</f>
        <v>45383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100</v>
      </c>
      <c r="B43" s="72"/>
      <c r="C43" s="72"/>
      <c r="D43" s="111">
        <f>IF($D$17&lt;0,0,$D$17)</f>
        <v>0</v>
      </c>
      <c r="E43" s="97" t="s">
        <v>19</v>
      </c>
      <c r="F43" s="84" t="s">
        <v>82</v>
      </c>
      <c r="G43" s="100"/>
      <c r="H43" s="100"/>
      <c r="I43" s="100">
        <f>'Rider Rates'!$B$70</f>
        <v>8.6240000000000004E-4</v>
      </c>
      <c r="J43" s="100">
        <f t="shared" ref="J43" si="5">SUM(G43:I43)</f>
        <v>8.6240000000000004E-4</v>
      </c>
      <c r="K43" s="94" t="s">
        <v>87</v>
      </c>
      <c r="L43" s="89"/>
      <c r="M43" s="89"/>
      <c r="N43" s="89">
        <f>ROUND($D$43*'Rider Rates'!$B$70,2)</f>
        <v>0</v>
      </c>
      <c r="O43" s="91">
        <f>SUM(L43:N43)</f>
        <v>0</v>
      </c>
      <c r="P43" s="92">
        <f>'Rider Rates'!$D$70</f>
        <v>45532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101</v>
      </c>
      <c r="B44" s="72"/>
      <c r="C44" s="72"/>
      <c r="D44" s="111">
        <f>IF('Customer Info'!C35=TRUE,0,IF($D$17&lt;0,0,$D$17))</f>
        <v>0</v>
      </c>
      <c r="E44" s="97" t="s">
        <v>19</v>
      </c>
      <c r="F44" s="84" t="s">
        <v>82</v>
      </c>
      <c r="G44" s="100"/>
      <c r="H44" s="100"/>
      <c r="I44" s="100">
        <f>'Rider Rates'!$B$73+'Rider Rates'!$C$73</f>
        <v>0</v>
      </c>
      <c r="J44" s="100">
        <f t="shared" si="4"/>
        <v>0</v>
      </c>
      <c r="K44" s="94" t="s">
        <v>87</v>
      </c>
      <c r="L44" s="89"/>
      <c r="M44" s="89"/>
      <c r="N44" s="89">
        <f>ROUND($D$44*'Rider Rates'!$B$73,2)+ROUND($D$44*'Rider Rates'!$C$73,2)</f>
        <v>0</v>
      </c>
      <c r="O44" s="91">
        <f t="shared" si="2"/>
        <v>0</v>
      </c>
      <c r="P44" s="92">
        <f>'Rider Rates'!$D$73</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102</v>
      </c>
      <c r="B45" s="72"/>
      <c r="C45" s="72"/>
      <c r="D45" s="113">
        <f>$N$27</f>
        <v>10</v>
      </c>
      <c r="E45" s="97" t="s">
        <v>94</v>
      </c>
      <c r="F45" s="84" t="s">
        <v>82</v>
      </c>
      <c r="G45" s="117"/>
      <c r="H45" s="118"/>
      <c r="I45" s="119">
        <f>'Rider Rates'!$B$89</f>
        <v>4.94232E-2</v>
      </c>
      <c r="J45" s="119">
        <f t="shared" si="4"/>
        <v>4.94232E-2</v>
      </c>
      <c r="K45" s="94"/>
      <c r="L45" s="89"/>
      <c r="M45" s="89"/>
      <c r="N45" s="89">
        <f>ROUND(D45*I45,2)</f>
        <v>0.49</v>
      </c>
      <c r="O45" s="89">
        <f t="shared" si="2"/>
        <v>0.49</v>
      </c>
      <c r="P45" s="92">
        <f>'Rider Rates'!$D$89</f>
        <v>45562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103</v>
      </c>
      <c r="B46" s="72"/>
      <c r="C46" s="72"/>
      <c r="D46" s="113">
        <f>$N$27</f>
        <v>10</v>
      </c>
      <c r="E46" s="97" t="s">
        <v>94</v>
      </c>
      <c r="F46" s="84" t="s">
        <v>82</v>
      </c>
      <c r="G46" s="120"/>
      <c r="H46" s="85"/>
      <c r="I46" s="119">
        <f>'Rider Rates'!$B$91</f>
        <v>6.6985699999999995E-2</v>
      </c>
      <c r="J46" s="119">
        <f t="shared" si="4"/>
        <v>6.6985699999999995E-2</v>
      </c>
      <c r="K46" s="94"/>
      <c r="L46" s="89"/>
      <c r="M46" s="89"/>
      <c r="N46" s="89">
        <f>ROUND(D46*I46,2)</f>
        <v>0.67</v>
      </c>
      <c r="O46" s="89">
        <f t="shared" si="2"/>
        <v>0.67</v>
      </c>
      <c r="P46" s="92">
        <f>'Rider Rates'!$D$91</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104</v>
      </c>
      <c r="B47" s="72"/>
      <c r="C47" s="72"/>
      <c r="D47" s="113"/>
      <c r="E47" s="97" t="s">
        <v>57</v>
      </c>
      <c r="F47" s="84"/>
      <c r="G47" s="120"/>
      <c r="H47" s="85"/>
      <c r="I47" s="121">
        <f>'Rider Rates'!$B$94</f>
        <v>2.08</v>
      </c>
      <c r="J47" s="121">
        <f t="shared" si="4"/>
        <v>2.08</v>
      </c>
      <c r="K47" s="94"/>
      <c r="L47" s="89"/>
      <c r="M47" s="89"/>
      <c r="N47" s="89">
        <f>I47</f>
        <v>2.08</v>
      </c>
      <c r="O47" s="91">
        <f>SUM(L47:N47)</f>
        <v>2.08</v>
      </c>
      <c r="P47" s="92">
        <f>'Rider Rates'!$D$94</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105</v>
      </c>
      <c r="B48" s="72"/>
      <c r="C48" s="72"/>
      <c r="D48" s="111">
        <f>IF($D$17&lt;0,0,$D$17)</f>
        <v>0</v>
      </c>
      <c r="E48" s="97" t="s">
        <v>19</v>
      </c>
      <c r="F48" s="84" t="s">
        <v>82</v>
      </c>
      <c r="G48" s="100"/>
      <c r="H48" s="100"/>
      <c r="I48" s="100"/>
      <c r="J48" s="100">
        <f>'Rider Rates'!$B$98</f>
        <v>0</v>
      </c>
      <c r="K48" s="94" t="s">
        <v>87</v>
      </c>
      <c r="L48" s="89"/>
      <c r="M48" s="89"/>
      <c r="N48" s="89"/>
      <c r="O48" s="89">
        <f>ROUND($D48*('Rider Rates'!B$98),2)</f>
        <v>0</v>
      </c>
      <c r="P48" s="92">
        <f>'Rider Rates'!$D$98</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106</v>
      </c>
      <c r="B49" s="72"/>
      <c r="C49" s="72"/>
      <c r="D49" s="113">
        <f>$N$27</f>
        <v>10</v>
      </c>
      <c r="E49" s="97" t="s">
        <v>94</v>
      </c>
      <c r="F49" s="84" t="s">
        <v>82</v>
      </c>
      <c r="G49" s="120"/>
      <c r="H49" s="85"/>
      <c r="I49" s="119">
        <f>'Rider Rates'!$B$109</f>
        <v>0.2363101</v>
      </c>
      <c r="J49" s="122">
        <f>SUM(G49:I49)</f>
        <v>0.2363101</v>
      </c>
      <c r="K49" s="94"/>
      <c r="L49" s="89"/>
      <c r="M49" s="89"/>
      <c r="N49" s="89">
        <f>ROUND(D49*I49,2)</f>
        <v>2.36</v>
      </c>
      <c r="O49" s="89">
        <f t="shared" si="2"/>
        <v>2.36</v>
      </c>
      <c r="P49" s="92">
        <f>'Rider Rates'!$D$109</f>
        <v>45622</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107</v>
      </c>
      <c r="B50" s="72"/>
      <c r="C50" s="72"/>
      <c r="D50" s="113"/>
      <c r="E50" s="97" t="s">
        <v>57</v>
      </c>
      <c r="F50" s="84"/>
      <c r="G50" s="120"/>
      <c r="H50" s="85"/>
      <c r="I50" s="121">
        <f>'Rider Rates'!$B$112</f>
        <v>0</v>
      </c>
      <c r="J50" s="121">
        <f>SUM(G50:I50)</f>
        <v>0</v>
      </c>
      <c r="K50" s="94"/>
      <c r="L50" s="89"/>
      <c r="M50" s="89"/>
      <c r="N50" s="89">
        <f>I50</f>
        <v>0</v>
      </c>
      <c r="O50" s="89">
        <f>SUM(L50:N50)</f>
        <v>0</v>
      </c>
      <c r="P50" s="92">
        <f>'Rider Rates'!$D$112</f>
        <v>44894</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108</v>
      </c>
      <c r="B51" s="72"/>
      <c r="C51" s="72"/>
      <c r="D51" s="113"/>
      <c r="E51" s="97" t="s">
        <v>57</v>
      </c>
      <c r="F51" s="84"/>
      <c r="G51" s="120"/>
      <c r="H51" s="85"/>
      <c r="I51" s="123">
        <f>'Rider Rates'!B125</f>
        <v>0.97</v>
      </c>
      <c r="J51" s="124">
        <f>SUM(G51:I51)</f>
        <v>0.97</v>
      </c>
      <c r="K51" s="94"/>
      <c r="L51" s="89"/>
      <c r="M51" s="89"/>
      <c r="N51" s="125">
        <f>I51</f>
        <v>0.97</v>
      </c>
      <c r="O51" s="89">
        <f>SUM(L51:N51)</f>
        <v>0.97</v>
      </c>
      <c r="P51" s="92">
        <f>'Rider Rates'!D125</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109</v>
      </c>
      <c r="B52" s="72"/>
      <c r="C52" s="72"/>
      <c r="D52" s="111">
        <f>'Customer Info'!$B$22+'Customer Info'!$B$23-'Customer Info'!$B$24</f>
        <v>0</v>
      </c>
      <c r="E52" s="97" t="s">
        <v>19</v>
      </c>
      <c r="F52" s="84" t="s">
        <v>82</v>
      </c>
      <c r="G52" s="100">
        <f>'Rider Rates'!$B$116</f>
        <v>3.8972999999999998E-3</v>
      </c>
      <c r="H52" s="100"/>
      <c r="I52" s="100"/>
      <c r="J52" s="115">
        <f>SUM(G52:H52)</f>
        <v>3.8972999999999998E-3</v>
      </c>
      <c r="K52" s="94" t="s">
        <v>87</v>
      </c>
      <c r="L52" s="89">
        <f>ROUND(D52*G52,2)</f>
        <v>0</v>
      </c>
      <c r="M52" s="89"/>
      <c r="N52" s="89"/>
      <c r="O52" s="89">
        <f t="shared" si="2"/>
        <v>0</v>
      </c>
      <c r="P52" s="92">
        <f>'Rider Rates'!$D$116</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110</v>
      </c>
      <c r="B53" s="72"/>
      <c r="C53" s="72"/>
      <c r="D53" s="111">
        <f>IF($D$17&lt;1,0,$D$17)</f>
        <v>0</v>
      </c>
      <c r="E53" s="97" t="s">
        <v>19</v>
      </c>
      <c r="F53" s="126" t="s">
        <v>82</v>
      </c>
      <c r="G53" s="100"/>
      <c r="H53" s="100"/>
      <c r="I53" s="100">
        <f>'Rider Rates'!$B$121</f>
        <v>0</v>
      </c>
      <c r="J53" s="115">
        <f>SUM(G53:I53)</f>
        <v>0</v>
      </c>
      <c r="K53" s="94" t="s">
        <v>87</v>
      </c>
      <c r="L53" s="89"/>
      <c r="M53" s="89"/>
      <c r="N53" s="89">
        <f>D53*J53</f>
        <v>0</v>
      </c>
      <c r="O53" s="89">
        <f t="shared" si="2"/>
        <v>0</v>
      </c>
      <c r="P53" s="92">
        <f>'Rider Rates'!D121</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111</v>
      </c>
      <c r="B54" s="72"/>
      <c r="C54" s="72"/>
      <c r="D54" s="111"/>
      <c r="E54" s="97" t="s">
        <v>57</v>
      </c>
      <c r="F54" s="84" t="s">
        <v>82</v>
      </c>
      <c r="G54" s="127"/>
      <c r="H54" s="127"/>
      <c r="I54" s="127">
        <f>'Rider Rates'!$B$129</f>
        <v>0.1</v>
      </c>
      <c r="J54" s="127">
        <f>SUM(G54:I54)</f>
        <v>0.1</v>
      </c>
      <c r="K54" s="94"/>
      <c r="L54" s="128"/>
      <c r="M54" s="128"/>
      <c r="N54" s="128">
        <f>J54</f>
        <v>0.1</v>
      </c>
      <c r="O54" s="128">
        <f>SUM(L54:N54)</f>
        <v>0.1</v>
      </c>
      <c r="P54" s="129">
        <f>'Rider Rates'!E129</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112</v>
      </c>
      <c r="B55" s="72"/>
      <c r="C55" s="72"/>
      <c r="D55" s="111">
        <f>D17</f>
        <v>0</v>
      </c>
      <c r="E55" s="97" t="s">
        <v>19</v>
      </c>
      <c r="F55" s="126" t="s">
        <v>82</v>
      </c>
      <c r="G55" s="100"/>
      <c r="H55" s="100"/>
      <c r="I55" s="100">
        <f>'Rider Rates'!B134</f>
        <v>0</v>
      </c>
      <c r="J55" s="115">
        <f>SUM(G55:I55)</f>
        <v>0</v>
      </c>
      <c r="K55" s="94" t="s">
        <v>87</v>
      </c>
      <c r="L55" s="89"/>
      <c r="M55" s="89"/>
      <c r="N55" s="89">
        <f>D55*J55</f>
        <v>0</v>
      </c>
      <c r="O55" s="89">
        <f>SUM(L55:N55)</f>
        <v>0</v>
      </c>
      <c r="P55" s="92">
        <f>'Rider Rates'!D134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113</v>
      </c>
      <c r="B56" s="72"/>
      <c r="C56" s="72"/>
      <c r="D56" s="111"/>
      <c r="E56" s="97" t="s">
        <v>57</v>
      </c>
      <c r="F56" s="84" t="s">
        <v>82</v>
      </c>
      <c r="G56" s="127"/>
      <c r="H56" s="127"/>
      <c r="I56" s="127">
        <f>'Rider Rates'!$B$141</f>
        <v>0</v>
      </c>
      <c r="J56" s="127">
        <f>SUM(G56:I56)</f>
        <v>0</v>
      </c>
      <c r="K56" s="94"/>
      <c r="L56" s="128"/>
      <c r="M56" s="128"/>
      <c r="N56" s="128">
        <f>J56</f>
        <v>0</v>
      </c>
      <c r="O56" s="128">
        <f>SUM(L56:N56)</f>
        <v>0</v>
      </c>
      <c r="P56" s="129">
        <f>'Rider Rates'!D141</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114</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30" t="s">
        <v>115</v>
      </c>
      <c r="B58" s="69"/>
      <c r="C58" s="69"/>
      <c r="D58" s="131"/>
      <c r="E58" s="132"/>
      <c r="F58" s="133"/>
      <c r="G58" s="133"/>
      <c r="H58" s="133"/>
      <c r="I58" s="133"/>
      <c r="J58" s="133"/>
      <c r="K58" s="134"/>
      <c r="L58" s="105">
        <f>SUM(L31:L57)</f>
        <v>0</v>
      </c>
      <c r="M58" s="105">
        <f>SUM(M31:M57)</f>
        <v>0</v>
      </c>
      <c r="N58" s="105">
        <f>SUM(N31:N57)</f>
        <v>7.839999999999999</v>
      </c>
      <c r="O58" s="105">
        <f>SUM(O31:O57)</f>
        <v>7.839999999999999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38" t="s">
        <v>116</v>
      </c>
      <c r="B60" s="106"/>
      <c r="C60" s="106"/>
      <c r="D60" s="106"/>
      <c r="E60" s="106"/>
      <c r="F60" s="106"/>
      <c r="G60" s="106"/>
      <c r="H60" s="106"/>
      <c r="I60" s="106"/>
      <c r="J60" s="106"/>
      <c r="K60" s="106"/>
      <c r="L60" s="139">
        <f>L27+L58</f>
        <v>0</v>
      </c>
      <c r="M60" s="139">
        <f>M27+M58</f>
        <v>0</v>
      </c>
      <c r="N60" s="139">
        <f>N27+N58</f>
        <v>17.84</v>
      </c>
      <c r="O60" s="140">
        <f>O27+O58</f>
        <v>17.84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02" t="s">
        <v>117</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69" t="s">
        <v>118</v>
      </c>
      <c r="B65" s="72"/>
      <c r="C65" s="72"/>
      <c r="D65" s="72"/>
      <c r="E65" s="72"/>
      <c r="F65" s="72"/>
      <c r="G65" s="72"/>
      <c r="H65" s="72"/>
      <c r="I65" s="72"/>
      <c r="J65" s="72"/>
      <c r="K65" s="72"/>
      <c r="L65" s="72"/>
      <c r="M65" s="72"/>
      <c r="N65" s="72"/>
      <c r="O65" s="141">
        <f>IF($D$17&lt;0,O60,IF(O60&gt;O63,O60,O63))</f>
        <v>17.84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102"/>
      <c r="C67" s="102"/>
      <c r="D67" s="102"/>
      <c r="E67" s="102"/>
      <c r="F67" s="102"/>
      <c r="G67" s="102"/>
      <c r="H67" s="102"/>
      <c r="I67" s="102" t="s">
        <v>119</v>
      </c>
      <c r="J67" s="102"/>
      <c r="K67" s="102"/>
      <c r="L67" s="143"/>
      <c r="M67" s="143"/>
      <c r="N67" s="143"/>
      <c r="O67" s="143">
        <f>ROUND(IF($D$17&lt;1,0,O60/($D$17*100)*10000),2)</f>
        <v>0</v>
      </c>
      <c r="P67" s="144" t="s">
        <v>120</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5">
      <c r="A68" s="144"/>
      <c r="B68" s="72"/>
      <c r="C68" s="72"/>
      <c r="D68" s="72"/>
      <c r="E68" s="72"/>
      <c r="F68" s="72"/>
      <c r="G68" s="72"/>
      <c r="H68" s="145"/>
      <c r="I68" s="146" t="s">
        <v>121</v>
      </c>
      <c r="J68" s="72"/>
      <c r="K68" s="72"/>
      <c r="L68" s="72"/>
      <c r="M68" s="72"/>
      <c r="N68" s="72"/>
      <c r="O68" s="147">
        <f>ROUND(IF($D$17&lt;1,0,(L60)/($D$17*100)*10000),2)</f>
        <v>0</v>
      </c>
      <c r="P68" s="59" t="s">
        <v>120</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5">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5">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2"/>
      <c r="D71" s="4"/>
      <c r="E71" s="152"/>
      <c r="F71" s="84"/>
      <c r="Q71" s="151"/>
    </row>
    <row r="72" spans="1:236" x14ac:dyDescent="0.25">
      <c r="A72" s="153"/>
      <c r="D72" s="4"/>
      <c r="E72" s="152"/>
      <c r="F72" s="1"/>
      <c r="Q72" s="154"/>
    </row>
    <row r="73" spans="1:236" x14ac:dyDescent="0.25">
      <c r="A73" s="153"/>
      <c r="D73" s="4"/>
      <c r="E73" s="152"/>
      <c r="F73" s="1"/>
      <c r="Q73" s="154"/>
    </row>
    <row r="74" spans="1:236" x14ac:dyDescent="0.25">
      <c r="A74" s="155"/>
      <c r="B74" s="144"/>
      <c r="C74" s="144"/>
      <c r="D74" s="144"/>
      <c r="E74" s="144"/>
      <c r="F74" s="144"/>
    </row>
    <row r="75" spans="1:236" x14ac:dyDescent="0.25">
      <c r="B75" s="144"/>
      <c r="C75" s="144"/>
      <c r="D75" s="144"/>
      <c r="E75" s="144"/>
      <c r="F75" s="144"/>
      <c r="P75" s="144"/>
      <c r="Q75" s="144"/>
    </row>
    <row r="76" spans="1:236" x14ac:dyDescent="0.25">
      <c r="B76" s="144"/>
      <c r="C76" s="144"/>
      <c r="D76" s="144"/>
      <c r="E76" s="144"/>
      <c r="F76" s="144"/>
      <c r="P76" s="59"/>
      <c r="Q76" s="59"/>
    </row>
    <row r="79" spans="1:236" x14ac:dyDescent="0.25">
      <c r="A79" s="432"/>
    </row>
    <row r="80" spans="1:23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sheetData>
  <sheetProtection algorithmName="SHA-512" hashValue="fakVRPZfbBtThA36H9VpWd8UyfhBlvzWHjaYNA43zeBt8+dWJaRU/Ndu/UdSy10pjeO3bj0Zl6v0jKPqA1WR7w==" saltValue="AWzLASpYhI83ZdtSd45x/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388620</xdr:colOff>
                    <xdr:row>86</xdr:row>
                    <xdr:rowOff>38100</xdr:rowOff>
                  </from>
                  <to>
                    <xdr:col>30</xdr:col>
                    <xdr:colOff>160020</xdr:colOff>
                    <xdr:row>87</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6"/>
  <sheetViews>
    <sheetView topLeftCell="A21" zoomScale="85" zoomScaleNormal="85" workbookViewId="0">
      <selection activeCell="B22" sqref="B22"/>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58" t="s">
        <v>52</v>
      </c>
      <c r="B1" s="458"/>
      <c r="C1" s="458"/>
      <c r="D1" s="458"/>
      <c r="E1" s="458"/>
      <c r="F1" s="458"/>
      <c r="G1" s="458"/>
      <c r="H1" s="458"/>
      <c r="I1" s="458"/>
      <c r="J1" s="458"/>
      <c r="K1" s="458"/>
      <c r="L1" s="458"/>
      <c r="M1" s="458"/>
      <c r="N1" s="458"/>
      <c r="O1" s="458"/>
      <c r="P1" s="458"/>
    </row>
    <row r="2" spans="1:30" ht="21" x14ac:dyDescent="0.4">
      <c r="A2" s="458" t="s">
        <v>141</v>
      </c>
      <c r="B2" s="458"/>
      <c r="C2" s="458"/>
      <c r="D2" s="458"/>
      <c r="E2" s="458"/>
      <c r="F2" s="458"/>
      <c r="G2" s="458"/>
      <c r="H2" s="458"/>
      <c r="I2" s="458"/>
      <c r="J2" s="458"/>
      <c r="K2" s="458"/>
      <c r="L2" s="458"/>
      <c r="M2" s="458"/>
      <c r="N2" s="458"/>
      <c r="O2" s="458"/>
      <c r="P2" s="458"/>
    </row>
    <row r="3" spans="1:30" ht="17.399999999999999" x14ac:dyDescent="0.3">
      <c r="A3" s="459" t="s">
        <v>198</v>
      </c>
      <c r="B3" s="459"/>
      <c r="C3" s="459"/>
      <c r="D3" s="459"/>
      <c r="E3" s="459"/>
      <c r="F3" s="459"/>
      <c r="G3" s="459"/>
      <c r="H3" s="459"/>
      <c r="I3" s="459"/>
      <c r="J3" s="459"/>
      <c r="K3" s="459"/>
      <c r="L3" s="459"/>
      <c r="M3" s="459"/>
      <c r="N3" s="459"/>
      <c r="O3" s="459"/>
      <c r="P3" s="459"/>
    </row>
    <row r="4" spans="1:30" ht="15.6" x14ac:dyDescent="0.3">
      <c r="A4" s="460" t="str">
        <f>'Customer Info'!B12</f>
        <v>Breakdown of Charges Based on Entered Information</v>
      </c>
      <c r="B4" s="460"/>
      <c r="C4" s="460"/>
      <c r="D4" s="460"/>
      <c r="E4" s="460"/>
      <c r="F4" s="460"/>
      <c r="G4" s="460"/>
      <c r="H4" s="460"/>
      <c r="I4" s="460"/>
      <c r="J4" s="460"/>
      <c r="K4" s="460"/>
      <c r="L4" s="460"/>
      <c r="M4" s="460"/>
      <c r="N4" s="460"/>
      <c r="O4" s="460"/>
      <c r="P4" s="460"/>
    </row>
    <row r="5" spans="1:30" ht="15" x14ac:dyDescent="0.25">
      <c r="A5" s="231"/>
      <c r="B5" s="231"/>
      <c r="C5" s="231"/>
      <c r="D5" s="231"/>
      <c r="E5" s="231"/>
      <c r="F5" s="231"/>
      <c r="G5" s="231"/>
      <c r="H5" s="231" t="s">
        <v>199</v>
      </c>
      <c r="I5" s="231"/>
      <c r="J5" s="231"/>
      <c r="K5" s="231"/>
    </row>
    <row r="6" spans="1:30" x14ac:dyDescent="0.25">
      <c r="A6" s="232">
        <f ca="1">TODAY()</f>
        <v>45656</v>
      </c>
      <c r="B6" s="233"/>
      <c r="C6" s="232"/>
      <c r="D6" s="232"/>
      <c r="E6" s="232"/>
      <c r="F6" s="232"/>
      <c r="G6" s="232"/>
      <c r="H6" s="232"/>
      <c r="I6" s="232"/>
    </row>
    <row r="7" spans="1:30" ht="24.6" x14ac:dyDescent="0.4">
      <c r="A7" s="461"/>
      <c r="B7" s="461"/>
      <c r="C7" s="461"/>
      <c r="D7" s="461"/>
      <c r="E7" s="461"/>
      <c r="F7" s="461"/>
      <c r="G7" s="461"/>
      <c r="H7" s="461"/>
      <c r="I7" s="461"/>
      <c r="J7" s="461"/>
      <c r="K7" s="461"/>
      <c r="L7" s="461"/>
      <c r="M7" s="461"/>
      <c r="N7" s="461"/>
      <c r="O7" s="461"/>
      <c r="P7" s="461"/>
    </row>
    <row r="9" spans="1:30" ht="15" x14ac:dyDescent="0.25">
      <c r="A9" s="234" t="s">
        <v>5</v>
      </c>
      <c r="B9" s="235"/>
      <c r="C9" s="236">
        <f>'Customer Info'!B7</f>
        <v>0</v>
      </c>
      <c r="I9" s="237"/>
    </row>
    <row r="10" spans="1:30" ht="15" x14ac:dyDescent="0.25">
      <c r="A10" s="238" t="s">
        <v>55</v>
      </c>
      <c r="B10" s="235"/>
      <c r="C10" s="236">
        <f>'Customer Info'!B8</f>
        <v>0</v>
      </c>
    </row>
    <row r="11" spans="1:30" x14ac:dyDescent="0.25">
      <c r="A11" s="234" t="s">
        <v>124</v>
      </c>
      <c r="B11" s="239">
        <f>'Customer Info'!B9</f>
        <v>1</v>
      </c>
      <c r="C11" s="240" t="str">
        <f>LOOKUP(B11,R11:AD11,R12:AD12)</f>
        <v>January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2"/>
      <c r="B12" s="462"/>
      <c r="C12" s="462"/>
      <c r="D12" s="462"/>
      <c r="E12" s="462"/>
      <c r="F12" s="462"/>
      <c r="G12" s="462"/>
      <c r="H12" s="462"/>
      <c r="I12" s="462"/>
      <c r="J12" s="241"/>
      <c r="K12" s="241"/>
      <c r="L12" s="242"/>
      <c r="M12" s="242"/>
      <c r="N12" s="242"/>
      <c r="O12" s="242"/>
      <c r="P12" s="242"/>
      <c r="R12" s="230" t="s">
        <v>57</v>
      </c>
      <c r="S12" s="243" t="s">
        <v>58</v>
      </c>
      <c r="T12" s="243" t="s">
        <v>59</v>
      </c>
      <c r="U12" s="243" t="s">
        <v>60</v>
      </c>
      <c r="V12" s="243" t="s">
        <v>61</v>
      </c>
      <c r="W12" s="243" t="s">
        <v>62</v>
      </c>
      <c r="X12" s="243" t="s">
        <v>63</v>
      </c>
      <c r="Y12" s="243" t="s">
        <v>64</v>
      </c>
      <c r="Z12" s="243" t="s">
        <v>65</v>
      </c>
      <c r="AA12" s="243" t="s">
        <v>66</v>
      </c>
      <c r="AB12" s="243" t="s">
        <v>67</v>
      </c>
      <c r="AC12" s="243" t="s">
        <v>68</v>
      </c>
      <c r="AD12" s="243" t="s">
        <v>69</v>
      </c>
    </row>
    <row r="13" spans="1:30" x14ac:dyDescent="0.25">
      <c r="A13" s="244" t="s">
        <v>70</v>
      </c>
      <c r="B13" s="245"/>
      <c r="C13" s="245"/>
      <c r="D13" s="245"/>
      <c r="E13" s="245"/>
      <c r="F13" s="245"/>
      <c r="G13" s="245"/>
      <c r="H13" s="245"/>
      <c r="I13" s="245"/>
      <c r="R13" s="233" t="s">
        <v>145</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71</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172</v>
      </c>
      <c r="B16" s="247"/>
      <c r="C16" s="248">
        <f>'Customer Info'!B22</f>
        <v>0</v>
      </c>
      <c r="D16" s="247" t="s">
        <v>19</v>
      </c>
      <c r="E16" s="247"/>
      <c r="F16" s="249"/>
      <c r="G16" s="234" t="s">
        <v>2</v>
      </c>
      <c r="H16" s="247"/>
    </row>
    <row r="17" spans="1:22" x14ac:dyDescent="0.25">
      <c r="A17" s="247" t="s">
        <v>173</v>
      </c>
      <c r="B17" s="247"/>
      <c r="C17" s="248">
        <f>'Customer Info'!B23</f>
        <v>0</v>
      </c>
      <c r="D17" s="250" t="s">
        <v>19</v>
      </c>
      <c r="E17" s="249"/>
      <c r="F17" s="249"/>
      <c r="G17" s="234" t="s">
        <v>2</v>
      </c>
      <c r="H17" s="247"/>
      <c r="I17" s="251" t="s">
        <v>2</v>
      </c>
    </row>
    <row r="19" spans="1:22" x14ac:dyDescent="0.25">
      <c r="A19" s="244" t="s">
        <v>72</v>
      </c>
      <c r="B19" s="245"/>
      <c r="C19" s="245"/>
      <c r="D19" s="245"/>
      <c r="E19" s="245"/>
      <c r="F19" s="245"/>
      <c r="G19" s="454" t="s">
        <v>73</v>
      </c>
      <c r="H19" s="455"/>
      <c r="I19" s="455"/>
      <c r="J19" s="456"/>
      <c r="K19" s="245"/>
      <c r="L19" s="457" t="s">
        <v>74</v>
      </c>
      <c r="M19" s="457"/>
      <c r="N19" s="457"/>
      <c r="O19" s="457"/>
    </row>
    <row r="20" spans="1:22" x14ac:dyDescent="0.25">
      <c r="G20" s="252" t="s">
        <v>75</v>
      </c>
      <c r="H20" s="252" t="s">
        <v>76</v>
      </c>
      <c r="I20" s="252" t="s">
        <v>77</v>
      </c>
      <c r="J20" s="253" t="s">
        <v>78</v>
      </c>
      <c r="L20" s="254" t="s">
        <v>75</v>
      </c>
      <c r="M20" s="254" t="s">
        <v>76</v>
      </c>
      <c r="N20" s="254" t="s">
        <v>77</v>
      </c>
      <c r="O20" s="254" t="s">
        <v>78</v>
      </c>
      <c r="P20" s="255" t="s">
        <v>79</v>
      </c>
    </row>
    <row r="21" spans="1:22" x14ac:dyDescent="0.25">
      <c r="A21" s="230" t="s">
        <v>80</v>
      </c>
      <c r="G21" s="256"/>
      <c r="H21" s="256"/>
      <c r="I21" s="256">
        <f>'Rider Rates'!B148</f>
        <v>9.4</v>
      </c>
      <c r="J21" s="256">
        <f>SUM(G21:I21)</f>
        <v>9.4</v>
      </c>
      <c r="L21" s="257"/>
      <c r="M21" s="257"/>
      <c r="N21" s="257">
        <f>I21</f>
        <v>9.4</v>
      </c>
      <c r="O21" s="256">
        <f>SUM(L21:N21)</f>
        <v>9.4</v>
      </c>
      <c r="P21" s="258">
        <v>44531</v>
      </c>
    </row>
    <row r="22" spans="1:22" x14ac:dyDescent="0.25">
      <c r="A22" s="233" t="s">
        <v>174</v>
      </c>
      <c r="D22" s="259">
        <f>C15</f>
        <v>0</v>
      </c>
      <c r="E22" s="260" t="s">
        <v>19</v>
      </c>
      <c r="F22" s="261" t="s">
        <v>82</v>
      </c>
      <c r="G22" s="262"/>
      <c r="H22" s="262"/>
      <c r="I22" s="262">
        <f>'Rider Rates'!C148</f>
        <v>2.0634799999999998E-2</v>
      </c>
      <c r="J22" s="262">
        <f>SUM(G22:I22)</f>
        <v>2.0634799999999998E-2</v>
      </c>
      <c r="K22" s="263" t="s">
        <v>87</v>
      </c>
      <c r="L22" s="256"/>
      <c r="M22" s="256"/>
      <c r="N22" s="256">
        <f>IF(C15&lt;0,0,ROUND($D22*I22,2))</f>
        <v>0</v>
      </c>
      <c r="O22" s="256">
        <f>SUM(L22:N22)</f>
        <v>0</v>
      </c>
      <c r="P22" s="258">
        <f>'Rider Rates'!H148</f>
        <v>45444</v>
      </c>
    </row>
    <row r="23" spans="1:22" x14ac:dyDescent="0.25">
      <c r="A23" s="264" t="s">
        <v>84</v>
      </c>
      <c r="B23" s="264"/>
      <c r="C23" s="264"/>
      <c r="D23" s="265"/>
      <c r="E23" s="265"/>
      <c r="F23" s="264"/>
      <c r="G23" s="264"/>
      <c r="H23" s="264"/>
      <c r="I23" s="264"/>
      <c r="J23" s="264"/>
      <c r="K23" s="266"/>
      <c r="L23" s="267"/>
      <c r="M23" s="267"/>
      <c r="N23" s="267">
        <f>SUM(N21:N22)</f>
        <v>9.4</v>
      </c>
      <c r="O23" s="267">
        <f>SUM(O21:O22)</f>
        <v>9.4</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85</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86</v>
      </c>
      <c r="B27" s="275"/>
      <c r="C27" s="275"/>
      <c r="D27" s="259">
        <f>IF($C$15&lt;0,0,IF($C$15&gt;833000,833000,$C$15))</f>
        <v>0</v>
      </c>
      <c r="E27" s="260" t="s">
        <v>19</v>
      </c>
      <c r="F27" s="261" t="s">
        <v>82</v>
      </c>
      <c r="G27" s="276"/>
      <c r="H27" s="276"/>
      <c r="I27" s="276">
        <f>'Rider Rates'!$B$4</f>
        <v>4.6278999999999999E-3</v>
      </c>
      <c r="J27" s="276">
        <f t="shared" ref="J27:J48" si="0">SUM(G27:I27)</f>
        <v>4.6278999999999999E-3</v>
      </c>
      <c r="K27" s="263" t="s">
        <v>87</v>
      </c>
      <c r="L27" s="91"/>
      <c r="M27" s="91"/>
      <c r="N27" s="91">
        <f t="shared" ref="N27:N32" si="1">ROUND(D27*I27,2)</f>
        <v>0</v>
      </c>
      <c r="O27" s="91">
        <f t="shared" ref="O27:O49" si="2">SUM(L27:N27)</f>
        <v>0</v>
      </c>
      <c r="P27" s="258">
        <f>'Rider Rates'!$D$4</f>
        <v>45657</v>
      </c>
      <c r="Q27" s="261"/>
      <c r="R27" s="277"/>
      <c r="S27" s="263"/>
      <c r="T27" s="273"/>
      <c r="V27" s="274"/>
    </row>
    <row r="28" spans="1:22" x14ac:dyDescent="0.25">
      <c r="A28" s="233" t="s">
        <v>88</v>
      </c>
      <c r="D28" s="259">
        <f>IF($C$15&gt;833000,$C$15-833000,0)</f>
        <v>0</v>
      </c>
      <c r="E28" s="260" t="s">
        <v>19</v>
      </c>
      <c r="F28" s="261" t="s">
        <v>82</v>
      </c>
      <c r="G28" s="276"/>
      <c r="H28" s="276"/>
      <c r="I28" s="276">
        <f>'Rider Rates'!$B$5</f>
        <v>1.7560000000000001E-4</v>
      </c>
      <c r="J28" s="276">
        <f t="shared" si="0"/>
        <v>1.7560000000000001E-4</v>
      </c>
      <c r="K28" s="263" t="s">
        <v>87</v>
      </c>
      <c r="L28" s="91"/>
      <c r="M28" s="91"/>
      <c r="N28" s="91">
        <f t="shared" si="1"/>
        <v>0</v>
      </c>
      <c r="O28" s="91">
        <f t="shared" si="2"/>
        <v>0</v>
      </c>
      <c r="P28" s="258">
        <f>'Rider Rates'!$D$4</f>
        <v>45657</v>
      </c>
      <c r="Q28" s="261"/>
      <c r="R28" s="277"/>
      <c r="S28" s="263"/>
      <c r="T28" s="273"/>
      <c r="V28" s="274"/>
    </row>
    <row r="29" spans="1:22" x14ac:dyDescent="0.25">
      <c r="A29" s="233" t="s">
        <v>89</v>
      </c>
      <c r="D29" s="259">
        <f>IF('Customer Info'!$C$33=TRUE,0,IF($C$15&lt;0,0,IF($C$15&gt;2000,2000,$C$15)))</f>
        <v>0</v>
      </c>
      <c r="E29" s="260" t="s">
        <v>19</v>
      </c>
      <c r="F29" s="261" t="s">
        <v>82</v>
      </c>
      <c r="G29" s="276"/>
      <c r="H29" s="276"/>
      <c r="I29" s="278">
        <f>'Rider Rates'!$B$8</f>
        <v>4.6499999999999996E-3</v>
      </c>
      <c r="J29" s="278">
        <f t="shared" si="0"/>
        <v>4.6499999999999996E-3</v>
      </c>
      <c r="K29" s="263" t="s">
        <v>87</v>
      </c>
      <c r="L29" s="91"/>
      <c r="M29" s="91"/>
      <c r="N29" s="91">
        <f t="shared" si="1"/>
        <v>0</v>
      </c>
      <c r="O29" s="91">
        <f t="shared" si="2"/>
        <v>0</v>
      </c>
      <c r="P29" s="258">
        <f>'Rider Rates'!$D$7</f>
        <v>44531</v>
      </c>
      <c r="Q29" s="261"/>
      <c r="R29" s="277"/>
      <c r="S29" s="263"/>
      <c r="T29" s="273"/>
      <c r="V29" s="274"/>
    </row>
    <row r="30" spans="1:22" x14ac:dyDescent="0.25">
      <c r="A30" s="233" t="s">
        <v>90</v>
      </c>
      <c r="D30" s="259">
        <f>IF('Customer Info'!$C$33=TRUE,0,IF($C$15&lt;=2000,0,IF($C$15=0,0,IF($C$15-2000&gt;13000,13000,$C$15-2000))))</f>
        <v>0</v>
      </c>
      <c r="E30" s="260" t="s">
        <v>19</v>
      </c>
      <c r="F30" s="261" t="s">
        <v>82</v>
      </c>
      <c r="G30" s="276"/>
      <c r="H30" s="276"/>
      <c r="I30" s="278">
        <f>'Rider Rates'!$B$9</f>
        <v>4.1900000000000001E-3</v>
      </c>
      <c r="J30" s="278">
        <f t="shared" si="0"/>
        <v>4.1900000000000001E-3</v>
      </c>
      <c r="K30" s="263" t="s">
        <v>87</v>
      </c>
      <c r="L30" s="91"/>
      <c r="M30" s="91"/>
      <c r="N30" s="91">
        <f t="shared" si="1"/>
        <v>0</v>
      </c>
      <c r="O30" s="91">
        <f t="shared" si="2"/>
        <v>0</v>
      </c>
      <c r="P30" s="258">
        <f>'Rider Rates'!$D$7</f>
        <v>44531</v>
      </c>
      <c r="Q30" s="261"/>
      <c r="R30" s="277"/>
      <c r="S30" s="263"/>
      <c r="T30" s="273"/>
      <c r="V30" s="274"/>
    </row>
    <row r="31" spans="1:22" x14ac:dyDescent="0.25">
      <c r="A31" s="233" t="s">
        <v>91</v>
      </c>
      <c r="D31" s="259">
        <f>IF('Customer Info'!$C$33=TRUE,0,IF($C$15=0,0,IF($C$15-15000&gt;=0,$C$15-15000,0)))</f>
        <v>0</v>
      </c>
      <c r="E31" s="260" t="s">
        <v>19</v>
      </c>
      <c r="F31" s="261" t="s">
        <v>82</v>
      </c>
      <c r="G31" s="276"/>
      <c r="H31" s="276"/>
      <c r="I31" s="278">
        <f>'Rider Rates'!$B$10</f>
        <v>3.63E-3</v>
      </c>
      <c r="J31" s="278">
        <f t="shared" si="0"/>
        <v>3.63E-3</v>
      </c>
      <c r="K31" s="263" t="s">
        <v>87</v>
      </c>
      <c r="L31" s="91"/>
      <c r="M31" s="91"/>
      <c r="N31" s="91">
        <f t="shared" si="1"/>
        <v>0</v>
      </c>
      <c r="O31" s="91">
        <f t="shared" si="2"/>
        <v>0</v>
      </c>
      <c r="P31" s="258">
        <f>'Rider Rates'!$D$7</f>
        <v>44531</v>
      </c>
      <c r="Q31" s="261"/>
      <c r="R31" s="277"/>
      <c r="S31" s="263"/>
      <c r="T31" s="273"/>
      <c r="V31" s="274"/>
    </row>
    <row r="32" spans="1:22" x14ac:dyDescent="0.25">
      <c r="A32" s="233" t="s">
        <v>92</v>
      </c>
      <c r="D32" s="259">
        <f>IF($C$15&lt;0,0,$C$15)</f>
        <v>0</v>
      </c>
      <c r="E32" s="260" t="s">
        <v>19</v>
      </c>
      <c r="F32" s="261" t="s">
        <v>82</v>
      </c>
      <c r="G32" s="276"/>
      <c r="H32" s="276"/>
      <c r="I32" s="276">
        <f>'Rider Rates'!$B$16</f>
        <v>0</v>
      </c>
      <c r="J32" s="276">
        <f>SUM(G32:I32)</f>
        <v>0</v>
      </c>
      <c r="K32" s="263" t="s">
        <v>87</v>
      </c>
      <c r="L32" s="91"/>
      <c r="M32" s="91"/>
      <c r="N32" s="91">
        <f t="shared" si="1"/>
        <v>0</v>
      </c>
      <c r="O32" s="91">
        <f t="shared" si="2"/>
        <v>0</v>
      </c>
      <c r="P32" s="258">
        <f>'Rider Rates'!$D$16</f>
        <v>45197</v>
      </c>
      <c r="Q32" s="261"/>
      <c r="R32" s="277"/>
      <c r="S32" s="263"/>
      <c r="T32" s="273"/>
      <c r="V32" s="274"/>
    </row>
    <row r="33" spans="1:22" x14ac:dyDescent="0.25">
      <c r="A33" s="233" t="s">
        <v>93</v>
      </c>
      <c r="D33" s="279">
        <f>$N$23</f>
        <v>9.4</v>
      </c>
      <c r="E33" s="260" t="s">
        <v>94</v>
      </c>
      <c r="F33" s="261" t="s">
        <v>82</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95</v>
      </c>
      <c r="D34" s="259">
        <f>'Customer Info'!$B$22+'Customer Info'!$B$23-'Customer Info'!$B$24</f>
        <v>0</v>
      </c>
      <c r="E34" s="260" t="s">
        <v>19</v>
      </c>
      <c r="F34" s="261" t="s">
        <v>82</v>
      </c>
      <c r="G34" s="276"/>
      <c r="H34" s="276"/>
      <c r="I34" s="276"/>
      <c r="J34" s="281">
        <f>SUM(G34:H34)</f>
        <v>0</v>
      </c>
      <c r="K34" s="263" t="s">
        <v>87</v>
      </c>
      <c r="L34" s="91">
        <f>ROUND(D34*G34,2)</f>
        <v>0</v>
      </c>
      <c r="M34" s="91"/>
      <c r="N34" s="91"/>
      <c r="O34" s="91">
        <f t="shared" si="2"/>
        <v>0</v>
      </c>
      <c r="P34" s="258">
        <f>'Rider Rates'!$D$22</f>
        <v>45444</v>
      </c>
      <c r="Q34" s="261"/>
      <c r="R34" s="277"/>
      <c r="S34" s="263"/>
      <c r="T34" s="273"/>
      <c r="V34" s="274"/>
    </row>
    <row r="35" spans="1:22" x14ac:dyDescent="0.25">
      <c r="A35" s="233" t="s">
        <v>148</v>
      </c>
      <c r="D35" s="259">
        <f>$C$16</f>
        <v>0</v>
      </c>
      <c r="E35" s="260" t="s">
        <v>19</v>
      </c>
      <c r="F35" s="261" t="s">
        <v>82</v>
      </c>
      <c r="G35" s="276"/>
      <c r="H35" s="276"/>
      <c r="I35" s="276"/>
      <c r="J35" s="281">
        <f>SUM(G35:H35)</f>
        <v>0</v>
      </c>
      <c r="K35" s="263" t="s">
        <v>87</v>
      </c>
      <c r="L35" s="91">
        <f>ROUND(D35*G35,2)</f>
        <v>0</v>
      </c>
      <c r="M35" s="91"/>
      <c r="N35" s="91"/>
      <c r="O35" s="91">
        <f t="shared" si="2"/>
        <v>0</v>
      </c>
      <c r="P35" s="258">
        <f>'Rider Rates'!$D$38</f>
        <v>45444</v>
      </c>
      <c r="Q35" s="261"/>
      <c r="R35" s="277"/>
      <c r="S35" s="263"/>
      <c r="T35" s="273"/>
      <c r="V35" s="274"/>
    </row>
    <row r="36" spans="1:22" x14ac:dyDescent="0.25">
      <c r="A36" s="233" t="s">
        <v>149</v>
      </c>
      <c r="D36" s="259">
        <f>$C$17</f>
        <v>0</v>
      </c>
      <c r="E36" s="260" t="s">
        <v>19</v>
      </c>
      <c r="F36" s="255" t="s">
        <v>82</v>
      </c>
      <c r="G36" s="276"/>
      <c r="H36" s="276"/>
      <c r="I36" s="276"/>
      <c r="J36" s="281">
        <f>SUM(G36:H36)</f>
        <v>0</v>
      </c>
      <c r="K36" s="263" t="s">
        <v>87</v>
      </c>
      <c r="L36" s="91">
        <f>ROUND(D36*G36,2)</f>
        <v>0</v>
      </c>
      <c r="M36" s="91"/>
      <c r="N36" s="91"/>
      <c r="O36" s="91">
        <f t="shared" si="2"/>
        <v>0</v>
      </c>
      <c r="P36" s="258">
        <f>'Rider Rates'!D39</f>
        <v>45444</v>
      </c>
      <c r="Q36" s="261"/>
      <c r="R36" s="277"/>
      <c r="S36" s="263"/>
      <c r="T36" s="273"/>
      <c r="V36" s="274"/>
    </row>
    <row r="37" spans="1:22" x14ac:dyDescent="0.25">
      <c r="A37" s="233" t="s">
        <v>97</v>
      </c>
      <c r="D37" s="259">
        <f>C16+C17</f>
        <v>0</v>
      </c>
      <c r="E37" s="260" t="s">
        <v>19</v>
      </c>
      <c r="F37" s="261" t="s">
        <v>82</v>
      </c>
      <c r="G37" s="276"/>
      <c r="H37" s="276"/>
      <c r="I37" s="276"/>
      <c r="J37" s="281">
        <f>SUM(G37:H37)</f>
        <v>0</v>
      </c>
      <c r="K37" s="263" t="s">
        <v>87</v>
      </c>
      <c r="L37" s="91">
        <f>ROUND(D37*G37,2)</f>
        <v>0</v>
      </c>
      <c r="M37" s="91"/>
      <c r="N37" s="91"/>
      <c r="O37" s="91">
        <f t="shared" si="2"/>
        <v>0</v>
      </c>
      <c r="P37" s="258">
        <f>'Rider Rates'!$D$49</f>
        <v>45657</v>
      </c>
      <c r="Q37" s="261"/>
      <c r="R37" s="277"/>
      <c r="S37" s="263"/>
      <c r="T37" s="273"/>
      <c r="V37" s="274"/>
    </row>
    <row r="38" spans="1:22" x14ac:dyDescent="0.25">
      <c r="A38" s="230" t="s">
        <v>98</v>
      </c>
      <c r="D38" s="259">
        <f>IF($C$15&lt;0,0,IF($C$15&gt;833000,833000,$C$15))</f>
        <v>0</v>
      </c>
      <c r="E38" s="260" t="s">
        <v>19</v>
      </c>
      <c r="F38" s="261" t="s">
        <v>82</v>
      </c>
      <c r="G38" s="276"/>
      <c r="H38" s="276"/>
      <c r="I38" s="276">
        <f>'Rider Rates'!D53</f>
        <v>1.8006999999999999E-3</v>
      </c>
      <c r="J38" s="276">
        <f>SUM(G38:I38)</f>
        <v>1.8006999999999999E-3</v>
      </c>
      <c r="K38" s="263" t="s">
        <v>87</v>
      </c>
      <c r="L38" s="91"/>
      <c r="M38" s="91"/>
      <c r="N38" s="91">
        <f>D38*J38</f>
        <v>0</v>
      </c>
      <c r="O38" s="91">
        <f t="shared" si="2"/>
        <v>0</v>
      </c>
      <c r="P38" s="258">
        <f>'Rider Rates'!E53</f>
        <v>45658</v>
      </c>
      <c r="Q38" s="261"/>
      <c r="R38" s="277"/>
      <c r="S38" s="263"/>
      <c r="T38" s="273"/>
      <c r="V38" s="274"/>
    </row>
    <row r="39" spans="1:22" x14ac:dyDescent="0.25">
      <c r="A39" s="233" t="s">
        <v>99</v>
      </c>
      <c r="D39" s="259">
        <f>IF($C$15&lt;0,0,$C$15)</f>
        <v>0</v>
      </c>
      <c r="E39" s="260" t="s">
        <v>19</v>
      </c>
      <c r="F39" s="261" t="s">
        <v>82</v>
      </c>
      <c r="G39" s="276"/>
      <c r="H39" s="276">
        <f>'Rider Rates'!$B$60</f>
        <v>2.3467399999999999E-2</v>
      </c>
      <c r="I39" s="276"/>
      <c r="J39" s="276">
        <f>SUM(G39:I39)</f>
        <v>2.3467399999999999E-2</v>
      </c>
      <c r="K39" s="263" t="s">
        <v>87</v>
      </c>
      <c r="L39" s="91"/>
      <c r="M39" s="91">
        <f>ROUND(D39*H39,2)</f>
        <v>0</v>
      </c>
      <c r="N39" s="282"/>
      <c r="O39" s="91">
        <f t="shared" si="2"/>
        <v>0</v>
      </c>
      <c r="P39" s="258">
        <f>'Rider Rates'!$D$60</f>
        <v>45383</v>
      </c>
      <c r="Q39" s="261"/>
      <c r="R39" s="277"/>
      <c r="S39" s="263"/>
      <c r="T39" s="273"/>
      <c r="V39" s="274"/>
    </row>
    <row r="40" spans="1:22" x14ac:dyDescent="0.25">
      <c r="A40" s="233" t="s">
        <v>101</v>
      </c>
      <c r="D40" s="259">
        <f>IF('Customer Info'!C35=TRUE,0,IF($C$15&lt;0,0,$C$15))</f>
        <v>0</v>
      </c>
      <c r="E40" s="260" t="s">
        <v>19</v>
      </c>
      <c r="F40" s="261" t="s">
        <v>82</v>
      </c>
      <c r="G40" s="276"/>
      <c r="H40" s="276"/>
      <c r="I40" s="276">
        <f>'Rider Rates'!$B$74+'Rider Rates'!$C$74</f>
        <v>0</v>
      </c>
      <c r="J40" s="276">
        <f t="shared" si="0"/>
        <v>0</v>
      </c>
      <c r="K40" s="263" t="s">
        <v>87</v>
      </c>
      <c r="L40" s="91"/>
      <c r="M40" s="91"/>
      <c r="N40" s="91">
        <f>ROUND($D$40*'Rider Rates'!$B$74,2)+ROUND($D$40*'Rider Rates'!$C$74,2)</f>
        <v>0</v>
      </c>
      <c r="O40" s="91">
        <f t="shared" si="2"/>
        <v>0</v>
      </c>
      <c r="P40" s="258">
        <f>'Rider Rates'!$D$74</f>
        <v>44531</v>
      </c>
      <c r="Q40" s="261"/>
      <c r="R40" s="277"/>
      <c r="S40" s="263"/>
      <c r="T40" s="273"/>
      <c r="V40" s="274"/>
    </row>
    <row r="41" spans="1:22" x14ac:dyDescent="0.25">
      <c r="A41" s="233" t="s">
        <v>101</v>
      </c>
      <c r="D41" s="259"/>
      <c r="E41" s="260" t="s">
        <v>57</v>
      </c>
      <c r="F41" s="261"/>
      <c r="G41" s="276"/>
      <c r="H41" s="276"/>
      <c r="I41" s="283">
        <f>'Rider Rates'!$B$81</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102</v>
      </c>
      <c r="D42" s="279">
        <f>$N$23</f>
        <v>9.4</v>
      </c>
      <c r="E42" s="260" t="s">
        <v>94</v>
      </c>
      <c r="F42" s="261" t="s">
        <v>82</v>
      </c>
      <c r="G42" s="284"/>
      <c r="H42" s="253"/>
      <c r="I42" s="285">
        <f>'Rider Rates'!$B$89</f>
        <v>4.94232E-2</v>
      </c>
      <c r="J42" s="285">
        <f t="shared" si="0"/>
        <v>4.94232E-2</v>
      </c>
      <c r="K42" s="263"/>
      <c r="L42" s="91"/>
      <c r="M42" s="91"/>
      <c r="N42" s="91">
        <f>ROUND(D42*I42,2)</f>
        <v>0.46</v>
      </c>
      <c r="O42" s="91">
        <f t="shared" si="2"/>
        <v>0.46</v>
      </c>
      <c r="P42" s="258">
        <f>'Rider Rates'!$D$89</f>
        <v>45562</v>
      </c>
      <c r="Q42" s="261"/>
      <c r="R42" s="277"/>
      <c r="S42" s="263"/>
      <c r="T42" s="273"/>
      <c r="V42" s="274"/>
    </row>
    <row r="43" spans="1:22" x14ac:dyDescent="0.25">
      <c r="A43" s="233" t="s">
        <v>103</v>
      </c>
      <c r="D43" s="279">
        <f>$N$23</f>
        <v>9.4</v>
      </c>
      <c r="E43" s="260" t="s">
        <v>94</v>
      </c>
      <c r="F43" s="261" t="s">
        <v>82</v>
      </c>
      <c r="G43" s="286"/>
      <c r="H43" s="253"/>
      <c r="I43" s="285">
        <f>'Rider Rates'!$B$91</f>
        <v>6.6985699999999995E-2</v>
      </c>
      <c r="J43" s="285">
        <f t="shared" si="0"/>
        <v>6.6985699999999995E-2</v>
      </c>
      <c r="K43" s="263"/>
      <c r="L43" s="91"/>
      <c r="M43" s="91"/>
      <c r="N43" s="91">
        <f>ROUND(D43*I43,2)</f>
        <v>0.63</v>
      </c>
      <c r="O43" s="91">
        <f t="shared" si="2"/>
        <v>0.63</v>
      </c>
      <c r="P43" s="258">
        <f>'Rider Rates'!$D$91</f>
        <v>45167</v>
      </c>
      <c r="Q43" s="261"/>
      <c r="R43" s="277"/>
      <c r="S43" s="263"/>
      <c r="T43" s="273"/>
      <c r="V43" s="274"/>
    </row>
    <row r="44" spans="1:22" x14ac:dyDescent="0.25">
      <c r="A44" s="233" t="s">
        <v>104</v>
      </c>
      <c r="D44" s="279"/>
      <c r="E44" s="260" t="s">
        <v>57</v>
      </c>
      <c r="F44" s="261"/>
      <c r="G44" s="286"/>
      <c r="H44" s="253"/>
      <c r="I44" s="283">
        <f>'Rider Rates'!$B$95</f>
        <v>17.53</v>
      </c>
      <c r="J44" s="283">
        <f t="shared" si="0"/>
        <v>17.53</v>
      </c>
      <c r="K44" s="263"/>
      <c r="L44" s="91"/>
      <c r="M44" s="91"/>
      <c r="N44" s="91">
        <f>I44</f>
        <v>17.53</v>
      </c>
      <c r="O44" s="91">
        <f t="shared" si="2"/>
        <v>17.53</v>
      </c>
      <c r="P44" s="258">
        <f>'Rider Rates'!$D$95</f>
        <v>45657</v>
      </c>
      <c r="Q44" s="261"/>
      <c r="R44" s="277"/>
      <c r="S44" s="263"/>
      <c r="T44" s="273"/>
      <c r="V44" s="274"/>
    </row>
    <row r="45" spans="1:22" x14ac:dyDescent="0.25">
      <c r="A45" s="233" t="s">
        <v>105</v>
      </c>
      <c r="D45" s="259">
        <f>IF($C$15&lt;0,0,$C$15)</f>
        <v>0</v>
      </c>
      <c r="E45" s="260" t="s">
        <v>19</v>
      </c>
      <c r="F45" s="261" t="s">
        <v>82</v>
      </c>
      <c r="G45" s="276"/>
      <c r="H45" s="276"/>
      <c r="I45" s="276"/>
      <c r="J45" s="276">
        <f>'Rider Rates'!$B$99</f>
        <v>0</v>
      </c>
      <c r="K45" s="263" t="s">
        <v>87</v>
      </c>
      <c r="L45" s="91"/>
      <c r="M45" s="91"/>
      <c r="N45" s="91"/>
      <c r="O45" s="91">
        <f>ROUND($D45*('Rider Rates'!B$99),2)</f>
        <v>0</v>
      </c>
      <c r="P45" s="258">
        <f>'Rider Rates'!$D$99</f>
        <v>44531</v>
      </c>
      <c r="Q45" s="261"/>
      <c r="R45" s="277"/>
      <c r="S45" s="263"/>
      <c r="T45" s="273"/>
      <c r="V45" s="274"/>
    </row>
    <row r="46" spans="1:22" x14ac:dyDescent="0.25">
      <c r="A46" s="233" t="s">
        <v>106</v>
      </c>
      <c r="D46" s="279">
        <f>$N$23</f>
        <v>9.4</v>
      </c>
      <c r="E46" s="260" t="s">
        <v>94</v>
      </c>
      <c r="F46" s="261" t="s">
        <v>82</v>
      </c>
      <c r="G46" s="286"/>
      <c r="H46" s="253"/>
      <c r="I46" s="285">
        <f>'Rider Rates'!$B$109</f>
        <v>0.2363101</v>
      </c>
      <c r="J46" s="285">
        <f t="shared" si="0"/>
        <v>0.2363101</v>
      </c>
      <c r="K46" s="263"/>
      <c r="L46" s="91"/>
      <c r="M46" s="91"/>
      <c r="N46" s="91">
        <f>ROUND(D46*I46,2)</f>
        <v>2.2200000000000002</v>
      </c>
      <c r="O46" s="91">
        <f t="shared" si="2"/>
        <v>2.2200000000000002</v>
      </c>
      <c r="P46" s="258">
        <f>'Rider Rates'!$D$109</f>
        <v>45622</v>
      </c>
      <c r="Q46" s="261"/>
      <c r="R46" s="277"/>
      <c r="S46" s="263"/>
      <c r="T46" s="273"/>
      <c r="V46" s="274"/>
    </row>
    <row r="47" spans="1:22" x14ac:dyDescent="0.25">
      <c r="A47" s="233" t="s">
        <v>107</v>
      </c>
      <c r="D47" s="279"/>
      <c r="E47" s="260" t="s">
        <v>57</v>
      </c>
      <c r="F47" s="261"/>
      <c r="G47" s="286"/>
      <c r="H47" s="253"/>
      <c r="I47" s="283">
        <f>'Rider Rates'!$B$113</f>
        <v>0</v>
      </c>
      <c r="J47" s="283">
        <f t="shared" si="0"/>
        <v>0</v>
      </c>
      <c r="K47" s="263"/>
      <c r="L47" s="91"/>
      <c r="M47" s="91"/>
      <c r="N47" s="91">
        <f>I47</f>
        <v>0</v>
      </c>
      <c r="O47" s="91">
        <f t="shared" si="2"/>
        <v>0</v>
      </c>
      <c r="P47" s="258">
        <f>'Rider Rates'!$D$113</f>
        <v>44894</v>
      </c>
      <c r="Q47" s="261"/>
      <c r="R47" s="277"/>
      <c r="S47" s="263"/>
      <c r="T47" s="273"/>
      <c r="V47" s="274"/>
    </row>
    <row r="48" spans="1:22" x14ac:dyDescent="0.25">
      <c r="A48" s="233" t="s">
        <v>108</v>
      </c>
      <c r="D48" s="279"/>
      <c r="E48" s="260" t="s">
        <v>57</v>
      </c>
      <c r="F48" s="261"/>
      <c r="G48" s="286"/>
      <c r="H48" s="253"/>
      <c r="I48" s="287">
        <f>'Rider Rates'!B126</f>
        <v>4.84</v>
      </c>
      <c r="J48" s="283">
        <f t="shared" si="0"/>
        <v>4.84</v>
      </c>
      <c r="K48" s="263"/>
      <c r="L48" s="91"/>
      <c r="M48" s="91"/>
      <c r="N48" s="288">
        <f>I48</f>
        <v>4.84</v>
      </c>
      <c r="O48" s="91">
        <f t="shared" si="2"/>
        <v>4.84</v>
      </c>
      <c r="P48" s="258">
        <f>'Rider Rates'!D126</f>
        <v>45593</v>
      </c>
      <c r="Q48" s="261"/>
      <c r="R48" s="277"/>
      <c r="S48" s="263"/>
      <c r="T48" s="273"/>
      <c r="V48" s="274"/>
    </row>
    <row r="49" spans="1:22" x14ac:dyDescent="0.25">
      <c r="A49" s="233" t="s">
        <v>109</v>
      </c>
      <c r="D49" s="259">
        <f>C16+C17</f>
        <v>0</v>
      </c>
      <c r="E49" s="260" t="s">
        <v>19</v>
      </c>
      <c r="F49" s="261" t="s">
        <v>82</v>
      </c>
      <c r="G49" s="276"/>
      <c r="H49" s="276"/>
      <c r="I49" s="285"/>
      <c r="J49" s="281">
        <f>SUM(G49:H49)</f>
        <v>0</v>
      </c>
      <c r="K49" s="263" t="s">
        <v>87</v>
      </c>
      <c r="L49" s="91">
        <f>ROUND(D49*G49,2)</f>
        <v>0</v>
      </c>
      <c r="M49" s="91"/>
      <c r="N49" s="91"/>
      <c r="O49" s="91">
        <f t="shared" si="2"/>
        <v>0</v>
      </c>
      <c r="P49" s="258">
        <f>'Rider Rates'!$D$116</f>
        <v>44531</v>
      </c>
      <c r="Q49" s="261"/>
      <c r="R49" s="277"/>
      <c r="S49" s="263"/>
      <c r="T49" s="273"/>
      <c r="V49" s="274"/>
    </row>
    <row r="50" spans="1:22" x14ac:dyDescent="0.25">
      <c r="A50" s="233" t="s">
        <v>110</v>
      </c>
      <c r="D50" s="259">
        <f>IF($C$15&lt;1,0,$C$15)</f>
        <v>0</v>
      </c>
      <c r="E50" s="260" t="s">
        <v>19</v>
      </c>
      <c r="F50" s="255" t="s">
        <v>82</v>
      </c>
      <c r="G50" s="289"/>
      <c r="H50" s="289"/>
      <c r="I50" s="290">
        <f>'Rider Rates'!B122</f>
        <v>0</v>
      </c>
      <c r="J50" s="290">
        <f>SUM(G50:I50)</f>
        <v>0</v>
      </c>
      <c r="K50" s="263" t="s">
        <v>87</v>
      </c>
      <c r="L50" s="91"/>
      <c r="M50" s="91"/>
      <c r="N50" s="91">
        <f>D50*J50</f>
        <v>0</v>
      </c>
      <c r="O50" s="91">
        <f>SUM(L50:N50)</f>
        <v>0</v>
      </c>
      <c r="P50" s="258">
        <f>'Rider Rates'!D122</f>
        <v>45657</v>
      </c>
      <c r="Q50" s="261"/>
      <c r="R50" s="277"/>
      <c r="S50" s="263"/>
      <c r="T50" s="273"/>
      <c r="V50" s="274"/>
    </row>
    <row r="51" spans="1:22" x14ac:dyDescent="0.25">
      <c r="A51" s="230" t="s">
        <v>169</v>
      </c>
      <c r="D51" s="259">
        <f>IF(C15&lt;0,0,IF(C15&gt;833000,833000,C15))</f>
        <v>0</v>
      </c>
      <c r="E51" s="260" t="s">
        <v>19</v>
      </c>
      <c r="F51" s="261" t="s">
        <v>82</v>
      </c>
      <c r="G51" s="291"/>
      <c r="H51" s="291"/>
      <c r="I51" s="291">
        <f>'Rider Rates'!$B$130</f>
        <v>2.9050000000000001E-4</v>
      </c>
      <c r="J51" s="291">
        <f>SUM(G51:I51)</f>
        <v>2.9050000000000001E-4</v>
      </c>
      <c r="K51" s="263" t="s">
        <v>87</v>
      </c>
      <c r="L51" s="292"/>
      <c r="M51" s="292"/>
      <c r="N51" s="292">
        <f>IF(D51*J51&gt;'Rider Rates'!$C$130,'Rider Rates'!$C$130,D51*J51)</f>
        <v>0</v>
      </c>
      <c r="O51" s="292">
        <f>SUM(L51:N51)</f>
        <v>0</v>
      </c>
      <c r="P51" s="293">
        <f>'Rider Rates'!$E$130</f>
        <v>45658</v>
      </c>
      <c r="Q51" s="261"/>
      <c r="R51" s="277"/>
      <c r="S51" s="263"/>
      <c r="T51" s="273"/>
      <c r="V51" s="274"/>
    </row>
    <row r="52" spans="1:22" x14ac:dyDescent="0.25">
      <c r="A52" s="230" t="s">
        <v>170</v>
      </c>
      <c r="D52" s="259">
        <f>IF(C15&gt;833000,C15-833000,0)</f>
        <v>0</v>
      </c>
      <c r="E52" s="260" t="s">
        <v>19</v>
      </c>
      <c r="F52" s="261" t="s">
        <v>82</v>
      </c>
      <c r="G52" s="291"/>
      <c r="H52" s="291"/>
      <c r="I52" s="291">
        <f>'Rider Rates'!$B$131</f>
        <v>0</v>
      </c>
      <c r="J52" s="291">
        <f>SUM(G52:I52)</f>
        <v>0</v>
      </c>
      <c r="K52" s="263" t="s">
        <v>87</v>
      </c>
      <c r="L52" s="292"/>
      <c r="M52" s="292"/>
      <c r="N52" s="292">
        <f>D52*J52</f>
        <v>0</v>
      </c>
      <c r="O52" s="292">
        <f>SUM(L52:N52)</f>
        <v>0</v>
      </c>
      <c r="P52" s="293">
        <f>'Rider Rates'!$E$131</f>
        <v>45658</v>
      </c>
      <c r="Q52" s="261"/>
      <c r="R52" s="277"/>
      <c r="S52" s="263"/>
      <c r="T52" s="273"/>
      <c r="V52" s="274"/>
    </row>
    <row r="53" spans="1:22" x14ac:dyDescent="0.25">
      <c r="A53" s="230" t="s">
        <v>112</v>
      </c>
      <c r="D53" s="259">
        <f>C15</f>
        <v>0</v>
      </c>
      <c r="E53" s="260" t="s">
        <v>19</v>
      </c>
      <c r="F53" s="255" t="s">
        <v>82</v>
      </c>
      <c r="G53" s="276"/>
      <c r="H53" s="276"/>
      <c r="I53" s="276">
        <f>'Rider Rates'!$B$135</f>
        <v>0</v>
      </c>
      <c r="J53" s="281">
        <f>SUM(G53:I53)</f>
        <v>0</v>
      </c>
      <c r="K53" s="263" t="s">
        <v>87</v>
      </c>
      <c r="L53" s="91"/>
      <c r="M53" s="91"/>
      <c r="N53" s="91">
        <f>D53*J53</f>
        <v>0</v>
      </c>
      <c r="O53" s="91">
        <f>SUM(L53:N53)</f>
        <v>0</v>
      </c>
      <c r="P53" s="258">
        <f>'Rider Rates'!$D$135</f>
        <v>44531</v>
      </c>
      <c r="Q53" s="261"/>
      <c r="R53" s="277"/>
      <c r="S53" s="263"/>
      <c r="T53" s="273"/>
      <c r="V53" s="274"/>
    </row>
    <row r="54" spans="1:22" x14ac:dyDescent="0.25">
      <c r="A54" s="230" t="s">
        <v>113</v>
      </c>
      <c r="D54" s="259"/>
      <c r="E54" s="260" t="s">
        <v>57</v>
      </c>
      <c r="F54" s="261" t="s">
        <v>82</v>
      </c>
      <c r="G54" s="262"/>
      <c r="H54" s="262"/>
      <c r="I54" s="262">
        <f>'Rider Rates'!$B$142</f>
        <v>0</v>
      </c>
      <c r="J54" s="262">
        <f>SUM(G54:I54)</f>
        <v>0</v>
      </c>
      <c r="K54" s="263"/>
      <c r="L54" s="256"/>
      <c r="M54" s="256"/>
      <c r="N54" s="256">
        <f>J54</f>
        <v>0</v>
      </c>
      <c r="O54" s="256">
        <f>SUM(L54:N54)</f>
        <v>0</v>
      </c>
      <c r="P54" s="293">
        <f>'Rider Rates'!$D$142</f>
        <v>44531</v>
      </c>
      <c r="Q54" s="261"/>
      <c r="R54" s="277"/>
      <c r="S54" s="263"/>
      <c r="T54" s="273"/>
      <c r="V54" s="274"/>
    </row>
    <row r="55" spans="1:22" x14ac:dyDescent="0.25">
      <c r="A55" s="230" t="s">
        <v>114</v>
      </c>
      <c r="D55" s="259"/>
      <c r="E55" s="260"/>
      <c r="F55" s="261"/>
      <c r="G55" s="262"/>
      <c r="H55" s="262"/>
      <c r="I55" s="262"/>
      <c r="J55" s="262"/>
      <c r="K55" s="263"/>
      <c r="L55" s="256"/>
      <c r="M55" s="256"/>
      <c r="N55" s="256"/>
      <c r="O55" s="256"/>
      <c r="P55" s="293"/>
      <c r="Q55" s="261"/>
      <c r="R55" s="277"/>
      <c r="S55" s="263"/>
      <c r="T55" s="273"/>
      <c r="V55" s="274"/>
    </row>
    <row r="56" spans="1:22" x14ac:dyDescent="0.25">
      <c r="A56" s="234" t="s">
        <v>115</v>
      </c>
      <c r="B56" s="271"/>
      <c r="C56" s="271"/>
      <c r="D56" s="294"/>
      <c r="E56" s="295"/>
      <c r="F56" s="296"/>
      <c r="G56" s="296"/>
      <c r="H56" s="296"/>
      <c r="I56" s="296"/>
      <c r="J56" s="296"/>
      <c r="K56" s="297"/>
      <c r="L56" s="298">
        <f>SUM(L27:L55)</f>
        <v>0</v>
      </c>
      <c r="M56" s="298">
        <f>SUM(M27:M55)</f>
        <v>0</v>
      </c>
      <c r="N56" s="298">
        <f>SUM(N27:N55)</f>
        <v>25.68</v>
      </c>
      <c r="O56" s="298">
        <f>SUM(O27:O55)</f>
        <v>25.68</v>
      </c>
      <c r="P56" s="299"/>
      <c r="Q56" s="261"/>
      <c r="R56" s="277"/>
      <c r="S56" s="263"/>
      <c r="T56" s="273"/>
      <c r="V56" s="274"/>
    </row>
    <row r="57" spans="1:22" x14ac:dyDescent="0.25">
      <c r="D57" s="259"/>
      <c r="E57" s="260"/>
      <c r="F57" s="261"/>
      <c r="G57" s="261"/>
      <c r="H57" s="261"/>
      <c r="I57" s="261"/>
      <c r="J57" s="277"/>
      <c r="K57" s="263"/>
      <c r="L57" s="261"/>
      <c r="M57" s="261"/>
      <c r="N57" s="261"/>
      <c r="O57" s="261"/>
      <c r="P57" s="300"/>
      <c r="Q57" s="261"/>
      <c r="R57" s="277"/>
      <c r="S57" s="263"/>
      <c r="T57" s="273"/>
      <c r="V57" s="274"/>
    </row>
    <row r="58" spans="1:22" x14ac:dyDescent="0.25">
      <c r="A58" s="301" t="s">
        <v>116</v>
      </c>
      <c r="B58" s="241"/>
      <c r="C58" s="241"/>
      <c r="D58" s="241"/>
      <c r="E58" s="241"/>
      <c r="F58" s="241"/>
      <c r="G58" s="241"/>
      <c r="H58" s="241"/>
      <c r="I58" s="241"/>
      <c r="J58" s="241"/>
      <c r="K58" s="241"/>
      <c r="L58" s="302">
        <f>L23+L56</f>
        <v>0</v>
      </c>
      <c r="M58" s="302">
        <f>M23+M56</f>
        <v>0</v>
      </c>
      <c r="N58" s="302">
        <f>N23+N56</f>
        <v>35.08</v>
      </c>
      <c r="O58" s="303">
        <f>O23+O56</f>
        <v>35.08</v>
      </c>
      <c r="P58" s="303"/>
      <c r="Q58" s="261"/>
      <c r="R58" s="304"/>
      <c r="S58" s="263"/>
      <c r="T58" s="273"/>
      <c r="V58" s="263"/>
    </row>
    <row r="59" spans="1:22" x14ac:dyDescent="0.25">
      <c r="Q59" s="264"/>
      <c r="R59" s="264"/>
      <c r="S59" s="264"/>
      <c r="T59" s="305"/>
    </row>
    <row r="60" spans="1:22" x14ac:dyDescent="0.25">
      <c r="Q60" s="264"/>
      <c r="R60" s="264"/>
      <c r="S60" s="264"/>
      <c r="T60" s="305"/>
    </row>
    <row r="61" spans="1:22" x14ac:dyDescent="0.25">
      <c r="A61" s="264" t="s">
        <v>117</v>
      </c>
      <c r="O61" s="273">
        <f>O21+O56</f>
        <v>35.08</v>
      </c>
      <c r="Q61" s="264"/>
      <c r="R61" s="264"/>
      <c r="S61" s="264"/>
      <c r="T61" s="305"/>
    </row>
    <row r="62" spans="1:22" x14ac:dyDescent="0.25">
      <c r="A62" s="264" t="s">
        <v>2</v>
      </c>
      <c r="B62" s="264"/>
      <c r="C62" s="264"/>
      <c r="D62" s="264"/>
      <c r="E62" s="264"/>
      <c r="F62" s="264"/>
      <c r="G62" s="264"/>
      <c r="H62" s="264"/>
    </row>
    <row r="63" spans="1:22" x14ac:dyDescent="0.25">
      <c r="A63" s="271" t="s">
        <v>118</v>
      </c>
      <c r="O63" s="306">
        <f>IF($D$17&lt;0,O58,IF(O58&gt;O61,O58,O61))</f>
        <v>35.08</v>
      </c>
      <c r="P63" s="261"/>
    </row>
    <row r="64" spans="1:22" ht="15" customHeight="1" x14ac:dyDescent="0.25">
      <c r="A64" s="271"/>
      <c r="O64" s="306"/>
      <c r="P64" s="261"/>
    </row>
    <row r="65" spans="1:16" x14ac:dyDescent="0.25">
      <c r="A65" s="271"/>
      <c r="B65" s="264"/>
      <c r="C65" s="264"/>
      <c r="D65" s="264"/>
      <c r="E65" s="264"/>
      <c r="F65" s="264"/>
      <c r="G65" s="264"/>
      <c r="H65" s="264"/>
      <c r="I65" s="264" t="s">
        <v>119</v>
      </c>
      <c r="J65" s="264"/>
      <c r="K65" s="264"/>
      <c r="L65" s="307"/>
      <c r="M65" s="307"/>
      <c r="N65" s="307"/>
      <c r="O65" s="307">
        <f>ROUND(IF($C$15&lt;1,0,O58/($C$15*100)*10000),2)</f>
        <v>0</v>
      </c>
      <c r="P65" s="264" t="s">
        <v>120</v>
      </c>
    </row>
    <row r="66" spans="1:16" x14ac:dyDescent="0.25">
      <c r="H66" s="308"/>
      <c r="I66" s="309" t="s">
        <v>121</v>
      </c>
      <c r="O66" s="310">
        <f>ROUND(IF($C$15&lt;1,0,(L58)/($C$15*100)*10000),2)</f>
        <v>0</v>
      </c>
      <c r="P66" s="236" t="s">
        <v>120</v>
      </c>
    </row>
  </sheetData>
  <sheetProtection algorithmName="SHA-512" hashValue="xKqUqMY0R21FmtbsVcYuu0zvJABhdjjTrynh6bV92VNrx1o3Tl66ZaLarlUFde8Lihz5bX+8C1RZSpyIH0f4MA==" saltValue="Ittne6Jr5j4LR1S22+CDy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30480</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6"/>
  <sheetViews>
    <sheetView topLeftCell="A12" zoomScale="80" zoomScaleNormal="80" workbookViewId="0">
      <selection activeCell="B22" sqref="B22"/>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58" t="s">
        <v>52</v>
      </c>
      <c r="B1" s="458"/>
      <c r="C1" s="458"/>
      <c r="D1" s="458"/>
      <c r="E1" s="458"/>
      <c r="F1" s="458"/>
      <c r="G1" s="458"/>
      <c r="H1" s="458"/>
      <c r="I1" s="458"/>
      <c r="J1" s="458"/>
      <c r="K1" s="458"/>
      <c r="L1" s="458"/>
      <c r="M1" s="458"/>
      <c r="N1" s="458"/>
      <c r="O1" s="458"/>
      <c r="P1" s="458"/>
    </row>
    <row r="2" spans="1:30" ht="21" x14ac:dyDescent="0.4">
      <c r="A2" s="458" t="s">
        <v>141</v>
      </c>
      <c r="B2" s="458"/>
      <c r="C2" s="458"/>
      <c r="D2" s="458"/>
      <c r="E2" s="458"/>
      <c r="F2" s="458"/>
      <c r="G2" s="458"/>
      <c r="H2" s="458"/>
      <c r="I2" s="458"/>
      <c r="J2" s="458"/>
      <c r="K2" s="458"/>
      <c r="L2" s="458"/>
      <c r="M2" s="458"/>
      <c r="N2" s="458"/>
      <c r="O2" s="458"/>
      <c r="P2" s="458"/>
    </row>
    <row r="3" spans="1:30" ht="17.399999999999999" x14ac:dyDescent="0.3">
      <c r="A3" s="459" t="s">
        <v>200</v>
      </c>
      <c r="B3" s="459"/>
      <c r="C3" s="459"/>
      <c r="D3" s="459"/>
      <c r="E3" s="459"/>
      <c r="F3" s="459"/>
      <c r="G3" s="459"/>
      <c r="H3" s="459"/>
      <c r="I3" s="459"/>
      <c r="J3" s="459"/>
      <c r="K3" s="459"/>
      <c r="L3" s="459"/>
      <c r="M3" s="459"/>
      <c r="N3" s="459"/>
      <c r="O3" s="459"/>
      <c r="P3" s="459"/>
    </row>
    <row r="4" spans="1:30" ht="15.6" x14ac:dyDescent="0.3">
      <c r="A4" s="460" t="str">
        <f>'Customer Info'!B12</f>
        <v>Breakdown of Charges Based on Entered Information</v>
      </c>
      <c r="B4" s="460"/>
      <c r="C4" s="460"/>
      <c r="D4" s="460"/>
      <c r="E4" s="460"/>
      <c r="F4" s="460"/>
      <c r="G4" s="460"/>
      <c r="H4" s="460"/>
      <c r="I4" s="460"/>
      <c r="J4" s="460"/>
      <c r="K4" s="460"/>
      <c r="L4" s="460"/>
      <c r="M4" s="460"/>
      <c r="N4" s="460"/>
      <c r="O4" s="460"/>
      <c r="P4" s="460"/>
    </row>
    <row r="5" spans="1:30" ht="15" x14ac:dyDescent="0.25">
      <c r="A5" s="231"/>
      <c r="B5" s="231"/>
      <c r="C5" s="231"/>
      <c r="D5" s="231"/>
      <c r="E5" s="231"/>
      <c r="F5" s="231"/>
      <c r="G5" s="231"/>
      <c r="H5" s="231" t="s">
        <v>201</v>
      </c>
      <c r="I5" s="231"/>
      <c r="J5" s="231"/>
      <c r="K5" s="231"/>
    </row>
    <row r="6" spans="1:30" x14ac:dyDescent="0.25">
      <c r="A6" s="232">
        <f ca="1">TODAY()</f>
        <v>45656</v>
      </c>
      <c r="B6" s="233"/>
      <c r="C6" s="232"/>
      <c r="D6" s="232"/>
      <c r="E6" s="232"/>
      <c r="F6" s="232"/>
      <c r="G6" s="232"/>
      <c r="H6" s="232"/>
      <c r="I6" s="232"/>
    </row>
    <row r="7" spans="1:30" ht="24.6" x14ac:dyDescent="0.4">
      <c r="A7" s="461"/>
      <c r="B7" s="461"/>
      <c r="C7" s="461"/>
      <c r="D7" s="461"/>
      <c r="E7" s="461"/>
      <c r="F7" s="461"/>
      <c r="G7" s="461"/>
      <c r="H7" s="461"/>
      <c r="I7" s="461"/>
      <c r="J7" s="461"/>
      <c r="K7" s="461"/>
      <c r="L7" s="461"/>
      <c r="M7" s="461"/>
      <c r="N7" s="461"/>
      <c r="O7" s="461"/>
      <c r="P7" s="461"/>
    </row>
    <row r="9" spans="1:30" ht="15" x14ac:dyDescent="0.25">
      <c r="A9" s="234" t="s">
        <v>5</v>
      </c>
      <c r="B9" s="235"/>
      <c r="C9" s="236">
        <f>'Customer Info'!B7</f>
        <v>0</v>
      </c>
      <c r="I9" s="237"/>
    </row>
    <row r="10" spans="1:30" ht="15" x14ac:dyDescent="0.25">
      <c r="A10" s="238" t="s">
        <v>55</v>
      </c>
      <c r="B10" s="235"/>
      <c r="C10" s="236">
        <f>'Customer Info'!B8</f>
        <v>0</v>
      </c>
    </row>
    <row r="11" spans="1:30" x14ac:dyDescent="0.25">
      <c r="A11" s="234" t="s">
        <v>124</v>
      </c>
      <c r="B11" s="239">
        <f>'Customer Info'!B9</f>
        <v>1</v>
      </c>
      <c r="C11" s="240" t="str">
        <f>LOOKUP(B11,R11:AD11,R12:AD12)</f>
        <v>January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2"/>
      <c r="B12" s="462"/>
      <c r="C12" s="462"/>
      <c r="D12" s="462"/>
      <c r="E12" s="462"/>
      <c r="F12" s="462"/>
      <c r="G12" s="462"/>
      <c r="H12" s="462"/>
      <c r="I12" s="462"/>
      <c r="J12" s="241"/>
      <c r="K12" s="241"/>
      <c r="L12" s="242"/>
      <c r="M12" s="242"/>
      <c r="N12" s="242"/>
      <c r="O12" s="242"/>
      <c r="P12" s="242"/>
      <c r="R12" s="230" t="s">
        <v>57</v>
      </c>
      <c r="S12" s="243" t="s">
        <v>58</v>
      </c>
      <c r="T12" s="243" t="s">
        <v>59</v>
      </c>
      <c r="U12" s="243" t="s">
        <v>60</v>
      </c>
      <c r="V12" s="243" t="s">
        <v>61</v>
      </c>
      <c r="W12" s="243" t="s">
        <v>62</v>
      </c>
      <c r="X12" s="243" t="s">
        <v>63</v>
      </c>
      <c r="Y12" s="243" t="s">
        <v>64</v>
      </c>
      <c r="Z12" s="243" t="s">
        <v>65</v>
      </c>
      <c r="AA12" s="243" t="s">
        <v>66</v>
      </c>
      <c r="AB12" s="243" t="s">
        <v>67</v>
      </c>
      <c r="AC12" s="243" t="s">
        <v>68</v>
      </c>
      <c r="AD12" s="243" t="s">
        <v>69</v>
      </c>
    </row>
    <row r="13" spans="1:30" x14ac:dyDescent="0.25">
      <c r="A13" s="244" t="s">
        <v>70</v>
      </c>
      <c r="B13" s="245"/>
      <c r="C13" s="245"/>
      <c r="D13" s="245"/>
      <c r="E13" s="245"/>
      <c r="F13" s="245"/>
      <c r="G13" s="245"/>
      <c r="H13" s="245"/>
      <c r="I13" s="245"/>
      <c r="R13" s="233" t="s">
        <v>145</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71</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172</v>
      </c>
      <c r="B16" s="247"/>
      <c r="C16" s="248">
        <f>'Customer Info'!B22</f>
        <v>0</v>
      </c>
      <c r="D16" s="247" t="s">
        <v>19</v>
      </c>
      <c r="E16" s="247"/>
      <c r="F16" s="249"/>
      <c r="G16" s="234" t="s">
        <v>2</v>
      </c>
      <c r="H16" s="247"/>
    </row>
    <row r="17" spans="1:22" x14ac:dyDescent="0.25">
      <c r="A17" s="247" t="s">
        <v>173</v>
      </c>
      <c r="B17" s="247"/>
      <c r="C17" s="248">
        <f>'Customer Info'!B23</f>
        <v>0</v>
      </c>
      <c r="D17" s="250" t="s">
        <v>19</v>
      </c>
      <c r="E17" s="249"/>
      <c r="F17" s="249"/>
      <c r="G17" s="234" t="s">
        <v>2</v>
      </c>
      <c r="H17" s="247"/>
      <c r="I17" s="251" t="s">
        <v>2</v>
      </c>
    </row>
    <row r="19" spans="1:22" x14ac:dyDescent="0.25">
      <c r="A19" s="244" t="s">
        <v>72</v>
      </c>
      <c r="B19" s="245"/>
      <c r="C19" s="245"/>
      <c r="D19" s="245"/>
      <c r="E19" s="245"/>
      <c r="F19" s="245"/>
      <c r="G19" s="454" t="s">
        <v>73</v>
      </c>
      <c r="H19" s="455"/>
      <c r="I19" s="455"/>
      <c r="J19" s="456"/>
      <c r="K19" s="245"/>
      <c r="L19" s="457" t="s">
        <v>74</v>
      </c>
      <c r="M19" s="457"/>
      <c r="N19" s="457"/>
      <c r="O19" s="457"/>
    </row>
    <row r="20" spans="1:22" x14ac:dyDescent="0.25">
      <c r="G20" s="252" t="s">
        <v>75</v>
      </c>
      <c r="H20" s="252" t="s">
        <v>76</v>
      </c>
      <c r="I20" s="252" t="s">
        <v>77</v>
      </c>
      <c r="J20" s="253" t="s">
        <v>78</v>
      </c>
      <c r="L20" s="254" t="s">
        <v>75</v>
      </c>
      <c r="M20" s="254" t="s">
        <v>76</v>
      </c>
      <c r="N20" s="254" t="s">
        <v>77</v>
      </c>
      <c r="O20" s="254" t="s">
        <v>78</v>
      </c>
      <c r="P20" s="255" t="s">
        <v>79</v>
      </c>
    </row>
    <row r="21" spans="1:22" x14ac:dyDescent="0.25">
      <c r="A21" s="230" t="s">
        <v>80</v>
      </c>
      <c r="G21" s="256"/>
      <c r="H21" s="256"/>
      <c r="I21" s="256">
        <f>'Rider Rates'!B149</f>
        <v>138.5</v>
      </c>
      <c r="J21" s="256">
        <f>SUM(G21:I21)</f>
        <v>138.5</v>
      </c>
      <c r="L21" s="257"/>
      <c r="M21" s="257"/>
      <c r="N21" s="257">
        <f>I21</f>
        <v>138.5</v>
      </c>
      <c r="O21" s="256">
        <f>SUM(L21:N21)</f>
        <v>138.5</v>
      </c>
      <c r="P21" s="258">
        <v>44531</v>
      </c>
    </row>
    <row r="22" spans="1:22" x14ac:dyDescent="0.25">
      <c r="A22" s="233" t="s">
        <v>174</v>
      </c>
      <c r="D22" s="259">
        <f>C15</f>
        <v>0</v>
      </c>
      <c r="E22" s="260" t="s">
        <v>19</v>
      </c>
      <c r="F22" s="261" t="s">
        <v>82</v>
      </c>
      <c r="G22" s="262"/>
      <c r="H22" s="262"/>
      <c r="I22" s="262">
        <f>'Rider Rates'!C149</f>
        <v>1.3832199999999999E-2</v>
      </c>
      <c r="J22" s="262">
        <f>SUM(G22:I22)</f>
        <v>1.3832199999999999E-2</v>
      </c>
      <c r="K22" s="263" t="s">
        <v>87</v>
      </c>
      <c r="L22" s="256"/>
      <c r="M22" s="256"/>
      <c r="N22" s="256">
        <f>IF(C15&lt;0,0,ROUND($D22*I22,2))</f>
        <v>0</v>
      </c>
      <c r="O22" s="256">
        <f>SUM(L22:N22)</f>
        <v>0</v>
      </c>
      <c r="P22" s="258">
        <f>'Rider Rates'!H149</f>
        <v>45444</v>
      </c>
    </row>
    <row r="23" spans="1:22" x14ac:dyDescent="0.25">
      <c r="A23" s="264" t="s">
        <v>84</v>
      </c>
      <c r="B23" s="264"/>
      <c r="C23" s="264"/>
      <c r="D23" s="265"/>
      <c r="E23" s="265"/>
      <c r="F23" s="264"/>
      <c r="G23" s="264"/>
      <c r="H23" s="264"/>
      <c r="I23" s="264"/>
      <c r="J23" s="264"/>
      <c r="K23" s="266"/>
      <c r="L23" s="267"/>
      <c r="M23" s="267"/>
      <c r="N23" s="267">
        <f>SUM(N21:N22)</f>
        <v>138.5</v>
      </c>
      <c r="O23" s="267">
        <f>SUM(O21:O22)</f>
        <v>138.5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85</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86</v>
      </c>
      <c r="B27" s="275"/>
      <c r="C27" s="275"/>
      <c r="D27" s="259">
        <f>IF($C$15&lt;0,0,IF($C$15&gt;833000,833000,$C$15))</f>
        <v>0</v>
      </c>
      <c r="E27" s="260" t="s">
        <v>19</v>
      </c>
      <c r="F27" s="261" t="s">
        <v>82</v>
      </c>
      <c r="G27" s="276"/>
      <c r="H27" s="276"/>
      <c r="I27" s="276">
        <f>'Rider Rates'!$B$4</f>
        <v>4.6278999999999999E-3</v>
      </c>
      <c r="J27" s="276">
        <f t="shared" ref="J27:J48" si="0">SUM(G27:I27)</f>
        <v>4.6278999999999999E-3</v>
      </c>
      <c r="K27" s="263" t="s">
        <v>87</v>
      </c>
      <c r="L27" s="91"/>
      <c r="M27" s="91"/>
      <c r="N27" s="91">
        <f t="shared" ref="N27:N32" si="1">ROUND(D27*I27,2)</f>
        <v>0</v>
      </c>
      <c r="O27" s="91">
        <f t="shared" ref="O27:O49" si="2">SUM(L27:N27)</f>
        <v>0</v>
      </c>
      <c r="P27" s="258">
        <f>'Rider Rates'!$D$4</f>
        <v>45657</v>
      </c>
      <c r="Q27" s="261"/>
      <c r="R27" s="277"/>
      <c r="S27" s="263"/>
      <c r="T27" s="273"/>
      <c r="V27" s="274"/>
    </row>
    <row r="28" spans="1:22" x14ac:dyDescent="0.25">
      <c r="A28" s="233" t="s">
        <v>88</v>
      </c>
      <c r="D28" s="259">
        <f>IF($C$15&gt;833000,$C$15-833000,0)</f>
        <v>0</v>
      </c>
      <c r="E28" s="260" t="s">
        <v>19</v>
      </c>
      <c r="F28" s="261" t="s">
        <v>82</v>
      </c>
      <c r="G28" s="276"/>
      <c r="H28" s="276"/>
      <c r="I28" s="276">
        <f>'Rider Rates'!$B$5</f>
        <v>1.7560000000000001E-4</v>
      </c>
      <c r="J28" s="276">
        <f t="shared" si="0"/>
        <v>1.7560000000000001E-4</v>
      </c>
      <c r="K28" s="263" t="s">
        <v>87</v>
      </c>
      <c r="L28" s="91"/>
      <c r="M28" s="91"/>
      <c r="N28" s="91">
        <f t="shared" si="1"/>
        <v>0</v>
      </c>
      <c r="O28" s="91">
        <f t="shared" si="2"/>
        <v>0</v>
      </c>
      <c r="P28" s="258">
        <f>'Rider Rates'!$D$4</f>
        <v>45657</v>
      </c>
      <c r="Q28" s="261"/>
      <c r="R28" s="277"/>
      <c r="S28" s="263"/>
      <c r="T28" s="273"/>
      <c r="V28" s="274"/>
    </row>
    <row r="29" spans="1:22" x14ac:dyDescent="0.25">
      <c r="A29" s="233" t="s">
        <v>89</v>
      </c>
      <c r="D29" s="259">
        <f>IF('Customer Info'!$C$33=TRUE,0,IF($C$15&lt;0,0,IF($C$15&gt;2000,2000,$C$15)))</f>
        <v>0</v>
      </c>
      <c r="E29" s="260" t="s">
        <v>19</v>
      </c>
      <c r="F29" s="261" t="s">
        <v>82</v>
      </c>
      <c r="G29" s="276"/>
      <c r="H29" s="276"/>
      <c r="I29" s="278">
        <f>'Rider Rates'!$B$8</f>
        <v>4.6499999999999996E-3</v>
      </c>
      <c r="J29" s="278">
        <f t="shared" si="0"/>
        <v>4.6499999999999996E-3</v>
      </c>
      <c r="K29" s="263" t="s">
        <v>87</v>
      </c>
      <c r="L29" s="91"/>
      <c r="M29" s="91"/>
      <c r="N29" s="91">
        <f t="shared" si="1"/>
        <v>0</v>
      </c>
      <c r="O29" s="91">
        <f t="shared" si="2"/>
        <v>0</v>
      </c>
      <c r="P29" s="258">
        <f>'Rider Rates'!$D$7</f>
        <v>44531</v>
      </c>
      <c r="Q29" s="261"/>
      <c r="R29" s="277"/>
      <c r="S29" s="263"/>
      <c r="T29" s="273"/>
      <c r="V29" s="274"/>
    </row>
    <row r="30" spans="1:22" x14ac:dyDescent="0.25">
      <c r="A30" s="233" t="s">
        <v>90</v>
      </c>
      <c r="D30" s="259">
        <f>IF('Customer Info'!$C$33=TRUE,0,IF($C$15&lt;=2000,0,IF($C$15=0,0,IF($C$15-2000&gt;13000,13000,$C$15-2000))))</f>
        <v>0</v>
      </c>
      <c r="E30" s="260" t="s">
        <v>19</v>
      </c>
      <c r="F30" s="261" t="s">
        <v>82</v>
      </c>
      <c r="G30" s="276"/>
      <c r="H30" s="276"/>
      <c r="I30" s="278">
        <f>'Rider Rates'!$B$9</f>
        <v>4.1900000000000001E-3</v>
      </c>
      <c r="J30" s="278">
        <f t="shared" si="0"/>
        <v>4.1900000000000001E-3</v>
      </c>
      <c r="K30" s="263" t="s">
        <v>87</v>
      </c>
      <c r="L30" s="91"/>
      <c r="M30" s="91"/>
      <c r="N30" s="91">
        <f t="shared" si="1"/>
        <v>0</v>
      </c>
      <c r="O30" s="91">
        <f t="shared" si="2"/>
        <v>0</v>
      </c>
      <c r="P30" s="258">
        <f>'Rider Rates'!$D$7</f>
        <v>44531</v>
      </c>
      <c r="Q30" s="261"/>
      <c r="R30" s="277"/>
      <c r="S30" s="263"/>
      <c r="T30" s="273"/>
      <c r="V30" s="274"/>
    </row>
    <row r="31" spans="1:22" x14ac:dyDescent="0.25">
      <c r="A31" s="233" t="s">
        <v>91</v>
      </c>
      <c r="D31" s="259">
        <f>IF('Customer Info'!$C$33=TRUE,0,IF($C$15=0,0,IF($C$15-15000&gt;=0,$C$15-15000,0)))</f>
        <v>0</v>
      </c>
      <c r="E31" s="260" t="s">
        <v>19</v>
      </c>
      <c r="F31" s="261" t="s">
        <v>82</v>
      </c>
      <c r="G31" s="276"/>
      <c r="H31" s="276"/>
      <c r="I31" s="278">
        <f>'Rider Rates'!$B$10</f>
        <v>3.63E-3</v>
      </c>
      <c r="J31" s="278">
        <f t="shared" si="0"/>
        <v>3.63E-3</v>
      </c>
      <c r="K31" s="263" t="s">
        <v>87</v>
      </c>
      <c r="L31" s="91"/>
      <c r="M31" s="91"/>
      <c r="N31" s="91">
        <f t="shared" si="1"/>
        <v>0</v>
      </c>
      <c r="O31" s="91">
        <f t="shared" si="2"/>
        <v>0</v>
      </c>
      <c r="P31" s="258">
        <f>'Rider Rates'!$D$7</f>
        <v>44531</v>
      </c>
      <c r="Q31" s="261"/>
      <c r="R31" s="277"/>
      <c r="S31" s="263"/>
      <c r="T31" s="273"/>
      <c r="V31" s="274"/>
    </row>
    <row r="32" spans="1:22" x14ac:dyDescent="0.25">
      <c r="A32" s="233" t="s">
        <v>92</v>
      </c>
      <c r="D32" s="259">
        <f>IF($C$15&lt;0,0,$C$15)</f>
        <v>0</v>
      </c>
      <c r="E32" s="260" t="s">
        <v>19</v>
      </c>
      <c r="F32" s="261" t="s">
        <v>82</v>
      </c>
      <c r="G32" s="276"/>
      <c r="H32" s="276"/>
      <c r="I32" s="276">
        <f>'Rider Rates'!$B$16</f>
        <v>0</v>
      </c>
      <c r="J32" s="276">
        <f>SUM(G32:I32)</f>
        <v>0</v>
      </c>
      <c r="K32" s="263" t="s">
        <v>87</v>
      </c>
      <c r="L32" s="91"/>
      <c r="M32" s="91"/>
      <c r="N32" s="91">
        <f t="shared" si="1"/>
        <v>0</v>
      </c>
      <c r="O32" s="91">
        <f t="shared" si="2"/>
        <v>0</v>
      </c>
      <c r="P32" s="258">
        <f>'Rider Rates'!$D$16</f>
        <v>45197</v>
      </c>
      <c r="Q32" s="261"/>
      <c r="R32" s="277"/>
      <c r="S32" s="263"/>
      <c r="T32" s="273"/>
      <c r="V32" s="274"/>
    </row>
    <row r="33" spans="1:22" x14ac:dyDescent="0.25">
      <c r="A33" s="233" t="s">
        <v>93</v>
      </c>
      <c r="D33" s="279">
        <f>$N$23</f>
        <v>138.5</v>
      </c>
      <c r="E33" s="260" t="s">
        <v>94</v>
      </c>
      <c r="F33" s="261" t="s">
        <v>82</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95</v>
      </c>
      <c r="D34" s="259">
        <f>C15</f>
        <v>0</v>
      </c>
      <c r="E34" s="260" t="s">
        <v>19</v>
      </c>
      <c r="F34" s="261" t="s">
        <v>82</v>
      </c>
      <c r="G34" s="276"/>
      <c r="H34" s="276"/>
      <c r="I34" s="276"/>
      <c r="J34" s="281">
        <f>SUM(G34:H34)</f>
        <v>0</v>
      </c>
      <c r="K34" s="263" t="s">
        <v>87</v>
      </c>
      <c r="L34" s="91">
        <f>ROUND(D34*G34,2)</f>
        <v>0</v>
      </c>
      <c r="M34" s="91"/>
      <c r="N34" s="91"/>
      <c r="O34" s="91">
        <f t="shared" si="2"/>
        <v>0</v>
      </c>
      <c r="P34" s="258">
        <f>'Rider Rates'!$D$22</f>
        <v>45444</v>
      </c>
      <c r="Q34" s="261"/>
      <c r="R34" s="277"/>
      <c r="S34" s="263"/>
      <c r="T34" s="273"/>
      <c r="V34" s="274"/>
    </row>
    <row r="35" spans="1:22" x14ac:dyDescent="0.25">
      <c r="A35" s="233" t="s">
        <v>148</v>
      </c>
      <c r="D35" s="259">
        <f>C16</f>
        <v>0</v>
      </c>
      <c r="E35" s="260" t="s">
        <v>19</v>
      </c>
      <c r="F35" s="261" t="s">
        <v>82</v>
      </c>
      <c r="G35" s="276"/>
      <c r="H35" s="276"/>
      <c r="I35" s="276"/>
      <c r="J35" s="281">
        <f>SUM(G35:H35)</f>
        <v>0</v>
      </c>
      <c r="K35" s="263" t="s">
        <v>87</v>
      </c>
      <c r="L35" s="91">
        <f>ROUND(D35*G35,2)</f>
        <v>0</v>
      </c>
      <c r="M35" s="91"/>
      <c r="N35" s="91"/>
      <c r="O35" s="91">
        <f t="shared" si="2"/>
        <v>0</v>
      </c>
      <c r="P35" s="258">
        <f>'Rider Rates'!$D$38</f>
        <v>45444</v>
      </c>
      <c r="Q35" s="261"/>
      <c r="R35" s="277"/>
      <c r="S35" s="263"/>
      <c r="T35" s="273"/>
      <c r="V35" s="274"/>
    </row>
    <row r="36" spans="1:22" x14ac:dyDescent="0.25">
      <c r="A36" s="233" t="s">
        <v>149</v>
      </c>
      <c r="D36" s="259">
        <f>C17</f>
        <v>0</v>
      </c>
      <c r="E36" s="260" t="s">
        <v>19</v>
      </c>
      <c r="F36" s="255" t="s">
        <v>82</v>
      </c>
      <c r="G36" s="276"/>
      <c r="H36" s="276"/>
      <c r="I36" s="276"/>
      <c r="J36" s="281">
        <f>SUM(G36:H36)</f>
        <v>0</v>
      </c>
      <c r="K36" s="263" t="s">
        <v>87</v>
      </c>
      <c r="L36" s="91">
        <f>ROUND(D36*G36,2)</f>
        <v>0</v>
      </c>
      <c r="M36" s="91"/>
      <c r="N36" s="91"/>
      <c r="O36" s="91">
        <f t="shared" si="2"/>
        <v>0</v>
      </c>
      <c r="P36" s="258">
        <f>'Rider Rates'!D39</f>
        <v>45444</v>
      </c>
      <c r="Q36" s="261"/>
      <c r="R36" s="277"/>
      <c r="S36" s="263"/>
      <c r="T36" s="273"/>
      <c r="V36" s="274"/>
    </row>
    <row r="37" spans="1:22" x14ac:dyDescent="0.25">
      <c r="A37" s="233" t="s">
        <v>97</v>
      </c>
      <c r="D37" s="259">
        <f>C16+C17</f>
        <v>0</v>
      </c>
      <c r="E37" s="260" t="s">
        <v>19</v>
      </c>
      <c r="F37" s="261" t="s">
        <v>82</v>
      </c>
      <c r="G37" s="276"/>
      <c r="H37" s="276"/>
      <c r="I37" s="276"/>
      <c r="J37" s="281">
        <f>SUM(G37:H37)</f>
        <v>0</v>
      </c>
      <c r="K37" s="263" t="s">
        <v>87</v>
      </c>
      <c r="L37" s="91">
        <f>ROUND(D37*G37,2)</f>
        <v>0</v>
      </c>
      <c r="M37" s="91"/>
      <c r="N37" s="91"/>
      <c r="O37" s="91">
        <f t="shared" si="2"/>
        <v>0</v>
      </c>
      <c r="P37" s="258">
        <f>'Rider Rates'!$D$49</f>
        <v>45657</v>
      </c>
      <c r="Q37" s="261"/>
      <c r="R37" s="277"/>
      <c r="S37" s="263"/>
      <c r="T37" s="273"/>
      <c r="V37" s="274"/>
    </row>
    <row r="38" spans="1:22" x14ac:dyDescent="0.25">
      <c r="A38" s="230" t="s">
        <v>98</v>
      </c>
      <c r="D38" s="259">
        <f>IF($C$15&lt;0,0,IF($C$15&gt;833000,833000,$C$15))</f>
        <v>0</v>
      </c>
      <c r="E38" s="260" t="s">
        <v>19</v>
      </c>
      <c r="F38" s="261" t="s">
        <v>82</v>
      </c>
      <c r="G38" s="276"/>
      <c r="H38" s="276"/>
      <c r="I38" s="276">
        <f>'Rider Rates'!D53</f>
        <v>1.8006999999999999E-3</v>
      </c>
      <c r="J38" s="276">
        <f>SUM(G38:I38)</f>
        <v>1.8006999999999999E-3</v>
      </c>
      <c r="K38" s="263" t="s">
        <v>87</v>
      </c>
      <c r="L38" s="91"/>
      <c r="M38" s="91"/>
      <c r="N38" s="91">
        <f>D38*J38</f>
        <v>0</v>
      </c>
      <c r="O38" s="91">
        <f t="shared" si="2"/>
        <v>0</v>
      </c>
      <c r="P38" s="258">
        <f>'Rider Rates'!E53</f>
        <v>45658</v>
      </c>
      <c r="Q38" s="261"/>
      <c r="R38" s="277"/>
      <c r="S38" s="263"/>
      <c r="T38" s="273"/>
      <c r="V38" s="274"/>
    </row>
    <row r="39" spans="1:22" x14ac:dyDescent="0.25">
      <c r="A39" s="233" t="s">
        <v>99</v>
      </c>
      <c r="D39" s="259">
        <f>IF($C$15&lt;0,0,$C$15)</f>
        <v>0</v>
      </c>
      <c r="E39" s="260" t="s">
        <v>19</v>
      </c>
      <c r="F39" s="261" t="s">
        <v>82</v>
      </c>
      <c r="G39" s="276"/>
      <c r="H39" s="276">
        <f>'Rider Rates'!$B$60</f>
        <v>2.3467399999999999E-2</v>
      </c>
      <c r="I39" s="276"/>
      <c r="J39" s="276">
        <f>SUM(G39:I39)</f>
        <v>2.3467399999999999E-2</v>
      </c>
      <c r="K39" s="263" t="s">
        <v>87</v>
      </c>
      <c r="L39" s="91"/>
      <c r="M39" s="91">
        <f>ROUND(D39*H39,2)</f>
        <v>0</v>
      </c>
      <c r="N39" s="282"/>
      <c r="O39" s="91">
        <f t="shared" si="2"/>
        <v>0</v>
      </c>
      <c r="P39" s="258">
        <f>'Rider Rates'!$D$60</f>
        <v>45383</v>
      </c>
      <c r="Q39" s="261"/>
      <c r="R39" s="277"/>
      <c r="S39" s="263"/>
      <c r="T39" s="273"/>
      <c r="V39" s="274"/>
    </row>
    <row r="40" spans="1:22" x14ac:dyDescent="0.25">
      <c r="A40" s="233" t="s">
        <v>101</v>
      </c>
      <c r="D40" s="259">
        <f>IF('Customer Info'!C35=TRUE,0,IF($C$15&lt;0,0,$C$15))</f>
        <v>0</v>
      </c>
      <c r="E40" s="260" t="s">
        <v>19</v>
      </c>
      <c r="F40" s="261" t="s">
        <v>82</v>
      </c>
      <c r="G40" s="276"/>
      <c r="H40" s="276"/>
      <c r="I40" s="276">
        <f>'Rider Rates'!$B$74+'Rider Rates'!$C$74</f>
        <v>0</v>
      </c>
      <c r="J40" s="276">
        <f t="shared" si="0"/>
        <v>0</v>
      </c>
      <c r="K40" s="263" t="s">
        <v>87</v>
      </c>
      <c r="L40" s="91"/>
      <c r="M40" s="91"/>
      <c r="N40" s="91">
        <f>ROUND($D$40*'Rider Rates'!$B$74,2)+ROUND($D$40*'Rider Rates'!$C$74,2)</f>
        <v>0</v>
      </c>
      <c r="O40" s="91">
        <f t="shared" si="2"/>
        <v>0</v>
      </c>
      <c r="P40" s="258">
        <f>'Rider Rates'!$D$74</f>
        <v>44531</v>
      </c>
      <c r="Q40" s="261"/>
      <c r="R40" s="277"/>
      <c r="S40" s="263"/>
      <c r="T40" s="273"/>
      <c r="V40" s="274"/>
    </row>
    <row r="41" spans="1:22" x14ac:dyDescent="0.25">
      <c r="A41" s="233" t="s">
        <v>101</v>
      </c>
      <c r="D41" s="259"/>
      <c r="E41" s="260" t="s">
        <v>57</v>
      </c>
      <c r="F41" s="261"/>
      <c r="G41" s="276"/>
      <c r="H41" s="276"/>
      <c r="I41" s="283">
        <f>'Rider Rates'!$B$81</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102</v>
      </c>
      <c r="D42" s="279">
        <f>$N$23</f>
        <v>138.5</v>
      </c>
      <c r="E42" s="260" t="s">
        <v>94</v>
      </c>
      <c r="F42" s="261" t="s">
        <v>82</v>
      </c>
      <c r="G42" s="284"/>
      <c r="H42" s="253"/>
      <c r="I42" s="285">
        <f>'Rider Rates'!$B$89</f>
        <v>4.94232E-2</v>
      </c>
      <c r="J42" s="285">
        <f t="shared" si="0"/>
        <v>4.94232E-2</v>
      </c>
      <c r="K42" s="263"/>
      <c r="L42" s="91"/>
      <c r="M42" s="91"/>
      <c r="N42" s="91">
        <f>ROUND(D42*I42,2)</f>
        <v>6.85</v>
      </c>
      <c r="O42" s="91">
        <f t="shared" si="2"/>
        <v>6.85</v>
      </c>
      <c r="P42" s="258">
        <f>'Rider Rates'!$D$89</f>
        <v>45562</v>
      </c>
      <c r="Q42" s="261"/>
      <c r="R42" s="277"/>
      <c r="S42" s="263"/>
      <c r="T42" s="273"/>
      <c r="V42" s="274"/>
    </row>
    <row r="43" spans="1:22" x14ac:dyDescent="0.25">
      <c r="A43" s="233" t="s">
        <v>103</v>
      </c>
      <c r="D43" s="279">
        <f>$N$23</f>
        <v>138.5</v>
      </c>
      <c r="E43" s="260" t="s">
        <v>94</v>
      </c>
      <c r="F43" s="261" t="s">
        <v>82</v>
      </c>
      <c r="G43" s="286"/>
      <c r="H43" s="253"/>
      <c r="I43" s="285">
        <f>'Rider Rates'!$B$91</f>
        <v>6.6985699999999995E-2</v>
      </c>
      <c r="J43" s="285">
        <f t="shared" si="0"/>
        <v>6.6985699999999995E-2</v>
      </c>
      <c r="K43" s="263"/>
      <c r="L43" s="91"/>
      <c r="M43" s="91"/>
      <c r="N43" s="91">
        <f>ROUND(D43*I43,2)</f>
        <v>9.2799999999999994</v>
      </c>
      <c r="O43" s="91">
        <f t="shared" si="2"/>
        <v>9.2799999999999994</v>
      </c>
      <c r="P43" s="258">
        <f>'Rider Rates'!$D$91</f>
        <v>45167</v>
      </c>
      <c r="Q43" s="261"/>
      <c r="R43" s="277"/>
      <c r="S43" s="263"/>
      <c r="T43" s="273"/>
      <c r="V43" s="274"/>
    </row>
    <row r="44" spans="1:22" x14ac:dyDescent="0.25">
      <c r="A44" s="233" t="s">
        <v>104</v>
      </c>
      <c r="D44" s="279"/>
      <c r="E44" s="260" t="s">
        <v>57</v>
      </c>
      <c r="F44" s="261"/>
      <c r="G44" s="286"/>
      <c r="H44" s="253"/>
      <c r="I44" s="283">
        <f>'Rider Rates'!$B$95</f>
        <v>17.53</v>
      </c>
      <c r="J44" s="283">
        <f t="shared" si="0"/>
        <v>17.53</v>
      </c>
      <c r="K44" s="263"/>
      <c r="L44" s="91"/>
      <c r="M44" s="91"/>
      <c r="N44" s="91">
        <f>I44</f>
        <v>17.53</v>
      </c>
      <c r="O44" s="91">
        <f t="shared" si="2"/>
        <v>17.53</v>
      </c>
      <c r="P44" s="258">
        <f>'Rider Rates'!$D$95</f>
        <v>45657</v>
      </c>
      <c r="Q44" s="261"/>
      <c r="R44" s="277"/>
      <c r="S44" s="263"/>
      <c r="T44" s="273"/>
      <c r="V44" s="274"/>
    </row>
    <row r="45" spans="1:22" x14ac:dyDescent="0.25">
      <c r="A45" s="233" t="s">
        <v>105</v>
      </c>
      <c r="D45" s="259">
        <f>IF($C$15&lt;0,0,$C$15)</f>
        <v>0</v>
      </c>
      <c r="E45" s="260" t="s">
        <v>19</v>
      </c>
      <c r="F45" s="261" t="s">
        <v>82</v>
      </c>
      <c r="G45" s="276"/>
      <c r="H45" s="276"/>
      <c r="I45" s="276"/>
      <c r="J45" s="276">
        <f>'Rider Rates'!$B$99</f>
        <v>0</v>
      </c>
      <c r="K45" s="263" t="s">
        <v>87</v>
      </c>
      <c r="L45" s="91"/>
      <c r="M45" s="91"/>
      <c r="N45" s="91"/>
      <c r="O45" s="91">
        <f>ROUND($D45*('Rider Rates'!B$99),2)</f>
        <v>0</v>
      </c>
      <c r="P45" s="258">
        <f>'Rider Rates'!$D$99</f>
        <v>44531</v>
      </c>
      <c r="Q45" s="261"/>
      <c r="R45" s="277"/>
      <c r="S45" s="263"/>
      <c r="T45" s="273"/>
      <c r="V45" s="274"/>
    </row>
    <row r="46" spans="1:22" x14ac:dyDescent="0.25">
      <c r="A46" s="233" t="s">
        <v>106</v>
      </c>
      <c r="D46" s="279">
        <f>$N$23</f>
        <v>138.5</v>
      </c>
      <c r="E46" s="260" t="s">
        <v>94</v>
      </c>
      <c r="F46" s="261" t="s">
        <v>82</v>
      </c>
      <c r="G46" s="286"/>
      <c r="H46" s="253"/>
      <c r="I46" s="285">
        <f>'Rider Rates'!$B$109</f>
        <v>0.2363101</v>
      </c>
      <c r="J46" s="285">
        <f t="shared" si="0"/>
        <v>0.2363101</v>
      </c>
      <c r="K46" s="263"/>
      <c r="L46" s="91"/>
      <c r="M46" s="91"/>
      <c r="N46" s="91">
        <f>ROUND(D46*I46,2)</f>
        <v>32.729999999999997</v>
      </c>
      <c r="O46" s="91">
        <f t="shared" si="2"/>
        <v>32.729999999999997</v>
      </c>
      <c r="P46" s="258">
        <f>'Rider Rates'!$D$109</f>
        <v>45622</v>
      </c>
      <c r="Q46" s="261"/>
      <c r="R46" s="277"/>
      <c r="S46" s="263"/>
      <c r="T46" s="273"/>
      <c r="V46" s="274"/>
    </row>
    <row r="47" spans="1:22" x14ac:dyDescent="0.25">
      <c r="A47" s="233" t="s">
        <v>107</v>
      </c>
      <c r="D47" s="279"/>
      <c r="E47" s="260" t="s">
        <v>57</v>
      </c>
      <c r="F47" s="261"/>
      <c r="G47" s="286"/>
      <c r="H47" s="253"/>
      <c r="I47" s="283">
        <f>'Rider Rates'!$B$113</f>
        <v>0</v>
      </c>
      <c r="J47" s="283">
        <f t="shared" si="0"/>
        <v>0</v>
      </c>
      <c r="K47" s="263"/>
      <c r="L47" s="91"/>
      <c r="M47" s="91"/>
      <c r="N47" s="91">
        <f>I47</f>
        <v>0</v>
      </c>
      <c r="O47" s="91">
        <f t="shared" si="2"/>
        <v>0</v>
      </c>
      <c r="P47" s="258">
        <f>'Rider Rates'!$D$113</f>
        <v>44894</v>
      </c>
      <c r="Q47" s="261"/>
      <c r="R47" s="277"/>
      <c r="S47" s="263"/>
      <c r="T47" s="273"/>
      <c r="V47" s="274"/>
    </row>
    <row r="48" spans="1:22" x14ac:dyDescent="0.25">
      <c r="A48" s="233" t="s">
        <v>108</v>
      </c>
      <c r="D48" s="279"/>
      <c r="E48" s="260" t="s">
        <v>57</v>
      </c>
      <c r="F48" s="261"/>
      <c r="G48" s="286"/>
      <c r="H48" s="253"/>
      <c r="I48" s="287">
        <f>'Rider Rates'!B126</f>
        <v>4.84</v>
      </c>
      <c r="J48" s="283">
        <f t="shared" si="0"/>
        <v>4.84</v>
      </c>
      <c r="K48" s="263"/>
      <c r="L48" s="91"/>
      <c r="M48" s="91"/>
      <c r="N48" s="288">
        <f>I48</f>
        <v>4.84</v>
      </c>
      <c r="O48" s="91">
        <f t="shared" si="2"/>
        <v>4.84</v>
      </c>
      <c r="P48" s="258">
        <f>'Rider Rates'!D126</f>
        <v>45593</v>
      </c>
      <c r="Q48" s="261"/>
      <c r="R48" s="277"/>
      <c r="S48" s="263"/>
      <c r="T48" s="273"/>
      <c r="V48" s="274"/>
    </row>
    <row r="49" spans="1:22" x14ac:dyDescent="0.25">
      <c r="A49" s="233" t="s">
        <v>109</v>
      </c>
      <c r="D49" s="259">
        <f>C16+C17</f>
        <v>0</v>
      </c>
      <c r="E49" s="260" t="s">
        <v>19</v>
      </c>
      <c r="F49" s="261" t="s">
        <v>82</v>
      </c>
      <c r="G49" s="276"/>
      <c r="H49" s="276"/>
      <c r="I49" s="285"/>
      <c r="J49" s="281">
        <f>SUM(G49:H49)</f>
        <v>0</v>
      </c>
      <c r="K49" s="263" t="s">
        <v>87</v>
      </c>
      <c r="L49" s="91">
        <f>ROUND(D49*G49,2)</f>
        <v>0</v>
      </c>
      <c r="M49" s="91"/>
      <c r="N49" s="91"/>
      <c r="O49" s="91">
        <f t="shared" si="2"/>
        <v>0</v>
      </c>
      <c r="P49" s="258">
        <f>'Rider Rates'!$D$116</f>
        <v>44531</v>
      </c>
      <c r="Q49" s="261"/>
      <c r="R49" s="277"/>
      <c r="S49" s="263"/>
      <c r="T49" s="273"/>
      <c r="V49" s="274"/>
    </row>
    <row r="50" spans="1:22" x14ac:dyDescent="0.25">
      <c r="A50" s="233" t="s">
        <v>110</v>
      </c>
      <c r="D50" s="259">
        <f>IF($C$15&lt;1,0,$C$15)</f>
        <v>0</v>
      </c>
      <c r="E50" s="260" t="s">
        <v>19</v>
      </c>
      <c r="F50" s="255" t="s">
        <v>82</v>
      </c>
      <c r="G50" s="289"/>
      <c r="H50" s="289"/>
      <c r="I50" s="290">
        <f>'Rider Rates'!B122</f>
        <v>0</v>
      </c>
      <c r="J50" s="290">
        <f>SUM(G50:I50)</f>
        <v>0</v>
      </c>
      <c r="K50" s="263" t="s">
        <v>87</v>
      </c>
      <c r="L50" s="91"/>
      <c r="M50" s="91"/>
      <c r="N50" s="91">
        <f>D50*J50</f>
        <v>0</v>
      </c>
      <c r="O50" s="91">
        <f>SUM(L50:N50)</f>
        <v>0</v>
      </c>
      <c r="P50" s="258">
        <f>'Rider Rates'!D122</f>
        <v>45657</v>
      </c>
      <c r="Q50" s="261"/>
      <c r="R50" s="277"/>
      <c r="S50" s="263"/>
      <c r="T50" s="273"/>
      <c r="V50" s="274"/>
    </row>
    <row r="51" spans="1:22" x14ac:dyDescent="0.25">
      <c r="A51" s="230" t="s">
        <v>169</v>
      </c>
      <c r="D51" s="259">
        <f>IF(C15&lt;0,0,IF(C15&gt;833000,833000,C15))</f>
        <v>0</v>
      </c>
      <c r="E51" s="260" t="s">
        <v>19</v>
      </c>
      <c r="F51" s="261" t="s">
        <v>82</v>
      </c>
      <c r="G51" s="291"/>
      <c r="H51" s="291"/>
      <c r="I51" s="291">
        <f>'Rider Rates'!$B$130</f>
        <v>2.9050000000000001E-4</v>
      </c>
      <c r="J51" s="291">
        <f>SUM(G51:I51)</f>
        <v>2.9050000000000001E-4</v>
      </c>
      <c r="K51" s="263" t="s">
        <v>87</v>
      </c>
      <c r="L51" s="292"/>
      <c r="M51" s="292"/>
      <c r="N51" s="292">
        <f>IF(D51*J51&gt;'Rider Rates'!$C$130,'Rider Rates'!$C$130,D51*J51)</f>
        <v>0</v>
      </c>
      <c r="O51" s="292">
        <f>SUM(L51:N51)</f>
        <v>0</v>
      </c>
      <c r="P51" s="293">
        <f>'Rider Rates'!$E$130</f>
        <v>45658</v>
      </c>
      <c r="Q51" s="261"/>
      <c r="R51" s="277"/>
      <c r="S51" s="263"/>
      <c r="T51" s="273"/>
      <c r="V51" s="274"/>
    </row>
    <row r="52" spans="1:22" x14ac:dyDescent="0.25">
      <c r="A52" s="230" t="s">
        <v>170</v>
      </c>
      <c r="D52" s="259">
        <f>IF(C15&gt;833000,C15-833000,0)</f>
        <v>0</v>
      </c>
      <c r="E52" s="260" t="s">
        <v>19</v>
      </c>
      <c r="F52" s="261" t="s">
        <v>82</v>
      </c>
      <c r="G52" s="291"/>
      <c r="H52" s="291"/>
      <c r="I52" s="291">
        <f>'Rider Rates'!$B$131</f>
        <v>0</v>
      </c>
      <c r="J52" s="291">
        <f>SUM(G52:I52)</f>
        <v>0</v>
      </c>
      <c r="K52" s="263" t="s">
        <v>87</v>
      </c>
      <c r="L52" s="292"/>
      <c r="M52" s="292"/>
      <c r="N52" s="292">
        <f>D52*J52</f>
        <v>0</v>
      </c>
      <c r="O52" s="292">
        <f>SUM(L52:N52)</f>
        <v>0</v>
      </c>
      <c r="P52" s="293">
        <f>'Rider Rates'!$E$131</f>
        <v>45658</v>
      </c>
      <c r="Q52" s="261"/>
      <c r="R52" s="277"/>
      <c r="S52" s="263"/>
      <c r="T52" s="273"/>
      <c r="V52" s="274"/>
    </row>
    <row r="53" spans="1:22" x14ac:dyDescent="0.25">
      <c r="A53" s="230" t="s">
        <v>112</v>
      </c>
      <c r="D53" s="259">
        <f>C15</f>
        <v>0</v>
      </c>
      <c r="E53" s="260" t="s">
        <v>19</v>
      </c>
      <c r="F53" s="255" t="s">
        <v>82</v>
      </c>
      <c r="G53" s="276"/>
      <c r="H53" s="276"/>
      <c r="I53" s="276">
        <f>'Rider Rates'!$B$135</f>
        <v>0</v>
      </c>
      <c r="J53" s="281">
        <f>SUM(G53:I53)</f>
        <v>0</v>
      </c>
      <c r="K53" s="263" t="s">
        <v>87</v>
      </c>
      <c r="L53" s="91"/>
      <c r="M53" s="91"/>
      <c r="N53" s="91">
        <f>D53*J53</f>
        <v>0</v>
      </c>
      <c r="O53" s="91">
        <f>SUM(L53:N53)</f>
        <v>0</v>
      </c>
      <c r="P53" s="258">
        <f>'Rider Rates'!$D$135</f>
        <v>44531</v>
      </c>
      <c r="Q53" s="261"/>
      <c r="R53" s="277"/>
      <c r="S53" s="263"/>
      <c r="T53" s="273"/>
      <c r="V53" s="274"/>
    </row>
    <row r="54" spans="1:22" x14ac:dyDescent="0.25">
      <c r="A54" s="230" t="s">
        <v>113</v>
      </c>
      <c r="D54" s="259"/>
      <c r="E54" s="260" t="s">
        <v>57</v>
      </c>
      <c r="F54" s="261" t="s">
        <v>82</v>
      </c>
      <c r="G54" s="262"/>
      <c r="H54" s="262"/>
      <c r="I54" s="262">
        <f>'Rider Rates'!$B$142</f>
        <v>0</v>
      </c>
      <c r="J54" s="262">
        <f>SUM(G54:I54)</f>
        <v>0</v>
      </c>
      <c r="K54" s="263"/>
      <c r="L54" s="256"/>
      <c r="M54" s="256"/>
      <c r="N54" s="256">
        <f>J54</f>
        <v>0</v>
      </c>
      <c r="O54" s="256">
        <f>SUM(L54:N54)</f>
        <v>0</v>
      </c>
      <c r="P54" s="293">
        <f>'Rider Rates'!$D$142</f>
        <v>44531</v>
      </c>
      <c r="Q54" s="261"/>
      <c r="R54" s="277"/>
      <c r="S54" s="263"/>
      <c r="T54" s="273"/>
      <c r="V54" s="274"/>
    </row>
    <row r="55" spans="1:22" x14ac:dyDescent="0.25">
      <c r="A55" s="230" t="s">
        <v>114</v>
      </c>
      <c r="D55" s="259"/>
      <c r="E55" s="260"/>
      <c r="F55" s="261"/>
      <c r="G55" s="262"/>
      <c r="H55" s="262"/>
      <c r="I55" s="262"/>
      <c r="J55" s="262"/>
      <c r="K55" s="263"/>
      <c r="L55" s="256"/>
      <c r="M55" s="256"/>
      <c r="N55" s="256"/>
      <c r="O55" s="256"/>
      <c r="P55" s="293"/>
      <c r="Q55" s="261"/>
      <c r="R55" s="277"/>
      <c r="S55" s="263"/>
      <c r="T55" s="273"/>
      <c r="V55" s="274"/>
    </row>
    <row r="56" spans="1:22" x14ac:dyDescent="0.25">
      <c r="A56" s="234" t="s">
        <v>115</v>
      </c>
      <c r="B56" s="271"/>
      <c r="C56" s="271"/>
      <c r="D56" s="294"/>
      <c r="E56" s="295"/>
      <c r="F56" s="296"/>
      <c r="G56" s="296"/>
      <c r="H56" s="296"/>
      <c r="I56" s="296"/>
      <c r="J56" s="296"/>
      <c r="K56" s="297"/>
      <c r="L56" s="298">
        <f>SUM(L27:L55)</f>
        <v>0</v>
      </c>
      <c r="M56" s="298">
        <f>SUM(M27:M55)</f>
        <v>0</v>
      </c>
      <c r="N56" s="298">
        <f>SUM(N27:N55)</f>
        <v>71.22999999999999</v>
      </c>
      <c r="O56" s="298">
        <f>SUM(O27:O55)</f>
        <v>71.22999999999999</v>
      </c>
      <c r="P56" s="299"/>
      <c r="Q56" s="261"/>
      <c r="R56" s="277"/>
      <c r="S56" s="263"/>
      <c r="T56" s="273"/>
      <c r="V56" s="274"/>
    </row>
    <row r="57" spans="1:22" x14ac:dyDescent="0.25">
      <c r="D57" s="259"/>
      <c r="E57" s="260"/>
      <c r="F57" s="261"/>
      <c r="G57" s="261"/>
      <c r="H57" s="261"/>
      <c r="I57" s="261"/>
      <c r="J57" s="277"/>
      <c r="K57" s="263"/>
      <c r="L57" s="261"/>
      <c r="M57" s="261"/>
      <c r="N57" s="261"/>
      <c r="O57" s="261"/>
      <c r="P57" s="300"/>
      <c r="Q57" s="261"/>
      <c r="R57" s="277"/>
      <c r="S57" s="263"/>
      <c r="T57" s="273"/>
      <c r="V57" s="274"/>
    </row>
    <row r="58" spans="1:22" x14ac:dyDescent="0.25">
      <c r="A58" s="301" t="s">
        <v>116</v>
      </c>
      <c r="B58" s="241"/>
      <c r="C58" s="241"/>
      <c r="D58" s="241"/>
      <c r="E58" s="241"/>
      <c r="F58" s="241"/>
      <c r="G58" s="241"/>
      <c r="H58" s="241"/>
      <c r="I58" s="241"/>
      <c r="J58" s="241"/>
      <c r="K58" s="241"/>
      <c r="L58" s="302">
        <f>L23+L56</f>
        <v>0</v>
      </c>
      <c r="M58" s="302">
        <f>M23+M56</f>
        <v>0</v>
      </c>
      <c r="N58" s="302">
        <f>N23+N56</f>
        <v>209.73</v>
      </c>
      <c r="O58" s="303">
        <f>O23+O56</f>
        <v>209.73</v>
      </c>
      <c r="P58" s="303"/>
      <c r="Q58" s="261"/>
      <c r="R58" s="304"/>
      <c r="S58" s="263"/>
      <c r="T58" s="273"/>
      <c r="V58" s="263"/>
    </row>
    <row r="59" spans="1:22" x14ac:dyDescent="0.25">
      <c r="Q59" s="264"/>
      <c r="R59" s="264"/>
      <c r="S59" s="264"/>
      <c r="T59" s="305"/>
    </row>
    <row r="60" spans="1:22" x14ac:dyDescent="0.25">
      <c r="Q60" s="264"/>
      <c r="R60" s="264"/>
      <c r="S60" s="264"/>
      <c r="T60" s="305"/>
    </row>
    <row r="61" spans="1:22" x14ac:dyDescent="0.25">
      <c r="A61" s="264" t="s">
        <v>117</v>
      </c>
      <c r="O61" s="273">
        <f>O21+O56</f>
        <v>209.73</v>
      </c>
      <c r="Q61" s="264"/>
      <c r="R61" s="264"/>
      <c r="S61" s="264"/>
      <c r="T61" s="305"/>
    </row>
    <row r="62" spans="1:22" x14ac:dyDescent="0.25">
      <c r="A62" s="264" t="s">
        <v>2</v>
      </c>
      <c r="B62" s="264"/>
      <c r="C62" s="264"/>
      <c r="D62" s="264"/>
      <c r="E62" s="264"/>
      <c r="F62" s="264"/>
      <c r="G62" s="264"/>
      <c r="H62" s="264"/>
    </row>
    <row r="63" spans="1:22" x14ac:dyDescent="0.25">
      <c r="A63" s="271" t="s">
        <v>118</v>
      </c>
      <c r="O63" s="306">
        <f>IF($D$17&lt;0,O58,IF(O58&gt;O61,O58,O61))</f>
        <v>209.73</v>
      </c>
      <c r="P63" s="261"/>
    </row>
    <row r="64" spans="1:22" ht="15" customHeight="1" x14ac:dyDescent="0.25">
      <c r="A64" s="271"/>
      <c r="O64" s="306"/>
      <c r="P64" s="261"/>
    </row>
    <row r="65" spans="1:16" x14ac:dyDescent="0.25">
      <c r="A65" s="271"/>
      <c r="B65" s="264"/>
      <c r="C65" s="264"/>
      <c r="D65" s="264"/>
      <c r="E65" s="264"/>
      <c r="F65" s="264"/>
      <c r="G65" s="264"/>
      <c r="H65" s="264"/>
      <c r="I65" s="264" t="s">
        <v>119</v>
      </c>
      <c r="J65" s="264"/>
      <c r="K65" s="264"/>
      <c r="L65" s="307"/>
      <c r="M65" s="307"/>
      <c r="N65" s="307"/>
      <c r="O65" s="307">
        <f>ROUND(IF($C$15&lt;1,0,O58/($C$15*100)*10000),2)</f>
        <v>0</v>
      </c>
      <c r="P65" s="264" t="s">
        <v>120</v>
      </c>
    </row>
    <row r="66" spans="1:16" x14ac:dyDescent="0.25">
      <c r="H66" s="308"/>
      <c r="I66" s="309" t="s">
        <v>121</v>
      </c>
      <c r="O66" s="310">
        <f>ROUND(IF($C$15&lt;1,0,(L58)/($C$15*100)*10000),2)</f>
        <v>0</v>
      </c>
      <c r="P66" s="236" t="s">
        <v>120</v>
      </c>
    </row>
  </sheetData>
  <sheetProtection algorithmName="SHA-512" hashValue="j3WJDTXvkw+jSUg7eZnFFw7J0QVbjz4pQhNDN3uWRLz4hLTd91yvwycHWRTf2eXqPM5P8U2smGYvLKLte8gs4Q==" saltValue="ACqEib/atvC1t4z9L30vx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30480</xdr:rowOff>
                  </from>
                  <to>
                    <xdr:col>0</xdr:col>
                    <xdr:colOff>381000</xdr:colOff>
                    <xdr:row>1</xdr:row>
                    <xdr:rowOff>106680</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6"/>
  <sheetViews>
    <sheetView topLeftCell="A20" zoomScale="85" zoomScaleNormal="85" workbookViewId="0">
      <selection activeCell="B22" sqref="B22"/>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58" t="s">
        <v>52</v>
      </c>
      <c r="B1" s="458"/>
      <c r="C1" s="458"/>
      <c r="D1" s="458"/>
      <c r="E1" s="458"/>
      <c r="F1" s="458"/>
      <c r="G1" s="458"/>
      <c r="H1" s="458"/>
      <c r="I1" s="458"/>
      <c r="J1" s="458"/>
      <c r="K1" s="458"/>
      <c r="L1" s="458"/>
      <c r="M1" s="458"/>
      <c r="N1" s="458"/>
      <c r="O1" s="458"/>
      <c r="P1" s="458"/>
    </row>
    <row r="2" spans="1:30" ht="21" x14ac:dyDescent="0.4">
      <c r="A2" s="458" t="s">
        <v>141</v>
      </c>
      <c r="B2" s="458"/>
      <c r="C2" s="458"/>
      <c r="D2" s="458"/>
      <c r="E2" s="458"/>
      <c r="F2" s="458"/>
      <c r="G2" s="458"/>
      <c r="H2" s="458"/>
      <c r="I2" s="458"/>
      <c r="J2" s="458"/>
      <c r="K2" s="458"/>
      <c r="L2" s="458"/>
      <c r="M2" s="458"/>
      <c r="N2" s="458"/>
      <c r="O2" s="458"/>
      <c r="P2" s="458"/>
    </row>
    <row r="3" spans="1:30" ht="17.399999999999999" x14ac:dyDescent="0.3">
      <c r="A3" s="459" t="s">
        <v>202</v>
      </c>
      <c r="B3" s="459"/>
      <c r="C3" s="459"/>
      <c r="D3" s="459"/>
      <c r="E3" s="459"/>
      <c r="F3" s="459"/>
      <c r="G3" s="459"/>
      <c r="H3" s="459"/>
      <c r="I3" s="459"/>
      <c r="J3" s="459"/>
      <c r="K3" s="459"/>
      <c r="L3" s="459"/>
      <c r="M3" s="459"/>
      <c r="N3" s="459"/>
      <c r="O3" s="459"/>
      <c r="P3" s="459"/>
    </row>
    <row r="4" spans="1:30" ht="15.6" x14ac:dyDescent="0.3">
      <c r="A4" s="460" t="str">
        <f>'Customer Info'!B12</f>
        <v>Breakdown of Charges Based on Entered Information</v>
      </c>
      <c r="B4" s="460"/>
      <c r="C4" s="460"/>
      <c r="D4" s="460"/>
      <c r="E4" s="460"/>
      <c r="F4" s="460"/>
      <c r="G4" s="460"/>
      <c r="H4" s="460"/>
      <c r="I4" s="460"/>
      <c r="J4" s="460"/>
      <c r="K4" s="460"/>
      <c r="L4" s="460"/>
      <c r="M4" s="460"/>
      <c r="N4" s="460"/>
      <c r="O4" s="460"/>
      <c r="P4" s="460"/>
    </row>
    <row r="5" spans="1:30" ht="15" x14ac:dyDescent="0.25">
      <c r="A5" s="231"/>
      <c r="B5" s="231"/>
      <c r="C5" s="231"/>
      <c r="D5" s="231"/>
      <c r="E5" s="231"/>
      <c r="F5" s="231"/>
      <c r="G5" s="231"/>
      <c r="H5" s="231" t="s">
        <v>203</v>
      </c>
      <c r="I5" s="231"/>
      <c r="J5" s="231"/>
      <c r="K5" s="231"/>
    </row>
    <row r="6" spans="1:30" x14ac:dyDescent="0.25">
      <c r="A6" s="232">
        <f ca="1">TODAY()</f>
        <v>45656</v>
      </c>
      <c r="B6" s="233"/>
      <c r="C6" s="232"/>
      <c r="D6" s="232"/>
      <c r="E6" s="232"/>
      <c r="F6" s="232"/>
      <c r="G6" s="232"/>
      <c r="H6" s="232"/>
      <c r="I6" s="232"/>
    </row>
    <row r="7" spans="1:30" ht="24.6" x14ac:dyDescent="0.4">
      <c r="A7" s="461"/>
      <c r="B7" s="461"/>
      <c r="C7" s="461"/>
      <c r="D7" s="461"/>
      <c r="E7" s="461"/>
      <c r="F7" s="461"/>
      <c r="G7" s="461"/>
      <c r="H7" s="461"/>
      <c r="I7" s="461"/>
      <c r="J7" s="461"/>
      <c r="K7" s="461"/>
      <c r="L7" s="461"/>
      <c r="M7" s="461"/>
      <c r="N7" s="461"/>
      <c r="O7" s="461"/>
      <c r="P7" s="461"/>
    </row>
    <row r="9" spans="1:30" ht="15" x14ac:dyDescent="0.25">
      <c r="A9" s="234" t="s">
        <v>5</v>
      </c>
      <c r="B9" s="235"/>
      <c r="C9" s="236">
        <f>'Customer Info'!B7</f>
        <v>0</v>
      </c>
      <c r="I9" s="237"/>
    </row>
    <row r="10" spans="1:30" ht="15" x14ac:dyDescent="0.25">
      <c r="A10" s="238" t="s">
        <v>55</v>
      </c>
      <c r="B10" s="235"/>
      <c r="C10" s="236">
        <f>'Customer Info'!B8</f>
        <v>0</v>
      </c>
    </row>
    <row r="11" spans="1:30" x14ac:dyDescent="0.25">
      <c r="A11" s="234" t="s">
        <v>124</v>
      </c>
      <c r="B11" s="239">
        <f>'Customer Info'!B9</f>
        <v>1</v>
      </c>
      <c r="C11" s="240" t="str">
        <f>LOOKUP(B11,R11:AD11,R12:AD12)</f>
        <v>January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2"/>
      <c r="B12" s="462"/>
      <c r="C12" s="462"/>
      <c r="D12" s="462"/>
      <c r="E12" s="462"/>
      <c r="F12" s="462"/>
      <c r="G12" s="462"/>
      <c r="H12" s="462"/>
      <c r="I12" s="462"/>
      <c r="J12" s="241"/>
      <c r="K12" s="241"/>
      <c r="L12" s="242"/>
      <c r="M12" s="242"/>
      <c r="N12" s="242"/>
      <c r="O12" s="242"/>
      <c r="P12" s="242"/>
      <c r="R12" s="230" t="s">
        <v>57</v>
      </c>
      <c r="S12" s="243" t="s">
        <v>58</v>
      </c>
      <c r="T12" s="243" t="s">
        <v>59</v>
      </c>
      <c r="U12" s="243" t="s">
        <v>60</v>
      </c>
      <c r="V12" s="243" t="s">
        <v>61</v>
      </c>
      <c r="W12" s="243" t="s">
        <v>62</v>
      </c>
      <c r="X12" s="243" t="s">
        <v>63</v>
      </c>
      <c r="Y12" s="243" t="s">
        <v>64</v>
      </c>
      <c r="Z12" s="243" t="s">
        <v>65</v>
      </c>
      <c r="AA12" s="243" t="s">
        <v>66</v>
      </c>
      <c r="AB12" s="243" t="s">
        <v>67</v>
      </c>
      <c r="AC12" s="243" t="s">
        <v>68</v>
      </c>
      <c r="AD12" s="243" t="s">
        <v>69</v>
      </c>
    </row>
    <row r="13" spans="1:30" x14ac:dyDescent="0.25">
      <c r="A13" s="244" t="s">
        <v>70</v>
      </c>
      <c r="B13" s="245"/>
      <c r="C13" s="245"/>
      <c r="D13" s="245"/>
      <c r="E13" s="245"/>
      <c r="F13" s="245"/>
      <c r="G13" s="245"/>
      <c r="H13" s="245"/>
      <c r="I13" s="245"/>
      <c r="R13" s="233" t="s">
        <v>145</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71</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172</v>
      </c>
      <c r="B16" s="247"/>
      <c r="C16" s="248">
        <f>'Customer Info'!B22</f>
        <v>0</v>
      </c>
      <c r="D16" s="247" t="s">
        <v>19</v>
      </c>
      <c r="E16" s="247"/>
      <c r="F16" s="249"/>
      <c r="G16" s="234" t="s">
        <v>2</v>
      </c>
      <c r="H16" s="247"/>
    </row>
    <row r="17" spans="1:22" x14ac:dyDescent="0.25">
      <c r="A17" s="247" t="s">
        <v>173</v>
      </c>
      <c r="B17" s="247"/>
      <c r="C17" s="248">
        <f>'Customer Info'!B23</f>
        <v>0</v>
      </c>
      <c r="D17" s="250" t="s">
        <v>19</v>
      </c>
      <c r="E17" s="249"/>
      <c r="F17" s="249"/>
      <c r="G17" s="234" t="s">
        <v>2</v>
      </c>
      <c r="H17" s="247"/>
      <c r="I17" s="251" t="s">
        <v>2</v>
      </c>
    </row>
    <row r="19" spans="1:22" x14ac:dyDescent="0.25">
      <c r="A19" s="244" t="s">
        <v>72</v>
      </c>
      <c r="B19" s="245"/>
      <c r="C19" s="245"/>
      <c r="D19" s="245"/>
      <c r="E19" s="245"/>
      <c r="F19" s="245"/>
      <c r="G19" s="454" t="s">
        <v>73</v>
      </c>
      <c r="H19" s="455"/>
      <c r="I19" s="455"/>
      <c r="J19" s="456"/>
      <c r="K19" s="245"/>
      <c r="L19" s="457" t="s">
        <v>74</v>
      </c>
      <c r="M19" s="457"/>
      <c r="N19" s="457"/>
      <c r="O19" s="457"/>
    </row>
    <row r="20" spans="1:22" x14ac:dyDescent="0.25">
      <c r="G20" s="252" t="s">
        <v>75</v>
      </c>
      <c r="H20" s="252" t="s">
        <v>76</v>
      </c>
      <c r="I20" s="252" t="s">
        <v>77</v>
      </c>
      <c r="J20" s="253" t="s">
        <v>78</v>
      </c>
      <c r="L20" s="254" t="s">
        <v>75</v>
      </c>
      <c r="M20" s="254" t="s">
        <v>76</v>
      </c>
      <c r="N20" s="254" t="s">
        <v>77</v>
      </c>
      <c r="O20" s="254" t="s">
        <v>78</v>
      </c>
      <c r="P20" s="255" t="s">
        <v>79</v>
      </c>
    </row>
    <row r="21" spans="1:22" x14ac:dyDescent="0.25">
      <c r="A21" s="230" t="s">
        <v>80</v>
      </c>
      <c r="G21" s="256"/>
      <c r="H21" s="256"/>
      <c r="I21" s="256">
        <f>'Rider Rates'!B150</f>
        <v>825</v>
      </c>
      <c r="J21" s="256">
        <f>SUM(G21:I21)</f>
        <v>825</v>
      </c>
      <c r="L21" s="257"/>
      <c r="M21" s="257"/>
      <c r="N21" s="257">
        <f>I21</f>
        <v>825</v>
      </c>
      <c r="O21" s="256">
        <f>SUM(L21:N21)</f>
        <v>825</v>
      </c>
      <c r="P21" s="258">
        <v>44531</v>
      </c>
    </row>
    <row r="22" spans="1:22" x14ac:dyDescent="0.25">
      <c r="A22" s="233" t="s">
        <v>174</v>
      </c>
      <c r="D22" s="259">
        <f>C15</f>
        <v>0</v>
      </c>
      <c r="E22" s="260" t="s">
        <v>19</v>
      </c>
      <c r="F22" s="261" t="s">
        <v>82</v>
      </c>
      <c r="G22" s="262"/>
      <c r="H22" s="262"/>
      <c r="I22" s="262">
        <f>'Rider Rates'!C150</f>
        <v>5.9799999999999997E-5</v>
      </c>
      <c r="J22" s="262">
        <f>SUM(G22:I22)</f>
        <v>5.9799999999999997E-5</v>
      </c>
      <c r="K22" s="263" t="s">
        <v>87</v>
      </c>
      <c r="L22" s="256"/>
      <c r="M22" s="256"/>
      <c r="N22" s="256">
        <f>IF(C15&lt;0,0,ROUND($D22*I22,2))</f>
        <v>0</v>
      </c>
      <c r="O22" s="256">
        <f>SUM(L22:N22)</f>
        <v>0</v>
      </c>
      <c r="P22" s="258">
        <f>'Rider Rates'!H150</f>
        <v>45444</v>
      </c>
    </row>
    <row r="23" spans="1:22" x14ac:dyDescent="0.25">
      <c r="A23" s="264" t="s">
        <v>84</v>
      </c>
      <c r="B23" s="264"/>
      <c r="C23" s="264"/>
      <c r="D23" s="265"/>
      <c r="E23" s="265"/>
      <c r="F23" s="264"/>
      <c r="G23" s="264"/>
      <c r="H23" s="264"/>
      <c r="I23" s="264"/>
      <c r="J23" s="264"/>
      <c r="K23" s="266"/>
      <c r="L23" s="267"/>
      <c r="M23" s="267"/>
      <c r="N23" s="267">
        <f>SUM(N21:N22)</f>
        <v>825</v>
      </c>
      <c r="O23" s="267">
        <f>SUM(O21:O22)</f>
        <v>825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85</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86</v>
      </c>
      <c r="B27" s="275"/>
      <c r="C27" s="275"/>
      <c r="D27" s="259">
        <f>IF($C$15&lt;0,0,IF($C$15&gt;833000,833000,$C$15))</f>
        <v>0</v>
      </c>
      <c r="E27" s="260" t="s">
        <v>19</v>
      </c>
      <c r="F27" s="261" t="s">
        <v>82</v>
      </c>
      <c r="G27" s="276"/>
      <c r="H27" s="276"/>
      <c r="I27" s="276">
        <f>'Rider Rates'!$B$4</f>
        <v>4.6278999999999999E-3</v>
      </c>
      <c r="J27" s="276">
        <f t="shared" ref="J27:J48" si="0">SUM(G27:I27)</f>
        <v>4.6278999999999999E-3</v>
      </c>
      <c r="K27" s="263" t="s">
        <v>87</v>
      </c>
      <c r="L27" s="91"/>
      <c r="M27" s="91"/>
      <c r="N27" s="91">
        <f t="shared" ref="N27:N32" si="1">ROUND(D27*I27,2)</f>
        <v>0</v>
      </c>
      <c r="O27" s="91">
        <f t="shared" ref="O27:O49" si="2">SUM(L27:N27)</f>
        <v>0</v>
      </c>
      <c r="P27" s="258">
        <f>'Rider Rates'!$D$4</f>
        <v>45657</v>
      </c>
      <c r="Q27" s="261"/>
      <c r="R27" s="277"/>
      <c r="S27" s="263"/>
      <c r="T27" s="273"/>
      <c r="V27" s="274"/>
    </row>
    <row r="28" spans="1:22" x14ac:dyDescent="0.25">
      <c r="A28" s="233" t="s">
        <v>88</v>
      </c>
      <c r="D28" s="259">
        <f>IF($C$15&gt;833000,$C$15-833000,0)</f>
        <v>0</v>
      </c>
      <c r="E28" s="260" t="s">
        <v>19</v>
      </c>
      <c r="F28" s="261" t="s">
        <v>82</v>
      </c>
      <c r="G28" s="276"/>
      <c r="H28" s="276"/>
      <c r="I28" s="276">
        <f>'Rider Rates'!$B$5</f>
        <v>1.7560000000000001E-4</v>
      </c>
      <c r="J28" s="276">
        <f t="shared" si="0"/>
        <v>1.7560000000000001E-4</v>
      </c>
      <c r="K28" s="263" t="s">
        <v>87</v>
      </c>
      <c r="L28" s="91"/>
      <c r="M28" s="91"/>
      <c r="N28" s="91">
        <f t="shared" si="1"/>
        <v>0</v>
      </c>
      <c r="O28" s="91">
        <f t="shared" si="2"/>
        <v>0</v>
      </c>
      <c r="P28" s="258">
        <f>'Rider Rates'!$D$4</f>
        <v>45657</v>
      </c>
      <c r="Q28" s="261"/>
      <c r="R28" s="277"/>
      <c r="S28" s="263"/>
      <c r="T28" s="273"/>
      <c r="V28" s="274"/>
    </row>
    <row r="29" spans="1:22" x14ac:dyDescent="0.25">
      <c r="A29" s="233" t="s">
        <v>89</v>
      </c>
      <c r="D29" s="259">
        <f>IF('Customer Info'!$C$33=TRUE,0,IF($C$15&lt;0,0,IF($C$15&gt;2000,2000,$C$15)))</f>
        <v>0</v>
      </c>
      <c r="E29" s="260" t="s">
        <v>19</v>
      </c>
      <c r="F29" s="261" t="s">
        <v>82</v>
      </c>
      <c r="G29" s="276"/>
      <c r="H29" s="276"/>
      <c r="I29" s="278">
        <f>'Rider Rates'!$B$8</f>
        <v>4.6499999999999996E-3</v>
      </c>
      <c r="J29" s="278">
        <f t="shared" si="0"/>
        <v>4.6499999999999996E-3</v>
      </c>
      <c r="K29" s="263" t="s">
        <v>87</v>
      </c>
      <c r="L29" s="91"/>
      <c r="M29" s="91"/>
      <c r="N29" s="91">
        <f t="shared" si="1"/>
        <v>0</v>
      </c>
      <c r="O29" s="91">
        <f t="shared" si="2"/>
        <v>0</v>
      </c>
      <c r="P29" s="258">
        <f>'Rider Rates'!$D$7</f>
        <v>44531</v>
      </c>
      <c r="Q29" s="261"/>
      <c r="R29" s="277"/>
      <c r="S29" s="263"/>
      <c r="T29" s="273"/>
      <c r="V29" s="274"/>
    </row>
    <row r="30" spans="1:22" x14ac:dyDescent="0.25">
      <c r="A30" s="233" t="s">
        <v>90</v>
      </c>
      <c r="D30" s="259">
        <f>IF('Customer Info'!$C$33=TRUE,0,IF($C$15&lt;=2000,0,IF($C$15=0,0,IF($C$15-2000&gt;13000,13000,$C$15-2000))))</f>
        <v>0</v>
      </c>
      <c r="E30" s="260" t="s">
        <v>19</v>
      </c>
      <c r="F30" s="261" t="s">
        <v>82</v>
      </c>
      <c r="G30" s="276"/>
      <c r="H30" s="276"/>
      <c r="I30" s="278">
        <f>'Rider Rates'!$B$9</f>
        <v>4.1900000000000001E-3</v>
      </c>
      <c r="J30" s="278">
        <f t="shared" si="0"/>
        <v>4.1900000000000001E-3</v>
      </c>
      <c r="K30" s="263" t="s">
        <v>87</v>
      </c>
      <c r="L30" s="91"/>
      <c r="M30" s="91"/>
      <c r="N30" s="91">
        <f t="shared" si="1"/>
        <v>0</v>
      </c>
      <c r="O30" s="91">
        <f t="shared" si="2"/>
        <v>0</v>
      </c>
      <c r="P30" s="258">
        <f>'Rider Rates'!$D$7</f>
        <v>44531</v>
      </c>
      <c r="Q30" s="261"/>
      <c r="R30" s="277"/>
      <c r="S30" s="263"/>
      <c r="T30" s="273"/>
      <c r="V30" s="274"/>
    </row>
    <row r="31" spans="1:22" x14ac:dyDescent="0.25">
      <c r="A31" s="233" t="s">
        <v>91</v>
      </c>
      <c r="D31" s="259">
        <f>IF('Customer Info'!$C$33=TRUE,0,IF($C$15=0,0,IF($C$15-15000&gt;=0,$C$15-15000,0)))</f>
        <v>0</v>
      </c>
      <c r="E31" s="260" t="s">
        <v>19</v>
      </c>
      <c r="F31" s="261" t="s">
        <v>82</v>
      </c>
      <c r="G31" s="276"/>
      <c r="H31" s="276"/>
      <c r="I31" s="278">
        <f>'Rider Rates'!$B$10</f>
        <v>3.63E-3</v>
      </c>
      <c r="J31" s="278">
        <f t="shared" si="0"/>
        <v>3.63E-3</v>
      </c>
      <c r="K31" s="263" t="s">
        <v>87</v>
      </c>
      <c r="L31" s="91"/>
      <c r="M31" s="91"/>
      <c r="N31" s="91">
        <f t="shared" si="1"/>
        <v>0</v>
      </c>
      <c r="O31" s="91">
        <f t="shared" si="2"/>
        <v>0</v>
      </c>
      <c r="P31" s="258">
        <f>'Rider Rates'!$D$7</f>
        <v>44531</v>
      </c>
      <c r="Q31" s="261"/>
      <c r="R31" s="277"/>
      <c r="S31" s="263"/>
      <c r="T31" s="273"/>
      <c r="V31" s="274"/>
    </row>
    <row r="32" spans="1:22" x14ac:dyDescent="0.25">
      <c r="A32" s="233" t="s">
        <v>92</v>
      </c>
      <c r="D32" s="259">
        <f>IF($C$15&lt;0,0,$C$15)</f>
        <v>0</v>
      </c>
      <c r="E32" s="260" t="s">
        <v>19</v>
      </c>
      <c r="F32" s="261" t="s">
        <v>82</v>
      </c>
      <c r="G32" s="276"/>
      <c r="H32" s="276"/>
      <c r="I32" s="276">
        <f>'Rider Rates'!$B$16</f>
        <v>0</v>
      </c>
      <c r="J32" s="276">
        <f>SUM(G32:I32)</f>
        <v>0</v>
      </c>
      <c r="K32" s="263" t="s">
        <v>87</v>
      </c>
      <c r="L32" s="91"/>
      <c r="M32" s="91"/>
      <c r="N32" s="91">
        <f t="shared" si="1"/>
        <v>0</v>
      </c>
      <c r="O32" s="91">
        <f t="shared" si="2"/>
        <v>0</v>
      </c>
      <c r="P32" s="258">
        <f>'Rider Rates'!$D$16</f>
        <v>45197</v>
      </c>
      <c r="Q32" s="261"/>
      <c r="R32" s="277"/>
      <c r="S32" s="263"/>
      <c r="T32" s="273"/>
      <c r="V32" s="274"/>
    </row>
    <row r="33" spans="1:22" x14ac:dyDescent="0.25">
      <c r="A33" s="233" t="s">
        <v>93</v>
      </c>
      <c r="D33" s="279">
        <f>$N$23</f>
        <v>825</v>
      </c>
      <c r="E33" s="260" t="s">
        <v>94</v>
      </c>
      <c r="F33" s="261" t="s">
        <v>82</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95</v>
      </c>
      <c r="D34" s="259">
        <f>C15</f>
        <v>0</v>
      </c>
      <c r="E34" s="260" t="s">
        <v>19</v>
      </c>
      <c r="F34" s="261" t="s">
        <v>82</v>
      </c>
      <c r="G34" s="276"/>
      <c r="H34" s="276"/>
      <c r="I34" s="276"/>
      <c r="J34" s="281">
        <f>SUM(G34:H34)</f>
        <v>0</v>
      </c>
      <c r="K34" s="263" t="s">
        <v>87</v>
      </c>
      <c r="L34" s="91">
        <f>ROUND(D34*G34,2)</f>
        <v>0</v>
      </c>
      <c r="M34" s="91"/>
      <c r="N34" s="91"/>
      <c r="O34" s="91">
        <f t="shared" si="2"/>
        <v>0</v>
      </c>
      <c r="P34" s="258">
        <f>'Rider Rates'!$D$22</f>
        <v>45444</v>
      </c>
      <c r="Q34" s="261"/>
      <c r="R34" s="277"/>
      <c r="S34" s="263"/>
      <c r="T34" s="273"/>
      <c r="V34" s="274"/>
    </row>
    <row r="35" spans="1:22" x14ac:dyDescent="0.25">
      <c r="A35" s="233" t="s">
        <v>148</v>
      </c>
      <c r="D35" s="259">
        <f>C16</f>
        <v>0</v>
      </c>
      <c r="E35" s="260" t="s">
        <v>19</v>
      </c>
      <c r="F35" s="261" t="s">
        <v>82</v>
      </c>
      <c r="G35" s="276"/>
      <c r="H35" s="276"/>
      <c r="I35" s="276"/>
      <c r="J35" s="281">
        <f>SUM(G35:H35)</f>
        <v>0</v>
      </c>
      <c r="K35" s="263" t="s">
        <v>87</v>
      </c>
      <c r="L35" s="91">
        <f>ROUND(D35*G35,2)</f>
        <v>0</v>
      </c>
      <c r="M35" s="91"/>
      <c r="N35" s="91"/>
      <c r="O35" s="91">
        <f t="shared" si="2"/>
        <v>0</v>
      </c>
      <c r="P35" s="258">
        <f>'Rider Rates'!$D$38</f>
        <v>45444</v>
      </c>
      <c r="Q35" s="261"/>
      <c r="R35" s="277"/>
      <c r="S35" s="263"/>
      <c r="T35" s="273"/>
      <c r="V35" s="274"/>
    </row>
    <row r="36" spans="1:22" x14ac:dyDescent="0.25">
      <c r="A36" s="233" t="s">
        <v>149</v>
      </c>
      <c r="D36" s="259">
        <f>C17</f>
        <v>0</v>
      </c>
      <c r="E36" s="260" t="s">
        <v>19</v>
      </c>
      <c r="F36" s="255" t="s">
        <v>82</v>
      </c>
      <c r="G36" s="276"/>
      <c r="H36" s="276"/>
      <c r="I36" s="276"/>
      <c r="J36" s="281">
        <f>SUM(G36:H36)</f>
        <v>0</v>
      </c>
      <c r="K36" s="263" t="s">
        <v>87</v>
      </c>
      <c r="L36" s="91">
        <f>ROUND(D36*G36,2)</f>
        <v>0</v>
      </c>
      <c r="M36" s="91"/>
      <c r="N36" s="91"/>
      <c r="O36" s="91">
        <f t="shared" si="2"/>
        <v>0</v>
      </c>
      <c r="P36" s="258">
        <f>'Rider Rates'!D39</f>
        <v>45444</v>
      </c>
      <c r="Q36" s="261"/>
      <c r="R36" s="277"/>
      <c r="S36" s="263"/>
      <c r="T36" s="273"/>
      <c r="V36" s="274"/>
    </row>
    <row r="37" spans="1:22" x14ac:dyDescent="0.25">
      <c r="A37" s="233" t="s">
        <v>97</v>
      </c>
      <c r="D37" s="259">
        <f>C16+C17</f>
        <v>0</v>
      </c>
      <c r="E37" s="260" t="s">
        <v>19</v>
      </c>
      <c r="F37" s="261" t="s">
        <v>82</v>
      </c>
      <c r="G37" s="276"/>
      <c r="H37" s="276"/>
      <c r="I37" s="276"/>
      <c r="J37" s="281">
        <f>SUM(G37:H37)</f>
        <v>0</v>
      </c>
      <c r="K37" s="263" t="s">
        <v>87</v>
      </c>
      <c r="L37" s="91">
        <f>ROUND(D37*G37,2)</f>
        <v>0</v>
      </c>
      <c r="M37" s="91"/>
      <c r="N37" s="91"/>
      <c r="O37" s="91">
        <f t="shared" si="2"/>
        <v>0</v>
      </c>
      <c r="P37" s="258">
        <f>'Rider Rates'!$D$49</f>
        <v>45657</v>
      </c>
      <c r="Q37" s="261"/>
      <c r="R37" s="277"/>
      <c r="S37" s="263"/>
      <c r="T37" s="273"/>
      <c r="V37" s="274"/>
    </row>
    <row r="38" spans="1:22" x14ac:dyDescent="0.25">
      <c r="A38" s="230" t="s">
        <v>98</v>
      </c>
      <c r="D38" s="259">
        <f>IF($C$15&lt;0,0,IF($C$15&gt;833000,833000,$C$15))</f>
        <v>0</v>
      </c>
      <c r="E38" s="260" t="s">
        <v>19</v>
      </c>
      <c r="F38" s="261" t="s">
        <v>82</v>
      </c>
      <c r="G38" s="276"/>
      <c r="H38" s="276"/>
      <c r="I38" s="276">
        <f>'Rider Rates'!D53</f>
        <v>1.8006999999999999E-3</v>
      </c>
      <c r="J38" s="276">
        <f>SUM(G38:I38)</f>
        <v>1.8006999999999999E-3</v>
      </c>
      <c r="K38" s="263" t="s">
        <v>87</v>
      </c>
      <c r="L38" s="91"/>
      <c r="M38" s="91"/>
      <c r="N38" s="91">
        <f>D38*J38</f>
        <v>0</v>
      </c>
      <c r="O38" s="91">
        <f t="shared" si="2"/>
        <v>0</v>
      </c>
      <c r="P38" s="258">
        <f>'Rider Rates'!E53</f>
        <v>45658</v>
      </c>
      <c r="Q38" s="261"/>
      <c r="R38" s="277"/>
      <c r="S38" s="263"/>
      <c r="T38" s="273"/>
      <c r="V38" s="274"/>
    </row>
    <row r="39" spans="1:22" x14ac:dyDescent="0.25">
      <c r="A39" s="233" t="s">
        <v>99</v>
      </c>
      <c r="D39" s="259">
        <f>IF($C$15&lt;0,0,$C$15)</f>
        <v>0</v>
      </c>
      <c r="E39" s="260" t="s">
        <v>19</v>
      </c>
      <c r="F39" s="261" t="s">
        <v>82</v>
      </c>
      <c r="G39" s="276"/>
      <c r="H39" s="276">
        <f>'Rider Rates'!$B$60</f>
        <v>2.3467399999999999E-2</v>
      </c>
      <c r="I39" s="276"/>
      <c r="J39" s="276">
        <f>SUM(G39:I39)</f>
        <v>2.3467399999999999E-2</v>
      </c>
      <c r="K39" s="263" t="s">
        <v>87</v>
      </c>
      <c r="L39" s="91"/>
      <c r="M39" s="91">
        <f>ROUND(D39*H39,2)</f>
        <v>0</v>
      </c>
      <c r="N39" s="282"/>
      <c r="O39" s="91">
        <f t="shared" si="2"/>
        <v>0</v>
      </c>
      <c r="P39" s="258">
        <f>'Rider Rates'!$D$60</f>
        <v>45383</v>
      </c>
      <c r="Q39" s="261"/>
      <c r="R39" s="277"/>
      <c r="S39" s="263"/>
      <c r="T39" s="273"/>
      <c r="V39" s="274"/>
    </row>
    <row r="40" spans="1:22" x14ac:dyDescent="0.25">
      <c r="A40" s="233" t="s">
        <v>101</v>
      </c>
      <c r="D40" s="259">
        <f>IF('Customer Info'!C35=TRUE,0,IF($C$15&lt;0,0,$C$15))</f>
        <v>0</v>
      </c>
      <c r="E40" s="260" t="s">
        <v>19</v>
      </c>
      <c r="F40" s="261" t="s">
        <v>82</v>
      </c>
      <c r="G40" s="276"/>
      <c r="H40" s="276"/>
      <c r="I40" s="276">
        <f>'Rider Rates'!$B$74+'Rider Rates'!$C$74</f>
        <v>0</v>
      </c>
      <c r="J40" s="276">
        <f t="shared" si="0"/>
        <v>0</v>
      </c>
      <c r="K40" s="263" t="s">
        <v>87</v>
      </c>
      <c r="L40" s="91"/>
      <c r="M40" s="91"/>
      <c r="N40" s="91">
        <f>ROUND($D$40*'Rider Rates'!$B$74,2)+ROUND($D$40*'Rider Rates'!$C$74,2)</f>
        <v>0</v>
      </c>
      <c r="O40" s="91">
        <f t="shared" si="2"/>
        <v>0</v>
      </c>
      <c r="P40" s="258">
        <f>'Rider Rates'!$D$74</f>
        <v>44531</v>
      </c>
      <c r="Q40" s="261"/>
      <c r="R40" s="277"/>
      <c r="S40" s="263"/>
      <c r="T40" s="273"/>
      <c r="V40" s="274"/>
    </row>
    <row r="41" spans="1:22" x14ac:dyDescent="0.25">
      <c r="A41" s="233" t="s">
        <v>101</v>
      </c>
      <c r="D41" s="259"/>
      <c r="E41" s="260" t="s">
        <v>57</v>
      </c>
      <c r="F41" s="261"/>
      <c r="G41" s="276"/>
      <c r="H41" s="276"/>
      <c r="I41" s="283">
        <f>'Rider Rates'!$B$81</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102</v>
      </c>
      <c r="D42" s="279">
        <f>$N$23</f>
        <v>825</v>
      </c>
      <c r="E42" s="260" t="s">
        <v>94</v>
      </c>
      <c r="F42" s="261" t="s">
        <v>82</v>
      </c>
      <c r="G42" s="284"/>
      <c r="H42" s="253"/>
      <c r="I42" s="285">
        <f>'Rider Rates'!$B$89</f>
        <v>4.94232E-2</v>
      </c>
      <c r="J42" s="285">
        <f t="shared" si="0"/>
        <v>4.94232E-2</v>
      </c>
      <c r="K42" s="263"/>
      <c r="L42" s="91"/>
      <c r="M42" s="91"/>
      <c r="N42" s="91">
        <f>ROUND(D42*I42,2)</f>
        <v>40.770000000000003</v>
      </c>
      <c r="O42" s="91">
        <f t="shared" si="2"/>
        <v>40.770000000000003</v>
      </c>
      <c r="P42" s="258">
        <f>'Rider Rates'!$D$89</f>
        <v>45562</v>
      </c>
      <c r="Q42" s="261"/>
      <c r="R42" s="277"/>
      <c r="S42" s="263"/>
      <c r="T42" s="273"/>
      <c r="V42" s="274"/>
    </row>
    <row r="43" spans="1:22" x14ac:dyDescent="0.25">
      <c r="A43" s="233" t="s">
        <v>103</v>
      </c>
      <c r="D43" s="279">
        <f>$N$23</f>
        <v>825</v>
      </c>
      <c r="E43" s="260" t="s">
        <v>94</v>
      </c>
      <c r="F43" s="261" t="s">
        <v>82</v>
      </c>
      <c r="G43" s="286"/>
      <c r="H43" s="253"/>
      <c r="I43" s="285">
        <f>'Rider Rates'!$B$91</f>
        <v>6.6985699999999995E-2</v>
      </c>
      <c r="J43" s="285">
        <f t="shared" si="0"/>
        <v>6.6985699999999995E-2</v>
      </c>
      <c r="K43" s="263"/>
      <c r="L43" s="91"/>
      <c r="M43" s="91"/>
      <c r="N43" s="91">
        <f>ROUND(D43*I43,2)</f>
        <v>55.26</v>
      </c>
      <c r="O43" s="91">
        <f t="shared" si="2"/>
        <v>55.26</v>
      </c>
      <c r="P43" s="258">
        <f>'Rider Rates'!$D$91</f>
        <v>45167</v>
      </c>
      <c r="Q43" s="261"/>
      <c r="R43" s="277"/>
      <c r="S43" s="263"/>
      <c r="T43" s="273"/>
      <c r="V43" s="274"/>
    </row>
    <row r="44" spans="1:22" x14ac:dyDescent="0.25">
      <c r="A44" s="233" t="s">
        <v>104</v>
      </c>
      <c r="D44" s="279"/>
      <c r="E44" s="260" t="s">
        <v>57</v>
      </c>
      <c r="F44" s="261"/>
      <c r="G44" s="286"/>
      <c r="H44" s="253"/>
      <c r="I44" s="283">
        <f>'Rider Rates'!$B$95</f>
        <v>17.53</v>
      </c>
      <c r="J44" s="283">
        <f t="shared" si="0"/>
        <v>17.53</v>
      </c>
      <c r="K44" s="263"/>
      <c r="L44" s="91"/>
      <c r="M44" s="91"/>
      <c r="N44" s="91">
        <f>I44</f>
        <v>17.53</v>
      </c>
      <c r="O44" s="91">
        <f t="shared" si="2"/>
        <v>17.53</v>
      </c>
      <c r="P44" s="258">
        <f>'Rider Rates'!$D$95</f>
        <v>45657</v>
      </c>
      <c r="Q44" s="261"/>
      <c r="R44" s="277"/>
      <c r="S44" s="263"/>
      <c r="T44" s="273"/>
      <c r="V44" s="274"/>
    </row>
    <row r="45" spans="1:22" x14ac:dyDescent="0.25">
      <c r="A45" s="233" t="s">
        <v>105</v>
      </c>
      <c r="D45" s="259">
        <f>IF($C$15&lt;0,0,$C$15)</f>
        <v>0</v>
      </c>
      <c r="E45" s="260" t="s">
        <v>19</v>
      </c>
      <c r="F45" s="261" t="s">
        <v>82</v>
      </c>
      <c r="G45" s="276"/>
      <c r="H45" s="276"/>
      <c r="I45" s="276"/>
      <c r="J45" s="276">
        <f>'Rider Rates'!$B$99</f>
        <v>0</v>
      </c>
      <c r="K45" s="263" t="s">
        <v>87</v>
      </c>
      <c r="L45" s="91"/>
      <c r="M45" s="91"/>
      <c r="N45" s="91"/>
      <c r="O45" s="91">
        <f>ROUND($D45*('Rider Rates'!B$99),2)</f>
        <v>0</v>
      </c>
      <c r="P45" s="258">
        <f>'Rider Rates'!$D$99</f>
        <v>44531</v>
      </c>
      <c r="Q45" s="261"/>
      <c r="R45" s="277"/>
      <c r="S45" s="263"/>
      <c r="T45" s="273"/>
      <c r="V45" s="274"/>
    </row>
    <row r="46" spans="1:22" x14ac:dyDescent="0.25">
      <c r="A46" s="233" t="s">
        <v>106</v>
      </c>
      <c r="D46" s="279">
        <f>$N$23</f>
        <v>825</v>
      </c>
      <c r="E46" s="260" t="s">
        <v>94</v>
      </c>
      <c r="F46" s="261" t="s">
        <v>82</v>
      </c>
      <c r="G46" s="286"/>
      <c r="H46" s="253"/>
      <c r="I46" s="285">
        <f>'Rider Rates'!$B$109</f>
        <v>0.2363101</v>
      </c>
      <c r="J46" s="285">
        <f t="shared" si="0"/>
        <v>0.2363101</v>
      </c>
      <c r="K46" s="263"/>
      <c r="L46" s="91"/>
      <c r="M46" s="91"/>
      <c r="N46" s="91">
        <f>ROUND(D46*I46,2)</f>
        <v>194.96</v>
      </c>
      <c r="O46" s="91">
        <f t="shared" si="2"/>
        <v>194.96</v>
      </c>
      <c r="P46" s="258">
        <f>'Rider Rates'!$D$109</f>
        <v>45622</v>
      </c>
      <c r="Q46" s="261"/>
      <c r="R46" s="277"/>
      <c r="S46" s="263"/>
      <c r="T46" s="273"/>
      <c r="V46" s="274"/>
    </row>
    <row r="47" spans="1:22" x14ac:dyDescent="0.25">
      <c r="A47" s="233" t="s">
        <v>107</v>
      </c>
      <c r="D47" s="279"/>
      <c r="E47" s="260" t="s">
        <v>57</v>
      </c>
      <c r="F47" s="261"/>
      <c r="G47" s="286"/>
      <c r="H47" s="253"/>
      <c r="I47" s="283">
        <f>'Rider Rates'!$B$113</f>
        <v>0</v>
      </c>
      <c r="J47" s="283">
        <f t="shared" si="0"/>
        <v>0</v>
      </c>
      <c r="K47" s="263"/>
      <c r="L47" s="91"/>
      <c r="M47" s="91"/>
      <c r="N47" s="91">
        <f>I47</f>
        <v>0</v>
      </c>
      <c r="O47" s="91">
        <f t="shared" si="2"/>
        <v>0</v>
      </c>
      <c r="P47" s="258">
        <f>'Rider Rates'!$D$113</f>
        <v>44894</v>
      </c>
      <c r="Q47" s="261"/>
      <c r="R47" s="277"/>
      <c r="S47" s="263"/>
      <c r="T47" s="273"/>
      <c r="V47" s="274"/>
    </row>
    <row r="48" spans="1:22" x14ac:dyDescent="0.25">
      <c r="A48" s="233" t="s">
        <v>108</v>
      </c>
      <c r="D48" s="279"/>
      <c r="E48" s="260" t="s">
        <v>57</v>
      </c>
      <c r="F48" s="261"/>
      <c r="G48" s="286"/>
      <c r="H48" s="253"/>
      <c r="I48" s="287">
        <f>'Rider Rates'!B126</f>
        <v>4.84</v>
      </c>
      <c r="J48" s="283">
        <f t="shared" si="0"/>
        <v>4.84</v>
      </c>
      <c r="K48" s="263"/>
      <c r="L48" s="91"/>
      <c r="M48" s="91"/>
      <c r="N48" s="288">
        <f>I48</f>
        <v>4.84</v>
      </c>
      <c r="O48" s="91">
        <f t="shared" si="2"/>
        <v>4.84</v>
      </c>
      <c r="P48" s="258">
        <f>'Rider Rates'!D126</f>
        <v>45593</v>
      </c>
      <c r="Q48" s="261"/>
      <c r="R48" s="277"/>
      <c r="S48" s="263"/>
      <c r="T48" s="273"/>
      <c r="V48" s="274"/>
    </row>
    <row r="49" spans="1:22" x14ac:dyDescent="0.25">
      <c r="A49" s="233" t="s">
        <v>109</v>
      </c>
      <c r="D49" s="259">
        <f>C16+C17</f>
        <v>0</v>
      </c>
      <c r="E49" s="260" t="s">
        <v>19</v>
      </c>
      <c r="F49" s="261" t="s">
        <v>82</v>
      </c>
      <c r="G49" s="276"/>
      <c r="H49" s="276"/>
      <c r="I49" s="285"/>
      <c r="J49" s="281">
        <f>SUM(G49:H49)</f>
        <v>0</v>
      </c>
      <c r="K49" s="263" t="s">
        <v>87</v>
      </c>
      <c r="L49" s="91">
        <f>ROUND(D49*G49,2)</f>
        <v>0</v>
      </c>
      <c r="M49" s="91"/>
      <c r="N49" s="91"/>
      <c r="O49" s="91">
        <f t="shared" si="2"/>
        <v>0</v>
      </c>
      <c r="P49" s="258">
        <f>'Rider Rates'!$D$116</f>
        <v>44531</v>
      </c>
      <c r="Q49" s="261"/>
      <c r="R49" s="277"/>
      <c r="S49" s="263"/>
      <c r="T49" s="273"/>
      <c r="V49" s="274"/>
    </row>
    <row r="50" spans="1:22" x14ac:dyDescent="0.25">
      <c r="A50" s="233" t="s">
        <v>110</v>
      </c>
      <c r="D50" s="259">
        <f>IF($C$15&lt;1,0,$C$15)</f>
        <v>0</v>
      </c>
      <c r="E50" s="260" t="s">
        <v>19</v>
      </c>
      <c r="F50" s="255" t="s">
        <v>82</v>
      </c>
      <c r="G50" s="289"/>
      <c r="H50" s="289"/>
      <c r="I50" s="290">
        <f>'Rider Rates'!B122</f>
        <v>0</v>
      </c>
      <c r="J50" s="290">
        <f>SUM(G50:I50)</f>
        <v>0</v>
      </c>
      <c r="K50" s="263" t="s">
        <v>87</v>
      </c>
      <c r="L50" s="91"/>
      <c r="M50" s="91"/>
      <c r="N50" s="91">
        <f>D50*J50</f>
        <v>0</v>
      </c>
      <c r="O50" s="91">
        <f>SUM(L50:N50)</f>
        <v>0</v>
      </c>
      <c r="P50" s="258">
        <f>'Rider Rates'!D122</f>
        <v>45657</v>
      </c>
      <c r="Q50" s="261"/>
      <c r="R50" s="277"/>
      <c r="S50" s="263"/>
      <c r="T50" s="273"/>
      <c r="V50" s="274"/>
    </row>
    <row r="51" spans="1:22" x14ac:dyDescent="0.25">
      <c r="A51" s="230" t="s">
        <v>169</v>
      </c>
      <c r="D51" s="259">
        <f>IF(C15&lt;0,0,IF(C15&gt;833000,833000,C15))</f>
        <v>0</v>
      </c>
      <c r="E51" s="260" t="s">
        <v>19</v>
      </c>
      <c r="F51" s="261" t="s">
        <v>82</v>
      </c>
      <c r="G51" s="291"/>
      <c r="H51" s="291"/>
      <c r="I51" s="291">
        <f>'Rider Rates'!$B$130</f>
        <v>2.9050000000000001E-4</v>
      </c>
      <c r="J51" s="291">
        <f>SUM(G51:I51)</f>
        <v>2.9050000000000001E-4</v>
      </c>
      <c r="K51" s="263" t="s">
        <v>87</v>
      </c>
      <c r="L51" s="292"/>
      <c r="M51" s="292"/>
      <c r="N51" s="292">
        <f>IF(D51*J51&gt;'Rider Rates'!$C$130,'Rider Rates'!$C$130,D51*J51)</f>
        <v>0</v>
      </c>
      <c r="O51" s="292">
        <f>SUM(L51:N51)</f>
        <v>0</v>
      </c>
      <c r="P51" s="293">
        <f>'Rider Rates'!$E$130</f>
        <v>45658</v>
      </c>
      <c r="Q51" s="261"/>
      <c r="R51" s="277"/>
      <c r="S51" s="263"/>
      <c r="T51" s="273"/>
      <c r="V51" s="274"/>
    </row>
    <row r="52" spans="1:22" x14ac:dyDescent="0.25">
      <c r="A52" s="230" t="s">
        <v>170</v>
      </c>
      <c r="D52" s="259">
        <f>IF(C15&gt;833000,C15-833000,0)</f>
        <v>0</v>
      </c>
      <c r="E52" s="260" t="s">
        <v>19</v>
      </c>
      <c r="F52" s="261" t="s">
        <v>82</v>
      </c>
      <c r="G52" s="291"/>
      <c r="H52" s="291"/>
      <c r="I52" s="291">
        <f>'Rider Rates'!$B$131</f>
        <v>0</v>
      </c>
      <c r="J52" s="291">
        <f>SUM(G52:I52)</f>
        <v>0</v>
      </c>
      <c r="K52" s="263" t="s">
        <v>87</v>
      </c>
      <c r="L52" s="292"/>
      <c r="M52" s="292"/>
      <c r="N52" s="292">
        <f>D52*J52</f>
        <v>0</v>
      </c>
      <c r="O52" s="292">
        <f>SUM(L52:N52)</f>
        <v>0</v>
      </c>
      <c r="P52" s="293">
        <f>'Rider Rates'!$E$131</f>
        <v>45658</v>
      </c>
      <c r="Q52" s="261"/>
      <c r="R52" s="277"/>
      <c r="S52" s="263"/>
      <c r="T52" s="273"/>
      <c r="V52" s="274"/>
    </row>
    <row r="53" spans="1:22" x14ac:dyDescent="0.25">
      <c r="A53" s="230" t="s">
        <v>112</v>
      </c>
      <c r="D53" s="259">
        <f>C15</f>
        <v>0</v>
      </c>
      <c r="E53" s="260" t="s">
        <v>19</v>
      </c>
      <c r="F53" s="255" t="s">
        <v>82</v>
      </c>
      <c r="G53" s="276"/>
      <c r="H53" s="276"/>
      <c r="I53" s="276">
        <f>'Rider Rates'!$B$135</f>
        <v>0</v>
      </c>
      <c r="J53" s="281">
        <f>SUM(G53:I53)</f>
        <v>0</v>
      </c>
      <c r="K53" s="263" t="s">
        <v>87</v>
      </c>
      <c r="L53" s="91"/>
      <c r="M53" s="91"/>
      <c r="N53" s="91">
        <f>D53*J53</f>
        <v>0</v>
      </c>
      <c r="O53" s="91">
        <f>SUM(L53:N53)</f>
        <v>0</v>
      </c>
      <c r="P53" s="258">
        <f>'Rider Rates'!$D$135</f>
        <v>44531</v>
      </c>
      <c r="Q53" s="261"/>
      <c r="R53" s="277"/>
      <c r="S53" s="263"/>
      <c r="T53" s="273"/>
      <c r="V53" s="274"/>
    </row>
    <row r="54" spans="1:22" x14ac:dyDescent="0.25">
      <c r="A54" s="230" t="s">
        <v>113</v>
      </c>
      <c r="D54" s="259"/>
      <c r="E54" s="260" t="s">
        <v>57</v>
      </c>
      <c r="F54" s="261" t="s">
        <v>82</v>
      </c>
      <c r="G54" s="262"/>
      <c r="H54" s="262"/>
      <c r="I54" s="262">
        <f>'Rider Rates'!$B$142</f>
        <v>0</v>
      </c>
      <c r="J54" s="262">
        <f>SUM(G54:I54)</f>
        <v>0</v>
      </c>
      <c r="K54" s="263"/>
      <c r="L54" s="256"/>
      <c r="M54" s="256"/>
      <c r="N54" s="256">
        <f>J54</f>
        <v>0</v>
      </c>
      <c r="O54" s="256">
        <f>SUM(L54:N54)</f>
        <v>0</v>
      </c>
      <c r="P54" s="293">
        <f>'Rider Rates'!$D$142</f>
        <v>44531</v>
      </c>
      <c r="Q54" s="261"/>
      <c r="R54" s="277"/>
      <c r="S54" s="263"/>
      <c r="T54" s="273"/>
      <c r="V54" s="274"/>
    </row>
    <row r="55" spans="1:22" x14ac:dyDescent="0.25">
      <c r="A55" s="230" t="s">
        <v>114</v>
      </c>
      <c r="D55" s="259"/>
      <c r="E55" s="260"/>
      <c r="F55" s="261"/>
      <c r="G55" s="262"/>
      <c r="H55" s="262"/>
      <c r="I55" s="262"/>
      <c r="J55" s="262"/>
      <c r="K55" s="263"/>
      <c r="L55" s="256"/>
      <c r="M55" s="256"/>
      <c r="N55" s="256"/>
      <c r="O55" s="256"/>
      <c r="P55" s="293"/>
      <c r="Q55" s="261"/>
      <c r="R55" s="277"/>
      <c r="S55" s="263"/>
      <c r="T55" s="273"/>
      <c r="V55" s="274"/>
    </row>
    <row r="56" spans="1:22" x14ac:dyDescent="0.25">
      <c r="A56" s="234" t="s">
        <v>115</v>
      </c>
      <c r="B56" s="271"/>
      <c r="C56" s="271"/>
      <c r="D56" s="294"/>
      <c r="E56" s="295"/>
      <c r="F56" s="296"/>
      <c r="G56" s="296"/>
      <c r="H56" s="296"/>
      <c r="I56" s="296"/>
      <c r="J56" s="296"/>
      <c r="K56" s="297"/>
      <c r="L56" s="298">
        <f>SUM(L27:L55)</f>
        <v>0</v>
      </c>
      <c r="M56" s="298">
        <f>SUM(M27:M55)</f>
        <v>0</v>
      </c>
      <c r="N56" s="298">
        <f>SUM(N27:N55)</f>
        <v>313.35999999999996</v>
      </c>
      <c r="O56" s="298">
        <f>SUM(O27:O55)</f>
        <v>313.35999999999996</v>
      </c>
      <c r="P56" s="299"/>
      <c r="Q56" s="261"/>
      <c r="R56" s="277"/>
      <c r="S56" s="263"/>
      <c r="T56" s="273"/>
      <c r="V56" s="274"/>
    </row>
    <row r="57" spans="1:22" x14ac:dyDescent="0.25">
      <c r="D57" s="259"/>
      <c r="E57" s="260"/>
      <c r="F57" s="261"/>
      <c r="G57" s="261"/>
      <c r="H57" s="261"/>
      <c r="I57" s="261"/>
      <c r="J57" s="277"/>
      <c r="K57" s="263"/>
      <c r="L57" s="261"/>
      <c r="M57" s="261"/>
      <c r="N57" s="261"/>
      <c r="O57" s="261"/>
      <c r="P57" s="300"/>
      <c r="Q57" s="261"/>
      <c r="R57" s="277"/>
      <c r="S57" s="263"/>
      <c r="T57" s="273"/>
      <c r="V57" s="274"/>
    </row>
    <row r="58" spans="1:22" x14ac:dyDescent="0.25">
      <c r="A58" s="301" t="s">
        <v>116</v>
      </c>
      <c r="B58" s="241"/>
      <c r="C58" s="241"/>
      <c r="D58" s="241"/>
      <c r="E58" s="241"/>
      <c r="F58" s="241"/>
      <c r="G58" s="241"/>
      <c r="H58" s="241"/>
      <c r="I58" s="241"/>
      <c r="J58" s="241"/>
      <c r="K58" s="241"/>
      <c r="L58" s="302">
        <f>L23+L56</f>
        <v>0</v>
      </c>
      <c r="M58" s="302">
        <f>M23+M56</f>
        <v>0</v>
      </c>
      <c r="N58" s="302">
        <f>N23+N56</f>
        <v>1138.3599999999999</v>
      </c>
      <c r="O58" s="303">
        <f>O23+O56</f>
        <v>1138.3599999999999</v>
      </c>
      <c r="P58" s="303"/>
      <c r="Q58" s="261"/>
      <c r="R58" s="304"/>
      <c r="S58" s="263"/>
      <c r="T58" s="273"/>
      <c r="V58" s="263"/>
    </row>
    <row r="59" spans="1:22" x14ac:dyDescent="0.25">
      <c r="Q59" s="264"/>
      <c r="R59" s="264"/>
      <c r="S59" s="264"/>
      <c r="T59" s="305"/>
    </row>
    <row r="60" spans="1:22" x14ac:dyDescent="0.25">
      <c r="Q60" s="264"/>
      <c r="R60" s="264"/>
      <c r="S60" s="264"/>
      <c r="T60" s="305"/>
    </row>
    <row r="61" spans="1:22" x14ac:dyDescent="0.25">
      <c r="A61" s="264" t="s">
        <v>117</v>
      </c>
      <c r="O61" s="273">
        <f>O21+O56</f>
        <v>1138.3599999999999</v>
      </c>
      <c r="Q61" s="264"/>
      <c r="R61" s="264"/>
      <c r="S61" s="264"/>
      <c r="T61" s="305"/>
    </row>
    <row r="62" spans="1:22" x14ac:dyDescent="0.25">
      <c r="A62" s="264" t="s">
        <v>2</v>
      </c>
      <c r="B62" s="264"/>
      <c r="C62" s="264"/>
      <c r="D62" s="264"/>
      <c r="E62" s="264"/>
      <c r="F62" s="264"/>
      <c r="G62" s="264"/>
      <c r="H62" s="264"/>
    </row>
    <row r="63" spans="1:22" x14ac:dyDescent="0.25">
      <c r="A63" s="271" t="s">
        <v>118</v>
      </c>
      <c r="O63" s="306">
        <f>IF($D$17&lt;0,O58,IF(O58&gt;O61,O58,O61))</f>
        <v>1138.3599999999999</v>
      </c>
      <c r="P63" s="261"/>
    </row>
    <row r="64" spans="1:22" ht="15" customHeight="1" x14ac:dyDescent="0.25">
      <c r="A64" s="271"/>
      <c r="O64" s="306"/>
      <c r="P64" s="261"/>
    </row>
    <row r="65" spans="1:16" x14ac:dyDescent="0.25">
      <c r="A65" s="271"/>
      <c r="B65" s="264"/>
      <c r="C65" s="264"/>
      <c r="D65" s="264"/>
      <c r="E65" s="264"/>
      <c r="F65" s="264"/>
      <c r="G65" s="264"/>
      <c r="H65" s="264"/>
      <c r="I65" s="264" t="s">
        <v>119</v>
      </c>
      <c r="J65" s="264"/>
      <c r="K65" s="264"/>
      <c r="L65" s="307"/>
      <c r="M65" s="307"/>
      <c r="N65" s="307"/>
      <c r="O65" s="307">
        <f>ROUND(IF($C$15&lt;1,0,O58/($C$15*100)*10000),2)</f>
        <v>0</v>
      </c>
      <c r="P65" s="264" t="s">
        <v>120</v>
      </c>
    </row>
    <row r="66" spans="1:16" x14ac:dyDescent="0.25">
      <c r="H66" s="308"/>
      <c r="I66" s="309" t="s">
        <v>121</v>
      </c>
      <c r="O66" s="310">
        <f>ROUND(IF($C$15&lt;1,0,(L58)/($C$15*100)*10000),2)</f>
        <v>0</v>
      </c>
      <c r="P66" s="236" t="s">
        <v>120</v>
      </c>
    </row>
  </sheetData>
  <sheetProtection algorithmName="SHA-512" hashValue="fzIJMX3S/VkxTOU8jCvRoMA6ema+k22C5OhkQ2cymdFMdkNDL9r8l66W+WLp3UW+yU3VZioWBPiPXXf0DckH9g==" saltValue="uILkBQiLWQMELepqDpntP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30480</xdr:rowOff>
                  </from>
                  <to>
                    <xdr:col>0</xdr:col>
                    <xdr:colOff>381000</xdr:colOff>
                    <xdr:row>2</xdr:row>
                    <xdr:rowOff>30480</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51"/>
  <sheetViews>
    <sheetView workbookViewId="0">
      <selection activeCell="B5" sqref="B5"/>
    </sheetView>
  </sheetViews>
  <sheetFormatPr defaultRowHeight="13.2" x14ac:dyDescent="0.25"/>
  <cols>
    <col min="1" max="1" width="70.109375" bestFit="1" customWidth="1"/>
    <col min="2" max="2" width="13.44140625" bestFit="1" customWidth="1"/>
    <col min="3" max="3" width="12.44140625" customWidth="1"/>
    <col min="4" max="4" width="13.5546875" bestFit="1" customWidth="1"/>
    <col min="5" max="5" width="11.5546875" bestFit="1" customWidth="1"/>
    <col min="6" max="6" width="14.88671875" customWidth="1"/>
    <col min="7" max="7" width="15.5546875" customWidth="1"/>
    <col min="8" max="8" width="11.5546875" bestFit="1" customWidth="1"/>
  </cols>
  <sheetData>
    <row r="1" spans="1:10" x14ac:dyDescent="0.25">
      <c r="A1" s="377" t="s">
        <v>236</v>
      </c>
      <c r="B1" s="377" t="s">
        <v>237</v>
      </c>
      <c r="C1" s="377"/>
      <c r="D1" s="377" t="s">
        <v>238</v>
      </c>
      <c r="E1" s="377" t="s">
        <v>237</v>
      </c>
      <c r="F1" s="377" t="s">
        <v>238</v>
      </c>
    </row>
    <row r="3" spans="1:10" x14ac:dyDescent="0.25">
      <c r="A3" s="59" t="s">
        <v>239</v>
      </c>
    </row>
    <row r="4" spans="1:10" x14ac:dyDescent="0.25">
      <c r="A4" s="68" t="s">
        <v>240</v>
      </c>
      <c r="B4" s="477">
        <v>4.6278999999999999E-3</v>
      </c>
      <c r="C4" s="378"/>
      <c r="D4" s="379">
        <v>45657</v>
      </c>
    </row>
    <row r="5" spans="1:10" x14ac:dyDescent="0.25">
      <c r="A5" s="68" t="s">
        <v>241</v>
      </c>
      <c r="B5" s="478">
        <v>1.7560000000000001E-4</v>
      </c>
      <c r="C5" s="378"/>
      <c r="D5" s="379">
        <v>45657</v>
      </c>
    </row>
    <row r="7" spans="1:10" x14ac:dyDescent="0.25">
      <c r="A7" s="59" t="s">
        <v>242</v>
      </c>
      <c r="D7" s="60">
        <v>44531</v>
      </c>
    </row>
    <row r="8" spans="1:10" x14ac:dyDescent="0.25">
      <c r="A8" s="68" t="s">
        <v>243</v>
      </c>
      <c r="B8" s="380">
        <v>4.6499999999999996E-3</v>
      </c>
      <c r="C8" s="380"/>
      <c r="D8" s="60"/>
    </row>
    <row r="9" spans="1:10" x14ac:dyDescent="0.25">
      <c r="A9" s="381" t="s">
        <v>244</v>
      </c>
      <c r="B9" s="380">
        <v>4.1900000000000001E-3</v>
      </c>
      <c r="C9" s="380"/>
      <c r="D9" s="60"/>
    </row>
    <row r="10" spans="1:10" x14ac:dyDescent="0.25">
      <c r="A10" s="68" t="s">
        <v>245</v>
      </c>
      <c r="B10" s="380">
        <v>3.63E-3</v>
      </c>
      <c r="C10" s="380"/>
      <c r="D10" s="60"/>
    </row>
    <row r="12" spans="1:10" x14ac:dyDescent="0.25">
      <c r="A12" s="64" t="s">
        <v>246</v>
      </c>
      <c r="B12" s="382">
        <v>0</v>
      </c>
      <c r="C12" s="382"/>
      <c r="D12" s="60">
        <v>44531</v>
      </c>
    </row>
    <row r="14" spans="1:10" x14ac:dyDescent="0.25">
      <c r="A14" s="146" t="s">
        <v>247</v>
      </c>
      <c r="B14" s="475"/>
      <c r="C14" s="476"/>
      <c r="D14" s="476"/>
      <c r="G14" s="146"/>
      <c r="H14" s="475"/>
      <c r="I14" s="475"/>
      <c r="J14" s="475"/>
    </row>
    <row r="15" spans="1:10" x14ac:dyDescent="0.25">
      <c r="A15" s="381" t="s">
        <v>248</v>
      </c>
      <c r="B15" s="383">
        <v>0</v>
      </c>
      <c r="C15" s="383"/>
      <c r="D15" s="60">
        <v>45505</v>
      </c>
      <c r="G15" s="381"/>
      <c r="H15" s="383"/>
      <c r="I15" s="383"/>
      <c r="J15" s="60"/>
    </row>
    <row r="16" spans="1:10" x14ac:dyDescent="0.25">
      <c r="A16" s="384" t="s">
        <v>249</v>
      </c>
      <c r="B16" s="383">
        <v>0</v>
      </c>
      <c r="C16" s="383"/>
      <c r="D16" s="60">
        <v>45197</v>
      </c>
    </row>
    <row r="18" spans="1:6" x14ac:dyDescent="0.25">
      <c r="A18" s="59" t="s">
        <v>250</v>
      </c>
      <c r="B18" s="385">
        <v>0</v>
      </c>
      <c r="C18" s="60"/>
      <c r="D18" s="60">
        <v>44531</v>
      </c>
      <c r="E18" s="386">
        <v>0</v>
      </c>
      <c r="F18" s="60">
        <v>44531</v>
      </c>
    </row>
    <row r="20" spans="1:6" x14ac:dyDescent="0.25">
      <c r="A20" s="64" t="s">
        <v>251</v>
      </c>
      <c r="B20" s="387" t="s">
        <v>252</v>
      </c>
      <c r="C20" s="387" t="s">
        <v>253</v>
      </c>
    </row>
    <row r="21" spans="1:6" x14ac:dyDescent="0.25">
      <c r="A21" s="381" t="s">
        <v>254</v>
      </c>
      <c r="B21" s="388">
        <v>7.0209999999999995E-2</v>
      </c>
      <c r="C21" s="388">
        <v>7.0209999999999995E-2</v>
      </c>
      <c r="D21" s="60">
        <v>45444</v>
      </c>
    </row>
    <row r="22" spans="1:6" x14ac:dyDescent="0.25">
      <c r="A22" s="381" t="s">
        <v>255</v>
      </c>
      <c r="B22" s="388">
        <v>7.0209999999999995E-2</v>
      </c>
      <c r="C22" s="388">
        <v>7.0209999999999995E-2</v>
      </c>
      <c r="D22" s="60">
        <v>45444</v>
      </c>
    </row>
    <row r="23" spans="1:6" x14ac:dyDescent="0.25">
      <c r="A23" s="381" t="s">
        <v>256</v>
      </c>
      <c r="B23" s="388">
        <v>7.0209999999999995E-2</v>
      </c>
      <c r="C23" s="388">
        <v>7.0209999999999995E-2</v>
      </c>
      <c r="D23" s="60">
        <v>45444</v>
      </c>
    </row>
    <row r="24" spans="1:6" x14ac:dyDescent="0.25">
      <c r="A24" s="381" t="s">
        <v>257</v>
      </c>
      <c r="B24" s="389">
        <v>6.7849999999999994E-2</v>
      </c>
      <c r="C24" s="389">
        <v>6.7849999999999994E-2</v>
      </c>
      <c r="D24" s="60">
        <v>45444</v>
      </c>
    </row>
    <row r="25" spans="1:6" x14ac:dyDescent="0.25">
      <c r="A25" s="381" t="s">
        <v>258</v>
      </c>
      <c r="B25" s="389">
        <v>6.6629999999999995E-2</v>
      </c>
      <c r="C25" s="389">
        <v>6.6629999999999995E-2</v>
      </c>
      <c r="D25" s="60">
        <v>45444</v>
      </c>
    </row>
    <row r="26" spans="1:6" x14ac:dyDescent="0.25">
      <c r="A26" s="68"/>
      <c r="B26" s="383"/>
      <c r="C26" s="383"/>
      <c r="D26" s="60"/>
    </row>
    <row r="27" spans="1:6" x14ac:dyDescent="0.25">
      <c r="A27" s="64" t="s">
        <v>259</v>
      </c>
      <c r="B27" s="387" t="s">
        <v>252</v>
      </c>
      <c r="C27" s="387" t="s">
        <v>253</v>
      </c>
      <c r="D27" s="60"/>
    </row>
    <row r="28" spans="1:6" x14ac:dyDescent="0.25">
      <c r="A28" s="381" t="s">
        <v>260</v>
      </c>
      <c r="B28" s="389">
        <v>3.2000000000000002E-3</v>
      </c>
      <c r="C28" s="378"/>
      <c r="D28" s="60">
        <v>45444</v>
      </c>
    </row>
    <row r="29" spans="1:6" x14ac:dyDescent="0.25">
      <c r="A29" s="68" t="s">
        <v>261</v>
      </c>
      <c r="B29" s="383">
        <v>4.4387999999999997E-3</v>
      </c>
      <c r="C29" s="383">
        <v>4.4387999999999997E-3</v>
      </c>
      <c r="D29" s="60">
        <v>45444</v>
      </c>
    </row>
    <row r="30" spans="1:6" x14ac:dyDescent="0.25">
      <c r="A30" s="68" t="s">
        <v>262</v>
      </c>
      <c r="B30" s="383">
        <v>4.2166E-3</v>
      </c>
      <c r="C30" s="383">
        <v>2.4020999999999999E-3</v>
      </c>
      <c r="D30" s="60">
        <v>45444</v>
      </c>
    </row>
    <row r="31" spans="1:6" x14ac:dyDescent="0.25">
      <c r="A31" s="68" t="s">
        <v>263</v>
      </c>
      <c r="B31" s="383">
        <v>3.9453999999999999E-3</v>
      </c>
      <c r="C31" s="383">
        <v>2.8092999999999998E-3</v>
      </c>
      <c r="D31" s="60">
        <v>45444</v>
      </c>
    </row>
    <row r="32" spans="1:6" x14ac:dyDescent="0.25">
      <c r="A32" s="68" t="s">
        <v>264</v>
      </c>
      <c r="B32" s="383">
        <v>5.5376999999999996E-3</v>
      </c>
      <c r="C32" s="383"/>
      <c r="D32" s="60">
        <v>45444</v>
      </c>
    </row>
    <row r="33" spans="1:4" x14ac:dyDescent="0.25">
      <c r="A33" s="68" t="s">
        <v>265</v>
      </c>
      <c r="B33" s="383">
        <v>1.8998000000000001E-3</v>
      </c>
      <c r="C33" s="378"/>
      <c r="D33" s="60">
        <v>45444</v>
      </c>
    </row>
    <row r="34" spans="1:4" x14ac:dyDescent="0.25">
      <c r="A34" s="68" t="s">
        <v>266</v>
      </c>
      <c r="B34" s="383">
        <v>2.67383E-2</v>
      </c>
      <c r="C34" s="378"/>
      <c r="D34" s="60">
        <v>45444</v>
      </c>
    </row>
    <row r="35" spans="1:4" x14ac:dyDescent="0.25">
      <c r="A35" s="68" t="s">
        <v>267</v>
      </c>
      <c r="B35" s="383">
        <v>0</v>
      </c>
      <c r="C35" s="378"/>
      <c r="D35" s="60">
        <v>45444</v>
      </c>
    </row>
    <row r="36" spans="1:4" x14ac:dyDescent="0.25">
      <c r="A36" s="68" t="s">
        <v>268</v>
      </c>
      <c r="B36" s="383">
        <v>2.7299999999999998E-3</v>
      </c>
      <c r="C36" s="383"/>
      <c r="D36" s="60">
        <v>45444</v>
      </c>
    </row>
    <row r="37" spans="1:4" x14ac:dyDescent="0.25">
      <c r="A37" s="381" t="s">
        <v>256</v>
      </c>
      <c r="B37" s="383">
        <v>2.65E-3</v>
      </c>
      <c r="C37" s="378"/>
      <c r="D37" s="60">
        <v>45444</v>
      </c>
    </row>
    <row r="38" spans="1:4" x14ac:dyDescent="0.25">
      <c r="A38" s="381" t="s">
        <v>269</v>
      </c>
      <c r="B38" s="383">
        <v>2.28907E-2</v>
      </c>
      <c r="C38" s="378"/>
      <c r="D38" s="60">
        <v>45444</v>
      </c>
    </row>
    <row r="39" spans="1:4" x14ac:dyDescent="0.25">
      <c r="A39" s="381" t="s">
        <v>270</v>
      </c>
      <c r="B39" s="383">
        <v>0</v>
      </c>
      <c r="C39" s="378"/>
      <c r="D39" s="60">
        <v>45444</v>
      </c>
    </row>
    <row r="40" spans="1:4" x14ac:dyDescent="0.25">
      <c r="A40" s="68" t="s">
        <v>271</v>
      </c>
      <c r="B40" s="383">
        <v>8.1709E-3</v>
      </c>
      <c r="D40" s="60">
        <v>45444</v>
      </c>
    </row>
    <row r="41" spans="1:4" x14ac:dyDescent="0.25">
      <c r="A41" s="68" t="s">
        <v>272</v>
      </c>
      <c r="B41" s="378">
        <v>2.7900000000000001E-5</v>
      </c>
      <c r="D41" s="60">
        <v>45444</v>
      </c>
    </row>
    <row r="42" spans="1:4" x14ac:dyDescent="0.25">
      <c r="A42" s="381" t="s">
        <v>257</v>
      </c>
      <c r="B42" s="378">
        <v>2.14E-3</v>
      </c>
      <c r="D42" s="60">
        <v>45444</v>
      </c>
    </row>
    <row r="43" spans="1:4" x14ac:dyDescent="0.25">
      <c r="A43" s="381" t="s">
        <v>258</v>
      </c>
      <c r="B43" s="378">
        <v>1.66E-3</v>
      </c>
      <c r="D43" s="60">
        <v>45444</v>
      </c>
    </row>
    <row r="44" spans="1:4" x14ac:dyDescent="0.25">
      <c r="A44" s="381" t="s">
        <v>273</v>
      </c>
      <c r="B44" s="378">
        <v>3.0709000000000001E-3</v>
      </c>
      <c r="C44" s="390">
        <v>1.325E-3</v>
      </c>
      <c r="D44" s="60">
        <v>45444</v>
      </c>
    </row>
    <row r="45" spans="1:4" x14ac:dyDescent="0.25">
      <c r="A45" s="381" t="s">
        <v>274</v>
      </c>
      <c r="B45" s="378">
        <v>2.5335000000000002E-3</v>
      </c>
      <c r="C45" s="390">
        <v>1.07E-3</v>
      </c>
      <c r="D45" s="60">
        <v>45444</v>
      </c>
    </row>
    <row r="46" spans="1:4" x14ac:dyDescent="0.25">
      <c r="A46" s="381" t="s">
        <v>275</v>
      </c>
      <c r="B46" s="378">
        <v>2.0022E-3</v>
      </c>
      <c r="C46" s="390">
        <v>8.3000000000000001E-4</v>
      </c>
      <c r="D46" s="60">
        <v>45444</v>
      </c>
    </row>
    <row r="47" spans="1:4" x14ac:dyDescent="0.25">
      <c r="D47" s="60"/>
    </row>
    <row r="48" spans="1:4" x14ac:dyDescent="0.25">
      <c r="A48" s="68"/>
      <c r="D48" s="60"/>
    </row>
    <row r="49" spans="1:8" x14ac:dyDescent="0.25">
      <c r="A49" s="64" t="s">
        <v>276</v>
      </c>
      <c r="B49" s="391">
        <v>4.5009999999999999E-4</v>
      </c>
      <c r="D49" s="60">
        <v>45657</v>
      </c>
    </row>
    <row r="50" spans="1:8" x14ac:dyDescent="0.25">
      <c r="A50" s="68"/>
      <c r="D50" s="60"/>
    </row>
    <row r="51" spans="1:8" x14ac:dyDescent="0.25">
      <c r="A51" s="64" t="s">
        <v>98</v>
      </c>
      <c r="B51" s="202" t="s">
        <v>277</v>
      </c>
      <c r="C51" s="202" t="s">
        <v>278</v>
      </c>
      <c r="D51" s="202" t="s">
        <v>78</v>
      </c>
      <c r="E51" s="202" t="s">
        <v>279</v>
      </c>
    </row>
    <row r="52" spans="1:8" x14ac:dyDescent="0.25">
      <c r="A52" s="381" t="s">
        <v>280</v>
      </c>
      <c r="B52" s="392">
        <v>1.18</v>
      </c>
      <c r="C52" s="393">
        <v>-0.01</v>
      </c>
      <c r="D52" s="394">
        <f>SUM(B52:C52)</f>
        <v>1.17</v>
      </c>
      <c r="E52" s="395">
        <v>45658</v>
      </c>
      <c r="F52" s="396"/>
    </row>
    <row r="53" spans="1:8" x14ac:dyDescent="0.25">
      <c r="A53" s="381" t="s">
        <v>281</v>
      </c>
      <c r="B53" s="397">
        <v>1.8006999999999999E-3</v>
      </c>
      <c r="C53" s="398">
        <v>0</v>
      </c>
      <c r="D53" s="396">
        <f>SUM(B53:C53)</f>
        <v>1.8006999999999999E-3</v>
      </c>
      <c r="E53" s="395">
        <v>45658</v>
      </c>
      <c r="F53" s="399"/>
    </row>
    <row r="54" spans="1:8" x14ac:dyDescent="0.25">
      <c r="A54" s="381"/>
      <c r="B54" s="400"/>
      <c r="D54" s="60"/>
    </row>
    <row r="55" spans="1:8" x14ac:dyDescent="0.25">
      <c r="A55" s="381"/>
      <c r="B55" s="400"/>
      <c r="D55" s="60"/>
    </row>
    <row r="56" spans="1:8" x14ac:dyDescent="0.25">
      <c r="A56" s="381"/>
      <c r="B56" s="400"/>
      <c r="D56" s="60"/>
    </row>
    <row r="57" spans="1:8" x14ac:dyDescent="0.25">
      <c r="A57" s="68"/>
      <c r="D57" s="60"/>
    </row>
    <row r="58" spans="1:8" x14ac:dyDescent="0.25">
      <c r="A58" s="64" t="s">
        <v>282</v>
      </c>
    </row>
    <row r="59" spans="1:8" x14ac:dyDescent="0.25">
      <c r="A59" s="381" t="s">
        <v>254</v>
      </c>
      <c r="B59">
        <v>4.3837099999999997E-2</v>
      </c>
      <c r="D59" s="60">
        <v>45383</v>
      </c>
      <c r="F59" s="44" t="s">
        <v>283</v>
      </c>
      <c r="G59" s="401">
        <v>2.3467399999999999E-2</v>
      </c>
      <c r="H59" s="60">
        <v>45383</v>
      </c>
    </row>
    <row r="60" spans="1:8" x14ac:dyDescent="0.25">
      <c r="A60" s="381" t="s">
        <v>284</v>
      </c>
      <c r="B60">
        <v>2.3467399999999999E-2</v>
      </c>
      <c r="D60" s="60">
        <v>45383</v>
      </c>
      <c r="F60" s="44" t="s">
        <v>285</v>
      </c>
      <c r="G60" s="401">
        <v>3.2698999999999999E-2</v>
      </c>
      <c r="H60" s="60">
        <v>45383</v>
      </c>
    </row>
    <row r="61" spans="1:8" x14ac:dyDescent="0.25">
      <c r="A61" s="381" t="s">
        <v>256</v>
      </c>
      <c r="B61">
        <v>6.0079999999999997E-4</v>
      </c>
      <c r="D61" s="60">
        <v>45383</v>
      </c>
    </row>
    <row r="62" spans="1:8" x14ac:dyDescent="0.25">
      <c r="A62" s="381" t="s">
        <v>257</v>
      </c>
      <c r="B62">
        <v>5.8060000000000002E-4</v>
      </c>
      <c r="D62" s="60">
        <v>45383</v>
      </c>
    </row>
    <row r="63" spans="1:8" x14ac:dyDescent="0.25">
      <c r="A63" s="381" t="s">
        <v>258</v>
      </c>
      <c r="B63">
        <v>5.7019999999999998E-4</v>
      </c>
      <c r="D63" s="60">
        <v>45383</v>
      </c>
    </row>
    <row r="65" spans="1:4" x14ac:dyDescent="0.25">
      <c r="A65" s="64" t="s">
        <v>286</v>
      </c>
    </row>
    <row r="66" spans="1:4" x14ac:dyDescent="0.25">
      <c r="A66" s="381" t="s">
        <v>256</v>
      </c>
      <c r="B66" s="402">
        <v>6.73</v>
      </c>
      <c r="D66" s="60">
        <v>45383</v>
      </c>
    </row>
    <row r="67" spans="1:4" x14ac:dyDescent="0.25">
      <c r="A67" s="381" t="s">
        <v>257</v>
      </c>
      <c r="B67" s="402">
        <v>6.76</v>
      </c>
      <c r="D67" s="60">
        <v>45383</v>
      </c>
    </row>
    <row r="68" spans="1:4" x14ac:dyDescent="0.25">
      <c r="A68" s="381" t="s">
        <v>258</v>
      </c>
      <c r="B68" s="402">
        <v>7.45</v>
      </c>
      <c r="D68" s="60">
        <v>45383</v>
      </c>
    </row>
    <row r="69" spans="1:4" x14ac:dyDescent="0.25">
      <c r="A69" s="381"/>
      <c r="B69" s="402"/>
      <c r="D69" s="60"/>
    </row>
    <row r="70" spans="1:4" x14ac:dyDescent="0.25">
      <c r="A70" s="64" t="s">
        <v>287</v>
      </c>
      <c r="B70" s="378">
        <v>8.6240000000000004E-4</v>
      </c>
      <c r="D70" s="60">
        <v>45532</v>
      </c>
    </row>
    <row r="71" spans="1:4" x14ac:dyDescent="0.25">
      <c r="A71" s="68"/>
      <c r="D71" s="60"/>
    </row>
    <row r="72" spans="1:4" x14ac:dyDescent="0.25">
      <c r="A72" s="64" t="s">
        <v>288</v>
      </c>
      <c r="C72" s="403" t="s">
        <v>289</v>
      </c>
      <c r="D72" s="60"/>
    </row>
    <row r="73" spans="1:4" x14ac:dyDescent="0.25">
      <c r="A73" s="68" t="s">
        <v>290</v>
      </c>
      <c r="B73" s="378">
        <v>0</v>
      </c>
      <c r="C73" s="378">
        <v>0</v>
      </c>
      <c r="D73" s="60">
        <v>44531</v>
      </c>
    </row>
    <row r="74" spans="1:4" x14ac:dyDescent="0.25">
      <c r="A74" s="68" t="s">
        <v>268</v>
      </c>
      <c r="B74" s="378">
        <v>0</v>
      </c>
      <c r="C74" s="378">
        <v>0</v>
      </c>
      <c r="D74" s="60">
        <v>44531</v>
      </c>
    </row>
    <row r="75" spans="1:4" x14ac:dyDescent="0.25">
      <c r="A75" s="68" t="s">
        <v>291</v>
      </c>
      <c r="B75" s="378">
        <v>0</v>
      </c>
      <c r="C75" s="378">
        <v>0</v>
      </c>
      <c r="D75" s="60">
        <v>44531</v>
      </c>
    </row>
    <row r="76" spans="1:4" x14ac:dyDescent="0.25">
      <c r="A76" s="68" t="s">
        <v>292</v>
      </c>
      <c r="B76" s="378">
        <v>0</v>
      </c>
      <c r="C76" s="378">
        <v>0</v>
      </c>
      <c r="D76" s="60">
        <v>44531</v>
      </c>
    </row>
    <row r="77" spans="1:4" x14ac:dyDescent="0.25">
      <c r="A77" s="68" t="s">
        <v>293</v>
      </c>
      <c r="B77" s="378">
        <v>0</v>
      </c>
      <c r="C77" s="378">
        <v>0</v>
      </c>
      <c r="D77" s="60">
        <v>44531</v>
      </c>
    </row>
    <row r="78" spans="1:4" x14ac:dyDescent="0.25">
      <c r="A78" s="68" t="s">
        <v>294</v>
      </c>
      <c r="B78" s="378">
        <v>0</v>
      </c>
      <c r="C78" s="378">
        <v>0</v>
      </c>
      <c r="D78" s="60">
        <v>44531</v>
      </c>
    </row>
    <row r="79" spans="1:4" x14ac:dyDescent="0.25">
      <c r="A79" s="68"/>
      <c r="B79" s="383"/>
      <c r="C79" s="383"/>
      <c r="D79" s="60"/>
    </row>
    <row r="80" spans="1:4" x14ac:dyDescent="0.25">
      <c r="A80" s="64" t="s">
        <v>295</v>
      </c>
      <c r="D80" s="60"/>
    </row>
    <row r="81" spans="1:4" x14ac:dyDescent="0.25">
      <c r="A81" s="68" t="s">
        <v>268</v>
      </c>
      <c r="B81" s="402">
        <v>0</v>
      </c>
      <c r="C81" s="378"/>
      <c r="D81" s="60">
        <v>45444</v>
      </c>
    </row>
    <row r="82" spans="1:4" x14ac:dyDescent="0.25">
      <c r="A82" s="68" t="s">
        <v>292</v>
      </c>
      <c r="B82" s="402">
        <v>0</v>
      </c>
      <c r="C82" s="378"/>
      <c r="D82" s="60">
        <v>45444</v>
      </c>
    </row>
    <row r="83" spans="1:4" x14ac:dyDescent="0.25">
      <c r="A83" s="68"/>
      <c r="B83" s="383"/>
      <c r="C83" s="383"/>
      <c r="D83" s="60"/>
    </row>
    <row r="84" spans="1:4" x14ac:dyDescent="0.25">
      <c r="A84" s="64" t="s">
        <v>296</v>
      </c>
      <c r="D84" s="60"/>
    </row>
    <row r="85" spans="1:4" x14ac:dyDescent="0.25">
      <c r="A85" s="68" t="s">
        <v>291</v>
      </c>
      <c r="B85" s="402">
        <v>0</v>
      </c>
      <c r="C85" s="378"/>
      <c r="D85" s="60">
        <v>45444</v>
      </c>
    </row>
    <row r="86" spans="1:4" x14ac:dyDescent="0.25">
      <c r="A86" s="68" t="s">
        <v>293</v>
      </c>
      <c r="B86" s="402">
        <v>0</v>
      </c>
      <c r="C86" s="378"/>
      <c r="D86" s="60">
        <v>45444</v>
      </c>
    </row>
    <row r="87" spans="1:4" x14ac:dyDescent="0.25">
      <c r="A87" s="68" t="s">
        <v>294</v>
      </c>
      <c r="B87" s="402">
        <v>0</v>
      </c>
      <c r="C87" s="383"/>
      <c r="D87" s="60">
        <v>45444</v>
      </c>
    </row>
    <row r="88" spans="1:4" x14ac:dyDescent="0.25">
      <c r="A88" s="68"/>
      <c r="B88" s="383"/>
      <c r="C88" s="383"/>
      <c r="D88" s="60"/>
    </row>
    <row r="89" spans="1:4" x14ac:dyDescent="0.25">
      <c r="A89" s="64" t="s">
        <v>297</v>
      </c>
      <c r="B89" s="404">
        <v>4.94232E-2</v>
      </c>
      <c r="C89" s="405"/>
      <c r="D89" s="406">
        <v>45562</v>
      </c>
    </row>
    <row r="90" spans="1:4" x14ac:dyDescent="0.25">
      <c r="A90" s="68"/>
      <c r="D90" s="60"/>
    </row>
    <row r="91" spans="1:4" x14ac:dyDescent="0.25">
      <c r="A91" s="59" t="s">
        <v>298</v>
      </c>
      <c r="B91" s="407">
        <v>6.6985699999999995E-2</v>
      </c>
      <c r="C91" s="407"/>
      <c r="D91" s="60">
        <v>45167</v>
      </c>
    </row>
    <row r="93" spans="1:4" x14ac:dyDescent="0.25">
      <c r="A93" s="59" t="s">
        <v>299</v>
      </c>
      <c r="D93" s="60"/>
    </row>
    <row r="94" spans="1:4" x14ac:dyDescent="0.25">
      <c r="A94" s="381" t="s">
        <v>254</v>
      </c>
      <c r="B94" s="128">
        <v>2.08</v>
      </c>
      <c r="C94" s="399"/>
      <c r="D94" s="60">
        <v>45657</v>
      </c>
    </row>
    <row r="95" spans="1:4" x14ac:dyDescent="0.25">
      <c r="A95" s="381" t="s">
        <v>300</v>
      </c>
      <c r="B95" s="128">
        <v>17.53</v>
      </c>
      <c r="C95" s="399"/>
      <c r="D95" s="60">
        <v>45657</v>
      </c>
    </row>
    <row r="97" spans="1:6" x14ac:dyDescent="0.25">
      <c r="A97" s="59" t="s">
        <v>301</v>
      </c>
      <c r="B97" s="407"/>
      <c r="C97" s="407"/>
      <c r="D97" s="60"/>
    </row>
    <row r="98" spans="1:6" x14ac:dyDescent="0.25">
      <c r="A98" s="68" t="s">
        <v>290</v>
      </c>
      <c r="B98" s="378">
        <v>0</v>
      </c>
      <c r="C98" s="378"/>
      <c r="D98" s="60">
        <v>44531</v>
      </c>
      <c r="E98" s="408"/>
      <c r="F98" s="60"/>
    </row>
    <row r="99" spans="1:6" x14ac:dyDescent="0.25">
      <c r="A99" s="68" t="s">
        <v>268</v>
      </c>
      <c r="B99" s="378">
        <v>0</v>
      </c>
      <c r="C99" s="378"/>
      <c r="D99" s="60">
        <v>44531</v>
      </c>
      <c r="E99" s="408"/>
      <c r="F99" s="60"/>
    </row>
    <row r="100" spans="1:6" x14ac:dyDescent="0.25">
      <c r="A100" s="68" t="s">
        <v>302</v>
      </c>
      <c r="B100" s="378">
        <v>0</v>
      </c>
      <c r="C100" s="378"/>
      <c r="D100" s="60">
        <v>44531</v>
      </c>
      <c r="E100" s="408"/>
      <c r="F100" s="60"/>
    </row>
    <row r="101" spans="1:6" x14ac:dyDescent="0.25">
      <c r="A101" s="68" t="s">
        <v>303</v>
      </c>
      <c r="B101" s="378">
        <v>0</v>
      </c>
      <c r="C101" s="378"/>
      <c r="D101" s="60">
        <v>44531</v>
      </c>
      <c r="E101" s="408"/>
      <c r="F101" s="60"/>
    </row>
    <row r="102" spans="1:6" x14ac:dyDescent="0.25">
      <c r="A102" s="68" t="s">
        <v>304</v>
      </c>
      <c r="B102" s="378">
        <v>0</v>
      </c>
      <c r="C102" s="378"/>
      <c r="D102" s="60">
        <v>44531</v>
      </c>
      <c r="E102" s="408"/>
      <c r="F102" s="60"/>
    </row>
    <row r="103" spans="1:6" x14ac:dyDescent="0.25">
      <c r="A103" s="68" t="s">
        <v>305</v>
      </c>
      <c r="B103" s="378">
        <v>0</v>
      </c>
      <c r="C103" s="378"/>
      <c r="D103" s="60">
        <v>44531</v>
      </c>
      <c r="E103" s="408"/>
      <c r="F103" s="60"/>
    </row>
    <row r="104" spans="1:6" x14ac:dyDescent="0.25">
      <c r="A104" s="68" t="s">
        <v>306</v>
      </c>
      <c r="B104" s="378">
        <v>0</v>
      </c>
      <c r="C104" s="378"/>
      <c r="D104" s="60">
        <v>44531</v>
      </c>
      <c r="E104" s="408"/>
      <c r="F104" s="60"/>
    </row>
    <row r="105" spans="1:6" x14ac:dyDescent="0.25">
      <c r="A105" s="68" t="s">
        <v>307</v>
      </c>
      <c r="B105" s="378">
        <v>0</v>
      </c>
      <c r="C105" s="378"/>
      <c r="D105" s="60">
        <v>44531</v>
      </c>
      <c r="E105" s="408"/>
      <c r="F105" s="60"/>
    </row>
    <row r="106" spans="1:6" x14ac:dyDescent="0.25">
      <c r="A106" s="68" t="s">
        <v>308</v>
      </c>
      <c r="B106" s="378">
        <v>0</v>
      </c>
      <c r="C106" s="378"/>
      <c r="D106" s="60">
        <v>44531</v>
      </c>
      <c r="E106" s="408"/>
      <c r="F106" s="60"/>
    </row>
    <row r="107" spans="1:6" x14ac:dyDescent="0.25">
      <c r="A107" s="68" t="s">
        <v>309</v>
      </c>
      <c r="B107" s="378">
        <v>0</v>
      </c>
      <c r="C107" s="378"/>
      <c r="D107" s="60">
        <v>44531</v>
      </c>
      <c r="E107" s="408"/>
      <c r="F107" s="60"/>
    </row>
    <row r="109" spans="1:6" x14ac:dyDescent="0.25">
      <c r="A109" s="59" t="s">
        <v>310</v>
      </c>
      <c r="B109" s="409">
        <v>0.2363101</v>
      </c>
      <c r="C109" s="407"/>
      <c r="D109" s="410">
        <v>45622</v>
      </c>
    </row>
    <row r="111" spans="1:6" x14ac:dyDescent="0.25">
      <c r="A111" s="59" t="s">
        <v>107</v>
      </c>
      <c r="D111" s="60"/>
    </row>
    <row r="112" spans="1:6" x14ac:dyDescent="0.25">
      <c r="A112" s="381" t="s">
        <v>254</v>
      </c>
      <c r="B112" s="399">
        <v>0</v>
      </c>
      <c r="C112" s="399"/>
      <c r="D112" s="60">
        <v>44894</v>
      </c>
    </row>
    <row r="113" spans="1:5" x14ac:dyDescent="0.25">
      <c r="A113" s="381" t="s">
        <v>300</v>
      </c>
      <c r="B113" s="399">
        <v>0</v>
      </c>
      <c r="C113" s="399"/>
      <c r="D113" s="60">
        <v>44894</v>
      </c>
    </row>
    <row r="115" spans="1:5" x14ac:dyDescent="0.25">
      <c r="A115" s="64" t="s">
        <v>311</v>
      </c>
      <c r="D115" s="60"/>
    </row>
    <row r="116" spans="1:5" x14ac:dyDescent="0.25">
      <c r="A116" s="68" t="s">
        <v>312</v>
      </c>
      <c r="B116" s="411">
        <v>3.8972999999999998E-3</v>
      </c>
      <c r="C116" s="383"/>
      <c r="D116" s="60">
        <v>44531</v>
      </c>
    </row>
    <row r="117" spans="1:5" x14ac:dyDescent="0.25">
      <c r="A117" s="68" t="s">
        <v>313</v>
      </c>
      <c r="B117" s="411">
        <v>3.7618E-3</v>
      </c>
      <c r="C117" s="383"/>
      <c r="D117" s="60">
        <v>44531</v>
      </c>
    </row>
    <row r="118" spans="1:5" x14ac:dyDescent="0.25">
      <c r="A118" s="68" t="s">
        <v>314</v>
      </c>
      <c r="B118" s="411">
        <v>3.6865999999999999E-3</v>
      </c>
      <c r="C118" s="383"/>
      <c r="D118" s="60">
        <v>44531</v>
      </c>
    </row>
    <row r="120" spans="1:5" x14ac:dyDescent="0.25">
      <c r="A120" s="64" t="s">
        <v>110</v>
      </c>
    </row>
    <row r="121" spans="1:5" x14ac:dyDescent="0.25">
      <c r="A121" s="68" t="s">
        <v>254</v>
      </c>
      <c r="B121" s="128">
        <v>0</v>
      </c>
      <c r="D121" s="60">
        <v>45657</v>
      </c>
    </row>
    <row r="122" spans="1:5" x14ac:dyDescent="0.25">
      <c r="A122" s="68" t="s">
        <v>300</v>
      </c>
      <c r="B122" s="128">
        <v>0</v>
      </c>
      <c r="D122" s="60">
        <v>45657</v>
      </c>
    </row>
    <row r="124" spans="1:5" x14ac:dyDescent="0.25">
      <c r="A124" s="59" t="s">
        <v>108</v>
      </c>
      <c r="D124" s="60"/>
    </row>
    <row r="125" spans="1:5" x14ac:dyDescent="0.25">
      <c r="A125" s="381" t="s">
        <v>254</v>
      </c>
      <c r="B125" s="412">
        <v>0.97</v>
      </c>
      <c r="C125" s="399"/>
      <c r="D125" s="60">
        <v>45593</v>
      </c>
    </row>
    <row r="126" spans="1:5" x14ac:dyDescent="0.25">
      <c r="A126" s="381" t="s">
        <v>300</v>
      </c>
      <c r="B126" s="412">
        <v>4.84</v>
      </c>
      <c r="C126" s="399"/>
      <c r="D126" s="60">
        <v>45593</v>
      </c>
    </row>
    <row r="128" spans="1:5" x14ac:dyDescent="0.25">
      <c r="A128" s="64" t="s">
        <v>111</v>
      </c>
      <c r="B128" s="413"/>
      <c r="E128" s="60"/>
    </row>
    <row r="129" spans="1:5" x14ac:dyDescent="0.25">
      <c r="A129" s="381" t="s">
        <v>254</v>
      </c>
      <c r="B129" s="167">
        <v>0.1</v>
      </c>
      <c r="C129" s="60"/>
      <c r="E129" s="60">
        <v>45658</v>
      </c>
    </row>
    <row r="130" spans="1:5" x14ac:dyDescent="0.25">
      <c r="A130" s="68" t="s">
        <v>240</v>
      </c>
      <c r="B130" s="167">
        <v>2.9050000000000001E-4</v>
      </c>
      <c r="C130" s="414">
        <v>242</v>
      </c>
      <c r="D130" t="s">
        <v>315</v>
      </c>
      <c r="E130" s="60">
        <v>45658</v>
      </c>
    </row>
    <row r="131" spans="1:5" x14ac:dyDescent="0.25">
      <c r="A131" s="68" t="s">
        <v>241</v>
      </c>
      <c r="B131">
        <v>0</v>
      </c>
      <c r="E131" s="60">
        <v>45658</v>
      </c>
    </row>
    <row r="133" spans="1:5" x14ac:dyDescent="0.25">
      <c r="A133" s="64" t="s">
        <v>112</v>
      </c>
    </row>
    <row r="134" spans="1:5" x14ac:dyDescent="0.25">
      <c r="A134" s="381" t="s">
        <v>254</v>
      </c>
      <c r="B134" s="414">
        <v>0</v>
      </c>
      <c r="D134" s="60">
        <v>44531</v>
      </c>
    </row>
    <row r="135" spans="1:5" x14ac:dyDescent="0.25">
      <c r="A135" s="381" t="s">
        <v>284</v>
      </c>
      <c r="B135" s="414">
        <v>0</v>
      </c>
      <c r="D135" s="60">
        <v>44531</v>
      </c>
    </row>
    <row r="136" spans="1:5" x14ac:dyDescent="0.25">
      <c r="A136" s="381" t="s">
        <v>256</v>
      </c>
      <c r="B136" s="414">
        <v>0</v>
      </c>
      <c r="D136" s="60">
        <v>44531</v>
      </c>
    </row>
    <row r="137" spans="1:5" x14ac:dyDescent="0.25">
      <c r="A137" s="381" t="s">
        <v>257</v>
      </c>
      <c r="B137" s="414">
        <v>0</v>
      </c>
      <c r="D137" s="60">
        <v>44531</v>
      </c>
    </row>
    <row r="138" spans="1:5" x14ac:dyDescent="0.25">
      <c r="A138" s="381" t="s">
        <v>258</v>
      </c>
      <c r="B138" s="414">
        <v>0</v>
      </c>
      <c r="D138" s="60">
        <v>44531</v>
      </c>
    </row>
    <row r="140" spans="1:5" x14ac:dyDescent="0.25">
      <c r="A140" s="59" t="s">
        <v>113</v>
      </c>
      <c r="D140" s="60"/>
    </row>
    <row r="141" spans="1:5" x14ac:dyDescent="0.25">
      <c r="A141" s="381" t="s">
        <v>254</v>
      </c>
      <c r="B141" s="399">
        <v>0</v>
      </c>
      <c r="C141" s="399"/>
      <c r="D141" s="60">
        <v>44531</v>
      </c>
    </row>
    <row r="142" spans="1:5" x14ac:dyDescent="0.25">
      <c r="A142" s="381" t="s">
        <v>300</v>
      </c>
      <c r="B142" s="399">
        <v>0</v>
      </c>
      <c r="C142" s="399"/>
      <c r="D142" s="60">
        <v>44531</v>
      </c>
    </row>
    <row r="144" spans="1:5" x14ac:dyDescent="0.25">
      <c r="A144" s="59" t="s">
        <v>114</v>
      </c>
      <c r="D144" t="s">
        <v>316</v>
      </c>
    </row>
    <row r="146" spans="1:8" x14ac:dyDescent="0.25">
      <c r="A146" s="59" t="s">
        <v>317</v>
      </c>
      <c r="B146" s="415">
        <v>10</v>
      </c>
      <c r="C146" s="400">
        <v>3.7427700000000001E-2</v>
      </c>
      <c r="D146" s="400">
        <v>1.5787499999999999E-2</v>
      </c>
      <c r="E146" s="415"/>
      <c r="F146" s="415">
        <v>0</v>
      </c>
      <c r="G146" s="415">
        <v>0</v>
      </c>
      <c r="H146" s="60">
        <v>45444</v>
      </c>
    </row>
    <row r="148" spans="1:8" x14ac:dyDescent="0.25">
      <c r="A148" s="59" t="s">
        <v>318</v>
      </c>
      <c r="B148" s="416">
        <v>9.4</v>
      </c>
      <c r="C148" s="417">
        <v>2.0634799999999998E-2</v>
      </c>
      <c r="D148" s="415">
        <v>0</v>
      </c>
      <c r="E148" s="415">
        <v>0</v>
      </c>
      <c r="F148" s="415">
        <v>0</v>
      </c>
      <c r="G148" s="416">
        <v>0</v>
      </c>
      <c r="H148" s="60">
        <v>45444</v>
      </c>
    </row>
    <row r="149" spans="1:8" x14ac:dyDescent="0.25">
      <c r="A149" s="59" t="s">
        <v>319</v>
      </c>
      <c r="B149" s="416">
        <v>138.5</v>
      </c>
      <c r="C149" s="417">
        <v>1.3832199999999999E-2</v>
      </c>
      <c r="D149" s="415">
        <v>0</v>
      </c>
      <c r="E149" s="415">
        <v>0</v>
      </c>
      <c r="F149" s="415">
        <v>0</v>
      </c>
      <c r="G149" s="416">
        <v>0</v>
      </c>
      <c r="H149" s="60">
        <v>45444</v>
      </c>
    </row>
    <row r="150" spans="1:8" x14ac:dyDescent="0.25">
      <c r="A150" s="59" t="s">
        <v>320</v>
      </c>
      <c r="B150" s="416">
        <v>825</v>
      </c>
      <c r="C150" s="417">
        <v>5.9799999999999997E-5</v>
      </c>
      <c r="D150" s="415">
        <v>0</v>
      </c>
      <c r="E150" s="415">
        <v>0</v>
      </c>
      <c r="F150" s="415">
        <v>0</v>
      </c>
      <c r="G150" s="416">
        <v>0</v>
      </c>
      <c r="H150" s="60">
        <v>45444</v>
      </c>
    </row>
    <row r="151" spans="1:8" x14ac:dyDescent="0.25">
      <c r="A151" s="59" t="s">
        <v>321</v>
      </c>
      <c r="B151" s="416">
        <v>3600</v>
      </c>
      <c r="C151" s="417">
        <v>5.9799999999999997E-5</v>
      </c>
      <c r="D151" s="415">
        <v>0</v>
      </c>
      <c r="E151" s="415">
        <v>0</v>
      </c>
      <c r="F151" s="415">
        <v>0</v>
      </c>
      <c r="G151" s="416">
        <v>0</v>
      </c>
      <c r="H151" s="60">
        <v>45444</v>
      </c>
    </row>
  </sheetData>
  <sheetProtection algorithmName="SHA-512" hashValue="mIo8aicpXAc7OgSuMbonD2gXG7TMnre0eiV1Lc6sIZu2RpxWG6d60YHiL6qTlUHiUg4Qx7w2PgVDH963jmhBbg==" saltValue="6qnCtRjGMB8jPmP/+ZO60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8"/>
  <sheetViews>
    <sheetView showGridLines="0" topLeftCell="A22" zoomScale="80" zoomScaleNormal="80" workbookViewId="0">
      <selection activeCell="B22" sqref="B22"/>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c r="Q1" s="156"/>
    </row>
    <row r="2" spans="1:30" ht="21" x14ac:dyDescent="0.4">
      <c r="A2" s="450" t="s">
        <v>122</v>
      </c>
      <c r="B2" s="450"/>
      <c r="C2" s="450"/>
      <c r="D2" s="450"/>
      <c r="E2" s="450"/>
      <c r="F2" s="450"/>
      <c r="G2" s="450"/>
      <c r="H2" s="450"/>
      <c r="I2" s="450"/>
      <c r="J2" s="450"/>
      <c r="K2" s="450"/>
      <c r="L2" s="450"/>
      <c r="M2" s="450"/>
      <c r="N2" s="450"/>
      <c r="O2" s="450"/>
      <c r="P2" s="450"/>
      <c r="Q2" s="52"/>
    </row>
    <row r="3" spans="1:30" ht="17.399999999999999" x14ac:dyDescent="0.3">
      <c r="A3" s="435" t="s">
        <v>11</v>
      </c>
      <c r="B3" s="435"/>
      <c r="C3" s="435"/>
      <c r="D3" s="435"/>
      <c r="E3" s="435"/>
      <c r="F3" s="435"/>
      <c r="G3" s="435"/>
      <c r="H3" s="435"/>
      <c r="I3" s="435"/>
      <c r="J3" s="435"/>
      <c r="K3" s="435"/>
      <c r="L3" s="435"/>
      <c r="M3" s="435"/>
      <c r="N3" s="435"/>
      <c r="O3" s="435"/>
      <c r="P3" s="435"/>
      <c r="Q3" s="53"/>
    </row>
    <row r="4" spans="1:30" ht="15.6" x14ac:dyDescent="0.3">
      <c r="A4" s="435"/>
      <c r="B4" s="435"/>
      <c r="C4" s="435"/>
      <c r="D4" s="435"/>
      <c r="E4" s="435"/>
      <c r="F4" s="435"/>
      <c r="G4" s="435"/>
      <c r="H4" s="435"/>
      <c r="I4" s="435"/>
      <c r="J4" s="435"/>
      <c r="K4" s="435"/>
      <c r="L4" s="435"/>
      <c r="M4" s="435"/>
      <c r="N4" s="435"/>
      <c r="O4" s="435"/>
      <c r="P4" s="435"/>
      <c r="Q4" s="54"/>
    </row>
    <row r="5" spans="1:30" x14ac:dyDescent="0.25">
      <c r="A5" s="56">
        <f ca="1">TODAY()</f>
        <v>45656</v>
      </c>
      <c r="B5" s="436" t="s">
        <v>123</v>
      </c>
      <c r="C5" s="436"/>
      <c r="D5" s="436"/>
      <c r="E5" s="436"/>
      <c r="F5" s="436"/>
      <c r="G5" s="436"/>
      <c r="H5" s="436"/>
      <c r="I5" s="436"/>
      <c r="J5" s="436"/>
      <c r="K5" s="436"/>
      <c r="L5" s="436"/>
      <c r="M5" s="436"/>
      <c r="N5" s="436"/>
      <c r="O5" s="436"/>
    </row>
    <row r="6" spans="1:30" x14ac:dyDescent="0.25">
      <c r="A6" s="437" t="s">
        <v>2</v>
      </c>
      <c r="B6" s="437"/>
      <c r="C6" s="437"/>
      <c r="D6" s="437"/>
      <c r="E6" s="437"/>
      <c r="F6" s="437"/>
      <c r="G6" s="437"/>
      <c r="H6" s="437"/>
      <c r="I6" s="437"/>
      <c r="J6" s="437"/>
      <c r="K6" s="437"/>
    </row>
    <row r="8" spans="1:30" ht="15" x14ac:dyDescent="0.25">
      <c r="A8" s="57" t="s">
        <v>5</v>
      </c>
      <c r="B8" s="58"/>
      <c r="C8" s="59">
        <f>'Customer Info'!B7</f>
        <v>0</v>
      </c>
      <c r="I8" s="60"/>
    </row>
    <row r="9" spans="1:30" ht="15" x14ac:dyDescent="0.25">
      <c r="A9" s="61" t="s">
        <v>55</v>
      </c>
      <c r="B9" s="58"/>
      <c r="C9" s="59">
        <f>'Customer Info'!B8</f>
        <v>0</v>
      </c>
    </row>
    <row r="10" spans="1:30" x14ac:dyDescent="0.25">
      <c r="A10" s="57" t="s">
        <v>124</v>
      </c>
      <c r="B10" s="62">
        <f>'Customer Info'!B9</f>
        <v>1</v>
      </c>
      <c r="C10" s="63" t="str">
        <f>LOOKUP(B10,S11:AD11,S12:AD12)</f>
        <v>January</v>
      </c>
      <c r="D10" s="64">
        <f>'Customer Info'!C9</f>
        <v>2025</v>
      </c>
    </row>
    <row r="11" spans="1:30" x14ac:dyDescent="0.25">
      <c r="A11" s="444"/>
      <c r="B11" s="444"/>
      <c r="C11" s="444"/>
      <c r="D11" s="444"/>
      <c r="E11" s="444"/>
      <c r="F11" s="444"/>
      <c r="G11" s="444"/>
      <c r="H11" s="444"/>
      <c r="I11" s="444"/>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5">
      <c r="A12" s="155" t="s">
        <v>70</v>
      </c>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R13" s="72" t="s">
        <v>125</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A14" s="74" t="s">
        <v>71</v>
      </c>
      <c r="B14" s="158"/>
      <c r="C14" s="159">
        <f>IF('Customer Info'!B22+'Customer Info'!B23-'Customer Info'!B24&lt;0,0,'Customer Info'!B22+'Customer Info'!B23-'Customer Info'!B24)</f>
        <v>0</v>
      </c>
      <c r="D14" s="158" t="s">
        <v>19</v>
      </c>
      <c r="E14" s="158"/>
      <c r="F14" s="160"/>
      <c r="G14" s="158"/>
      <c r="H14" s="158"/>
      <c r="I14" s="158"/>
      <c r="R14" s="72" t="s">
        <v>126</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c r="B15" s="158"/>
      <c r="C15" s="160"/>
      <c r="D15" s="160"/>
      <c r="E15" s="160"/>
      <c r="F15" s="160"/>
      <c r="G15" s="57"/>
      <c r="H15" s="158"/>
      <c r="I15" s="158"/>
      <c r="R15" t="s">
        <v>127</v>
      </c>
      <c r="S15" s="161">
        <f>'Rider Rates'!$C$29</f>
        <v>4.4387999999999997E-3</v>
      </c>
      <c r="T15" s="161">
        <f>'Rider Rates'!$C$29</f>
        <v>4.4387999999999997E-3</v>
      </c>
      <c r="U15" s="161">
        <f>'Rider Rates'!$C$29</f>
        <v>4.4387999999999997E-3</v>
      </c>
      <c r="V15" s="161">
        <f>'Rider Rates'!$C$29</f>
        <v>4.4387999999999997E-3</v>
      </c>
      <c r="W15" s="161">
        <f>'Rider Rates'!$C$29</f>
        <v>4.4387999999999997E-3</v>
      </c>
      <c r="X15" s="161">
        <f>'Rider Rates'!$B$29</f>
        <v>4.4387999999999997E-3</v>
      </c>
      <c r="Y15" s="161">
        <f>'Rider Rates'!$B$29</f>
        <v>4.4387999999999997E-3</v>
      </c>
      <c r="Z15" s="161">
        <f>'Rider Rates'!$B$29</f>
        <v>4.4387999999999997E-3</v>
      </c>
      <c r="AA15" s="161">
        <f>'Rider Rates'!$B$29</f>
        <v>4.4387999999999997E-3</v>
      </c>
      <c r="AB15" s="161">
        <f>'Rider Rates'!$C$29</f>
        <v>4.4387999999999997E-3</v>
      </c>
      <c r="AC15" s="161">
        <f>'Rider Rates'!$C$29</f>
        <v>4.4387999999999997E-3</v>
      </c>
      <c r="AD15" s="161">
        <f>'Rider Rates'!$C$29</f>
        <v>4.4387999999999997E-3</v>
      </c>
    </row>
    <row r="16" spans="1:30" x14ac:dyDescent="0.25">
      <c r="A16" s="162" t="s">
        <v>128</v>
      </c>
      <c r="B16" s="163"/>
      <c r="C16" s="163"/>
      <c r="D16" s="163"/>
      <c r="E16" s="163"/>
      <c r="F16" s="163"/>
      <c r="G16" s="445" t="s">
        <v>73</v>
      </c>
      <c r="H16" s="446"/>
      <c r="I16" s="446"/>
      <c r="J16" s="447"/>
      <c r="K16" s="163"/>
      <c r="L16" s="448" t="s">
        <v>74</v>
      </c>
      <c r="M16" s="448"/>
      <c r="N16" s="448"/>
      <c r="O16" s="448"/>
      <c r="R16" t="s">
        <v>129</v>
      </c>
      <c r="S16" s="161">
        <f>'Rider Rates'!$C$30</f>
        <v>2.4020999999999999E-3</v>
      </c>
      <c r="T16" s="161">
        <f>'Rider Rates'!$C$30</f>
        <v>2.4020999999999999E-3</v>
      </c>
      <c r="U16" s="161">
        <f>'Rider Rates'!$C$30</f>
        <v>2.4020999999999999E-3</v>
      </c>
      <c r="V16" s="161">
        <f>'Rider Rates'!$C$30</f>
        <v>2.4020999999999999E-3</v>
      </c>
      <c r="W16" s="161">
        <f>'Rider Rates'!$C$30</f>
        <v>2.4020999999999999E-3</v>
      </c>
      <c r="X16" s="161">
        <f>'Rider Rates'!$B$30</f>
        <v>4.2166E-3</v>
      </c>
      <c r="Y16" s="161">
        <f>'Rider Rates'!$B$30</f>
        <v>4.2166E-3</v>
      </c>
      <c r="Z16" s="161">
        <f>'Rider Rates'!$B$30</f>
        <v>4.2166E-3</v>
      </c>
      <c r="AA16" s="161">
        <f>'Rider Rates'!$B$30</f>
        <v>4.2166E-3</v>
      </c>
      <c r="AB16" s="161">
        <f>'Rider Rates'!$C$30</f>
        <v>2.4020999999999999E-3</v>
      </c>
      <c r="AC16" s="161">
        <f>'Rider Rates'!$C$30</f>
        <v>2.4020999999999999E-3</v>
      </c>
      <c r="AD16" s="161">
        <f>'Rider Rates'!$C$30</f>
        <v>2.4020999999999999E-3</v>
      </c>
    </row>
    <row r="17" spans="1:221" x14ac:dyDescent="0.25">
      <c r="G17" s="164" t="s">
        <v>75</v>
      </c>
      <c r="H17" s="164" t="s">
        <v>76</v>
      </c>
      <c r="I17" s="164" t="s">
        <v>77</v>
      </c>
      <c r="J17" s="118" t="s">
        <v>78</v>
      </c>
      <c r="L17" s="165" t="s">
        <v>75</v>
      </c>
      <c r="M17" s="165" t="s">
        <v>76</v>
      </c>
      <c r="N17" s="165" t="s">
        <v>77</v>
      </c>
      <c r="O17" s="165" t="s">
        <v>78</v>
      </c>
      <c r="P17" s="166" t="s">
        <v>79</v>
      </c>
      <c r="R17" t="s">
        <v>130</v>
      </c>
      <c r="S17" s="161">
        <f>'Rider Rates'!$C$31</f>
        <v>2.8092999999999998E-3</v>
      </c>
      <c r="T17" s="161">
        <f>'Rider Rates'!$C$31</f>
        <v>2.8092999999999998E-3</v>
      </c>
      <c r="U17" s="161">
        <f>'Rider Rates'!$C$31</f>
        <v>2.8092999999999998E-3</v>
      </c>
      <c r="V17" s="161">
        <f>'Rider Rates'!$C$31</f>
        <v>2.8092999999999998E-3</v>
      </c>
      <c r="W17" s="161">
        <f>'Rider Rates'!$C$31</f>
        <v>2.8092999999999998E-3</v>
      </c>
      <c r="X17" s="161">
        <f>'Rider Rates'!$B$31</f>
        <v>3.9453999999999999E-3</v>
      </c>
      <c r="Y17" s="161">
        <f>'Rider Rates'!$B$31</f>
        <v>3.9453999999999999E-3</v>
      </c>
      <c r="Z17" s="161">
        <f>'Rider Rates'!$B$31</f>
        <v>3.9453999999999999E-3</v>
      </c>
      <c r="AA17" s="161">
        <f>'Rider Rates'!$B$31</f>
        <v>3.9453999999999999E-3</v>
      </c>
      <c r="AB17" s="161">
        <f>'Rider Rates'!$C$31</f>
        <v>2.8092999999999998E-3</v>
      </c>
      <c r="AC17" s="161">
        <f>'Rider Rates'!$C$31</f>
        <v>2.8092999999999998E-3</v>
      </c>
      <c r="AD17" s="161">
        <f>'Rider Rates'!$C$31</f>
        <v>2.8092999999999998E-3</v>
      </c>
    </row>
    <row r="18" spans="1:221" x14ac:dyDescent="0.25">
      <c r="A18" t="s">
        <v>80</v>
      </c>
      <c r="G18" s="167"/>
      <c r="H18" s="167"/>
      <c r="I18" s="168">
        <v>10</v>
      </c>
      <c r="J18" s="168">
        <f>SUM(G18:I18)</f>
        <v>10</v>
      </c>
      <c r="L18" s="168"/>
      <c r="M18" s="168"/>
      <c r="N18" s="168">
        <f>I18</f>
        <v>10</v>
      </c>
      <c r="O18" s="168">
        <f>+SUM(L18:N18)</f>
        <v>10</v>
      </c>
      <c r="P18" s="92">
        <v>44531</v>
      </c>
      <c r="R18" s="44" t="s">
        <v>131</v>
      </c>
      <c r="S18">
        <f>'Rider Rates'!$C$21</f>
        <v>7.0209999999999995E-2</v>
      </c>
      <c r="T18">
        <f>'Rider Rates'!$C$21</f>
        <v>7.0209999999999995E-2</v>
      </c>
      <c r="U18">
        <f>'Rider Rates'!$C$21</f>
        <v>7.0209999999999995E-2</v>
      </c>
      <c r="V18">
        <f>'Rider Rates'!$C$21</f>
        <v>7.0209999999999995E-2</v>
      </c>
      <c r="W18">
        <f>'Rider Rates'!$C$21</f>
        <v>7.0209999999999995E-2</v>
      </c>
      <c r="X18">
        <f>'Rider Rates'!$B$21</f>
        <v>7.0209999999999995E-2</v>
      </c>
      <c r="Y18">
        <f>'Rider Rates'!$B$21</f>
        <v>7.0209999999999995E-2</v>
      </c>
      <c r="Z18">
        <f>'Rider Rates'!$B$21</f>
        <v>7.0209999999999995E-2</v>
      </c>
      <c r="AA18">
        <f>'Rider Rates'!$B$21</f>
        <v>7.0209999999999995E-2</v>
      </c>
      <c r="AB18">
        <f>'Rider Rates'!$C$21</f>
        <v>7.0209999999999995E-2</v>
      </c>
      <c r="AC18">
        <f>'Rider Rates'!$C$21</f>
        <v>7.0209999999999995E-2</v>
      </c>
      <c r="AD18">
        <f>'Rider Rates'!$C$21</f>
        <v>7.0209999999999995E-2</v>
      </c>
    </row>
    <row r="19" spans="1:221" x14ac:dyDescent="0.25">
      <c r="A19" s="72" t="s">
        <v>81</v>
      </c>
      <c r="D19" s="4">
        <f>MAX($C$14,0)</f>
        <v>0</v>
      </c>
      <c r="E19" s="152" t="s">
        <v>19</v>
      </c>
      <c r="F19" s="1" t="s">
        <v>82</v>
      </c>
      <c r="G19" s="99"/>
      <c r="H19" s="167"/>
      <c r="I19" s="99">
        <v>2.6312499999999999E-2</v>
      </c>
      <c r="J19" s="169">
        <f>SUM(G19:I19)</f>
        <v>2.6312499999999999E-2</v>
      </c>
      <c r="K19" t="s">
        <v>87</v>
      </c>
      <c r="L19" s="168"/>
      <c r="M19" s="168"/>
      <c r="N19" s="168">
        <f>IF($C$14&lt;0,0,ROUND($D19*I19,2))</f>
        <v>0</v>
      </c>
      <c r="O19" s="168">
        <f>+SUM(L19:N19)</f>
        <v>0</v>
      </c>
      <c r="P19" s="92">
        <v>44531</v>
      </c>
      <c r="R19" s="44"/>
    </row>
    <row r="20" spans="1:221" x14ac:dyDescent="0.25">
      <c r="A20" s="153" t="s">
        <v>132</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5">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69" t="s">
        <v>85</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5">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6" t="s">
        <v>86</v>
      </c>
      <c r="B24" s="110"/>
      <c r="C24" s="110"/>
      <c r="D24" s="111">
        <f>IF($C$14&lt;0,0,IF($C$14&gt;833000,833000,$C$14))</f>
        <v>0</v>
      </c>
      <c r="E24" s="97" t="s">
        <v>19</v>
      </c>
      <c r="F24" s="84" t="s">
        <v>82</v>
      </c>
      <c r="G24" s="100"/>
      <c r="H24" s="100"/>
      <c r="I24" s="100">
        <f>'Rider Rates'!$B$4</f>
        <v>4.6278999999999999E-3</v>
      </c>
      <c r="J24" s="175">
        <f t="shared" ref="J24:J46" si="0">SUM(G24:I24)</f>
        <v>4.6278999999999999E-3</v>
      </c>
      <c r="K24" s="94" t="s">
        <v>87</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88</v>
      </c>
      <c r="B25" s="72"/>
      <c r="C25" s="72"/>
      <c r="D25" s="4">
        <f>IF($C$14&gt;833000,$C$14-833000,0)</f>
        <v>0</v>
      </c>
      <c r="E25" s="97" t="s">
        <v>19</v>
      </c>
      <c r="F25" s="84" t="s">
        <v>82</v>
      </c>
      <c r="G25" s="100"/>
      <c r="H25" s="100"/>
      <c r="I25" s="100">
        <f>'Rider Rates'!$B$5</f>
        <v>1.7560000000000001E-4</v>
      </c>
      <c r="J25" s="175">
        <f t="shared" si="0"/>
        <v>1.7560000000000001E-4</v>
      </c>
      <c r="K25" s="94" t="s">
        <v>87</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89</v>
      </c>
      <c r="B26" s="72"/>
      <c r="C26" s="72"/>
      <c r="D26" s="111">
        <f>IF($C$14&lt;0,0,IF($C$14&gt;2000,2000,$C$14))</f>
        <v>0</v>
      </c>
      <c r="E26" s="97" t="s">
        <v>19</v>
      </c>
      <c r="F26" s="84" t="s">
        <v>82</v>
      </c>
      <c r="G26" s="100"/>
      <c r="H26" s="100"/>
      <c r="I26" s="112">
        <f>'Rider Rates'!$B$8</f>
        <v>4.6499999999999996E-3</v>
      </c>
      <c r="J26" s="112">
        <f t="shared" si="0"/>
        <v>4.6499999999999996E-3</v>
      </c>
      <c r="K26" s="94" t="s">
        <v>87</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90</v>
      </c>
      <c r="B27" s="72"/>
      <c r="C27" s="72"/>
      <c r="D27" s="111">
        <f>IF($C$14&lt;=2000,0,IF($C$14=0,0,IF($C$14-2000&gt;13000,13000,$C$14-2000)))</f>
        <v>0</v>
      </c>
      <c r="E27" s="97" t="s">
        <v>19</v>
      </c>
      <c r="F27" s="84" t="s">
        <v>82</v>
      </c>
      <c r="G27" s="100"/>
      <c r="H27" s="100"/>
      <c r="I27" s="112">
        <f>'Rider Rates'!$B$9</f>
        <v>4.1900000000000001E-3</v>
      </c>
      <c r="J27" s="112">
        <f t="shared" si="0"/>
        <v>4.1900000000000001E-3</v>
      </c>
      <c r="K27" s="94" t="s">
        <v>87</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91</v>
      </c>
      <c r="B28" s="72"/>
      <c r="C28" s="72"/>
      <c r="D28" s="111">
        <f>IF($C$14=0,0,IF($C$14-15000&gt;=0,$C$14-15000,0))</f>
        <v>0</v>
      </c>
      <c r="E28" s="97" t="s">
        <v>19</v>
      </c>
      <c r="F28" s="84" t="s">
        <v>82</v>
      </c>
      <c r="G28" s="100"/>
      <c r="H28" s="100"/>
      <c r="I28" s="112">
        <f>'Rider Rates'!$B$10</f>
        <v>3.63E-3</v>
      </c>
      <c r="J28" s="112">
        <f t="shared" si="0"/>
        <v>3.63E-3</v>
      </c>
      <c r="K28" s="94" t="s">
        <v>87</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92</v>
      </c>
      <c r="B29" s="72"/>
      <c r="C29" s="72"/>
      <c r="D29" s="111">
        <f>IF($C$14&lt;0,0,$C$14)</f>
        <v>0</v>
      </c>
      <c r="E29" s="97" t="s">
        <v>19</v>
      </c>
      <c r="F29" s="84" t="s">
        <v>82</v>
      </c>
      <c r="G29" s="100"/>
      <c r="H29" s="100"/>
      <c r="I29" s="100">
        <f>'Rider Rates'!B15</f>
        <v>0</v>
      </c>
      <c r="J29" s="100">
        <f>SUM(G29:I29)</f>
        <v>0</v>
      </c>
      <c r="K29" s="94" t="s">
        <v>87</v>
      </c>
      <c r="L29" s="89"/>
      <c r="M29" s="89"/>
      <c r="N29" s="89">
        <f t="shared" si="1"/>
        <v>0</v>
      </c>
      <c r="O29" s="89">
        <f t="shared" si="2"/>
        <v>0</v>
      </c>
      <c r="P29" s="92">
        <f>'Rider Rates'!$D$15</f>
        <v>45505</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t="s">
        <v>93</v>
      </c>
      <c r="B30" s="72"/>
      <c r="C30" s="72"/>
      <c r="D30" s="176">
        <f>$N$20</f>
        <v>10</v>
      </c>
      <c r="E30" s="97" t="s">
        <v>94</v>
      </c>
      <c r="F30" s="84" t="s">
        <v>82</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133</v>
      </c>
      <c r="B31" s="72"/>
      <c r="C31" s="72"/>
      <c r="D31" s="111">
        <f>'Customer Info'!$B$22+'Customer Info'!$B$23-'Customer Info'!$B$24</f>
        <v>0</v>
      </c>
      <c r="E31" s="97" t="s">
        <v>19</v>
      </c>
      <c r="F31" s="84" t="s">
        <v>82</v>
      </c>
      <c r="G31" s="100">
        <f>LOOKUP($B$10,$S$11:$AD$11,S18:AD18)</f>
        <v>7.0209999999999995E-2</v>
      </c>
      <c r="H31" s="100"/>
      <c r="I31" s="100"/>
      <c r="J31" s="115">
        <f>SUM(G31:H31)</f>
        <v>7.0209999999999995E-2</v>
      </c>
      <c r="K31" s="94" t="s">
        <v>87</v>
      </c>
      <c r="L31" s="89">
        <f>ROUND(D31*G31,2)</f>
        <v>0</v>
      </c>
      <c r="M31" s="89"/>
      <c r="N31" s="89"/>
      <c r="O31" s="89">
        <f t="shared" si="2"/>
        <v>0</v>
      </c>
      <c r="P31" s="92">
        <f>'Rider Rates'!$D$29</f>
        <v>45444</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2" t="s">
        <v>134</v>
      </c>
      <c r="B32" s="72"/>
      <c r="C32" s="72"/>
      <c r="D32" s="111">
        <f>MIN(('Customer Info'!$B$22+'Customer Info'!$B$23-'Customer Info'!$B$24),750)</f>
        <v>0</v>
      </c>
      <c r="E32" s="97" t="s">
        <v>19</v>
      </c>
      <c r="F32" s="84" t="s">
        <v>82</v>
      </c>
      <c r="G32" s="99">
        <f>LOOKUP($B$10,$S$11:$AD11,S15:AD15)</f>
        <v>4.4387999999999997E-3</v>
      </c>
      <c r="H32" s="100"/>
      <c r="I32" s="100"/>
      <c r="J32" s="115">
        <f>SUM(G32:H32)</f>
        <v>4.4387999999999997E-3</v>
      </c>
      <c r="K32" s="94" t="s">
        <v>87</v>
      </c>
      <c r="L32" s="89">
        <f>ROUND(D32*G32,2)</f>
        <v>0</v>
      </c>
      <c r="M32" s="89"/>
      <c r="N32" s="89"/>
      <c r="O32" s="89">
        <f t="shared" si="2"/>
        <v>0</v>
      </c>
      <c r="P32" s="92">
        <f>'Rider Rates'!$D$29</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135</v>
      </c>
      <c r="B33" s="72"/>
      <c r="C33" s="72"/>
      <c r="D33" s="111">
        <f>IF(('Customer Info'!$B$22+'Customer Info'!$B$23-'Customer Info'!$B$24)&lt;=750,0,IF(C14-750&gt;150,150,C14-750))</f>
        <v>0</v>
      </c>
      <c r="E33" s="97" t="s">
        <v>19</v>
      </c>
      <c r="F33" s="84" t="s">
        <v>82</v>
      </c>
      <c r="G33" s="99">
        <f>LOOKUP($B$10,$S$11:$AD11,S16:AD16)</f>
        <v>2.4020999999999999E-3</v>
      </c>
      <c r="H33" s="100"/>
      <c r="I33" s="100"/>
      <c r="J33" s="115">
        <f>SUM(G33:H33)</f>
        <v>2.4020999999999999E-3</v>
      </c>
      <c r="K33" s="94" t="s">
        <v>87</v>
      </c>
      <c r="L33" s="89">
        <f>ROUND(D33*G33,2)</f>
        <v>0</v>
      </c>
      <c r="M33" s="89"/>
      <c r="N33" s="89"/>
      <c r="O33" s="89">
        <f t="shared" si="2"/>
        <v>0</v>
      </c>
      <c r="P33" s="92">
        <f>'Rider Rates'!$D$30</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2" t="s">
        <v>136</v>
      </c>
      <c r="B34" s="72"/>
      <c r="C34" s="72"/>
      <c r="D34" s="111">
        <f>IF(C14=0,0,IF(C14-900&gt;=0,C14-900,0))</f>
        <v>0</v>
      </c>
      <c r="E34" s="97" t="s">
        <v>19</v>
      </c>
      <c r="F34" s="84" t="s">
        <v>82</v>
      </c>
      <c r="G34" s="99">
        <f>LOOKUP($B$10,$S$11:$AD11,S17:AD17)</f>
        <v>2.8092999999999998E-3</v>
      </c>
      <c r="H34" s="100"/>
      <c r="I34" s="100"/>
      <c r="J34" s="115">
        <f>SUM(G34:H34)</f>
        <v>2.8092999999999998E-3</v>
      </c>
      <c r="K34" s="94" t="s">
        <v>87</v>
      </c>
      <c r="L34" s="89">
        <f>ROUND(D34*G34,2)</f>
        <v>0</v>
      </c>
      <c r="M34" s="89"/>
      <c r="N34" s="89"/>
      <c r="O34" s="89">
        <f t="shared" si="2"/>
        <v>0</v>
      </c>
      <c r="P34" s="92">
        <f>'Rider Rates'!$D$31</f>
        <v>45444</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97</v>
      </c>
      <c r="B35" s="72"/>
      <c r="C35" s="72"/>
      <c r="D35" s="111">
        <f>'Customer Info'!$B$22+'Customer Info'!$B$23-'Customer Info'!$B$24</f>
        <v>0</v>
      </c>
      <c r="E35" s="97" t="s">
        <v>19</v>
      </c>
      <c r="F35" s="84" t="s">
        <v>82</v>
      </c>
      <c r="G35" s="100">
        <f>'Rider Rates'!B49</f>
        <v>4.5009999999999999E-4</v>
      </c>
      <c r="H35" s="100"/>
      <c r="I35" s="100"/>
      <c r="J35" s="115">
        <f>SUM(G35:H35)</f>
        <v>4.5009999999999999E-4</v>
      </c>
      <c r="K35" s="94" t="s">
        <v>87</v>
      </c>
      <c r="L35" s="89">
        <f>ROUND(D35*G35,2)</f>
        <v>0</v>
      </c>
      <c r="M35" s="89"/>
      <c r="N35" s="89"/>
      <c r="O35" s="89">
        <f>SUM(L35:N35)</f>
        <v>0</v>
      </c>
      <c r="P35" s="92">
        <f>'Rider Rates'!$D$49</f>
        <v>45657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2" t="s">
        <v>98</v>
      </c>
      <c r="B36" s="72"/>
      <c r="C36" s="72"/>
      <c r="D36" s="111"/>
      <c r="E36" s="97" t="s">
        <v>57</v>
      </c>
      <c r="F36" s="84"/>
      <c r="G36" s="100"/>
      <c r="H36" s="100"/>
      <c r="I36" s="100">
        <f>'Rider Rates'!D52</f>
        <v>1.17</v>
      </c>
      <c r="J36" s="100">
        <f>SUM(G36:I36)</f>
        <v>1.17</v>
      </c>
      <c r="K36" s="94" t="s">
        <v>87</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99</v>
      </c>
      <c r="B37" s="72"/>
      <c r="C37" s="72"/>
      <c r="D37" s="111">
        <f>IF($C$14&lt;0,0,$C$14)</f>
        <v>0</v>
      </c>
      <c r="E37" s="97" t="s">
        <v>19</v>
      </c>
      <c r="F37" s="84" t="s">
        <v>82</v>
      </c>
      <c r="G37" s="100"/>
      <c r="H37" s="100">
        <f>'Rider Rates'!$B$59</f>
        <v>4.3837099999999997E-2</v>
      </c>
      <c r="I37" s="100"/>
      <c r="J37" s="100">
        <f>SUM(G37:I37)</f>
        <v>4.3837099999999997E-2</v>
      </c>
      <c r="K37" s="94" t="s">
        <v>87</v>
      </c>
      <c r="L37" s="89"/>
      <c r="M37" s="89">
        <f>ROUND(D37*H37,2)</f>
        <v>0</v>
      </c>
      <c r="N37" s="116"/>
      <c r="O37" s="89">
        <f t="shared" si="2"/>
        <v>0</v>
      </c>
      <c r="P37" s="92">
        <f>'Rider Rates'!$D$59</f>
        <v>45383</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100</v>
      </c>
      <c r="B38" s="72"/>
      <c r="C38" s="72"/>
      <c r="D38" s="111">
        <f>IF($C$14&lt;0,0,$C$14)</f>
        <v>0</v>
      </c>
      <c r="E38" s="97" t="s">
        <v>19</v>
      </c>
      <c r="F38" s="84" t="s">
        <v>82</v>
      </c>
      <c r="G38" s="100"/>
      <c r="H38" s="100"/>
      <c r="I38" s="100">
        <f>'Rider Rates'!$B$70</f>
        <v>8.6240000000000004E-4</v>
      </c>
      <c r="J38" s="100">
        <f t="shared" ref="J38" si="3">SUM(G38:I38)</f>
        <v>8.6240000000000004E-4</v>
      </c>
      <c r="K38" s="94" t="s">
        <v>87</v>
      </c>
      <c r="L38" s="89"/>
      <c r="M38" s="89"/>
      <c r="N38" s="89">
        <f>ROUND($D$38*'Rider Rates'!$B$70,2)</f>
        <v>0</v>
      </c>
      <c r="O38" s="89">
        <f>SUM(L38:N38)</f>
        <v>0</v>
      </c>
      <c r="P38" s="92">
        <f>'Rider Rates'!$D$70</f>
        <v>45532</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101</v>
      </c>
      <c r="B39" s="72"/>
      <c r="C39" s="72"/>
      <c r="D39" s="111">
        <f>IF('Customer Info'!C35=TRUE,0,IF($C$14&lt;0,0,$C$14))</f>
        <v>0</v>
      </c>
      <c r="E39" s="97" t="s">
        <v>19</v>
      </c>
      <c r="F39" s="84" t="s">
        <v>82</v>
      </c>
      <c r="G39" s="100"/>
      <c r="H39" s="100"/>
      <c r="I39" s="100">
        <f>'Rider Rates'!$B$73+'Rider Rates'!$C$73</f>
        <v>0</v>
      </c>
      <c r="J39" s="100">
        <f t="shared" si="0"/>
        <v>0</v>
      </c>
      <c r="K39" s="94" t="s">
        <v>87</v>
      </c>
      <c r="L39" s="89"/>
      <c r="M39" s="89"/>
      <c r="N39" s="89">
        <f>ROUND($D$39*'Rider Rates'!$B$73,2)+ROUND($D$39*'Rider Rates'!$C$73,2)</f>
        <v>0</v>
      </c>
      <c r="O39" s="89">
        <f>SUM(L39:N39)</f>
        <v>0</v>
      </c>
      <c r="P39" s="92">
        <f>'Rider Rates'!$D$73</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102</v>
      </c>
      <c r="B40" s="72"/>
      <c r="C40" s="72"/>
      <c r="D40" s="113">
        <f>$N$20</f>
        <v>10</v>
      </c>
      <c r="E40" s="97" t="s">
        <v>94</v>
      </c>
      <c r="F40" s="84" t="s">
        <v>82</v>
      </c>
      <c r="G40" s="117"/>
      <c r="H40" s="118"/>
      <c r="I40" s="119">
        <f>'Rider Rates'!$B$89</f>
        <v>4.94232E-2</v>
      </c>
      <c r="J40" s="119">
        <f t="shared" si="0"/>
        <v>4.94232E-2</v>
      </c>
      <c r="K40" s="94"/>
      <c r="L40" s="89"/>
      <c r="M40" s="89"/>
      <c r="N40" s="89">
        <f>ROUND(D40*I40,2)</f>
        <v>0.49</v>
      </c>
      <c r="O40" s="89">
        <f>SUM(L40:N40)</f>
        <v>0.49</v>
      </c>
      <c r="P40" s="92">
        <f>'Rider Rates'!$D$89</f>
        <v>45562</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103</v>
      </c>
      <c r="B41" s="72"/>
      <c r="C41" s="72"/>
      <c r="D41" s="113">
        <f>$N$20</f>
        <v>10</v>
      </c>
      <c r="E41" s="97" t="s">
        <v>94</v>
      </c>
      <c r="F41" s="84" t="s">
        <v>82</v>
      </c>
      <c r="G41" s="120"/>
      <c r="H41" s="85"/>
      <c r="I41" s="119">
        <f>'Rider Rates'!$B$91</f>
        <v>6.6985699999999995E-2</v>
      </c>
      <c r="J41" s="119">
        <f t="shared" si="0"/>
        <v>6.6985699999999995E-2</v>
      </c>
      <c r="K41" s="94"/>
      <c r="L41" s="89"/>
      <c r="M41" s="89"/>
      <c r="N41" s="89">
        <f>ROUND(D41*I41,2)</f>
        <v>0.67</v>
      </c>
      <c r="O41" s="89">
        <f>SUM(L41:N41)</f>
        <v>0.67</v>
      </c>
      <c r="P41" s="92">
        <f>'Rider Rates'!$D$91</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104</v>
      </c>
      <c r="B42" s="72"/>
      <c r="C42" s="72"/>
      <c r="D42" s="113"/>
      <c r="E42" s="97" t="s">
        <v>57</v>
      </c>
      <c r="F42" s="84"/>
      <c r="G42" s="120"/>
      <c r="H42" s="85"/>
      <c r="I42" s="121">
        <f>'Rider Rates'!$B$94</f>
        <v>2.08</v>
      </c>
      <c r="J42" s="121">
        <f t="shared" si="0"/>
        <v>2.08</v>
      </c>
      <c r="K42" s="94"/>
      <c r="L42" s="89"/>
      <c r="M42" s="89"/>
      <c r="N42" s="89">
        <f>I42</f>
        <v>2.08</v>
      </c>
      <c r="O42" s="89">
        <f>SUM(L42:N42)</f>
        <v>2.08</v>
      </c>
      <c r="P42" s="92">
        <f>'Rider Rates'!$D$94</f>
        <v>45657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105</v>
      </c>
      <c r="B43" s="72"/>
      <c r="C43" s="72"/>
      <c r="D43" s="111">
        <f>IF($C$14&lt;0,0,$C$14)</f>
        <v>0</v>
      </c>
      <c r="E43" s="97" t="s">
        <v>19</v>
      </c>
      <c r="F43" s="84" t="s">
        <v>82</v>
      </c>
      <c r="G43" s="100"/>
      <c r="H43" s="100"/>
      <c r="I43" s="100"/>
      <c r="J43" s="100">
        <f>'Rider Rates'!$B$98</f>
        <v>0</v>
      </c>
      <c r="K43" s="94" t="s">
        <v>87</v>
      </c>
      <c r="L43" s="89"/>
      <c r="M43" s="89"/>
      <c r="N43" s="89"/>
      <c r="O43" s="89">
        <f>ROUND($D43*('Rider Rates'!B$98),2)</f>
        <v>0</v>
      </c>
      <c r="P43" s="92">
        <f>'Rider Rates'!$D$98</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106</v>
      </c>
      <c r="B44" s="72"/>
      <c r="C44" s="72"/>
      <c r="D44" s="113">
        <f>$N$20</f>
        <v>10</v>
      </c>
      <c r="E44" s="97" t="s">
        <v>94</v>
      </c>
      <c r="F44" s="84" t="s">
        <v>82</v>
      </c>
      <c r="G44" s="120"/>
      <c r="H44" s="85"/>
      <c r="I44" s="119">
        <f>'Rider Rates'!$B$109</f>
        <v>0.2363101</v>
      </c>
      <c r="J44" s="119">
        <f t="shared" si="0"/>
        <v>0.2363101</v>
      </c>
      <c r="K44" s="94"/>
      <c r="L44" s="89"/>
      <c r="M44" s="89"/>
      <c r="N44" s="89">
        <f>ROUND(D44*I44,2)</f>
        <v>2.36</v>
      </c>
      <c r="O44" s="89">
        <f t="shared" ref="O44:O49" si="4">SUM(L44:N44)</f>
        <v>2.36</v>
      </c>
      <c r="P44" s="92">
        <f>'Rider Rates'!$D$109</f>
        <v>45622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107</v>
      </c>
      <c r="B45" s="72"/>
      <c r="C45" s="72"/>
      <c r="D45" s="113"/>
      <c r="E45" s="97" t="s">
        <v>57</v>
      </c>
      <c r="F45" s="84"/>
      <c r="G45" s="120"/>
      <c r="H45" s="85"/>
      <c r="I45" s="121">
        <f>'Rider Rates'!$B$112</f>
        <v>0</v>
      </c>
      <c r="J45" s="121">
        <f t="shared" si="0"/>
        <v>0</v>
      </c>
      <c r="K45" s="94"/>
      <c r="L45" s="89"/>
      <c r="M45" s="89"/>
      <c r="N45" s="89">
        <f>I45</f>
        <v>0</v>
      </c>
      <c r="O45" s="89">
        <f t="shared" si="4"/>
        <v>0</v>
      </c>
      <c r="P45" s="92">
        <f>'Rider Rates'!$D$112</f>
        <v>44894</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108</v>
      </c>
      <c r="B46" s="72"/>
      <c r="C46" s="72"/>
      <c r="D46" s="113"/>
      <c r="E46" s="97" t="s">
        <v>57</v>
      </c>
      <c r="F46" s="84"/>
      <c r="G46" s="120"/>
      <c r="H46" s="85"/>
      <c r="I46" s="123">
        <f>'Rider Rates'!B125</f>
        <v>0.97</v>
      </c>
      <c r="J46" s="121">
        <f t="shared" si="0"/>
        <v>0.97</v>
      </c>
      <c r="K46" s="94"/>
      <c r="L46" s="89"/>
      <c r="M46" s="89"/>
      <c r="N46" s="125">
        <f>I46</f>
        <v>0.97</v>
      </c>
      <c r="O46" s="89">
        <f t="shared" si="4"/>
        <v>0.97</v>
      </c>
      <c r="P46" s="92">
        <f>'Rider Rates'!D125</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109</v>
      </c>
      <c r="B47" s="72"/>
      <c r="C47" s="72"/>
      <c r="D47" s="111">
        <f>'Customer Info'!$B$22+'Customer Info'!$B$23-'Customer Info'!$B$24</f>
        <v>0</v>
      </c>
      <c r="E47" s="97" t="s">
        <v>19</v>
      </c>
      <c r="F47" s="84" t="s">
        <v>82</v>
      </c>
      <c r="G47" s="100">
        <f>'Rider Rates'!$B$116</f>
        <v>3.8972999999999998E-3</v>
      </c>
      <c r="H47" s="100"/>
      <c r="I47" s="119"/>
      <c r="J47" s="115">
        <f>SUM(G47:H47)</f>
        <v>3.8972999999999998E-3</v>
      </c>
      <c r="K47" s="94" t="s">
        <v>87</v>
      </c>
      <c r="L47" s="89">
        <f>ROUND(D47*G47,2)</f>
        <v>0</v>
      </c>
      <c r="M47" s="89"/>
      <c r="N47" s="89"/>
      <c r="O47" s="89">
        <f t="shared" si="4"/>
        <v>0</v>
      </c>
      <c r="P47" s="92">
        <f>'Rider Rates'!$D$116</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110</v>
      </c>
      <c r="B48" s="72"/>
      <c r="C48" s="72"/>
      <c r="D48" s="111">
        <f>IF($C$14&lt;1,0,$C$14)</f>
        <v>0</v>
      </c>
      <c r="E48" s="97" t="s">
        <v>19</v>
      </c>
      <c r="F48" s="126" t="s">
        <v>82</v>
      </c>
      <c r="G48" s="100"/>
      <c r="H48" s="100"/>
      <c r="I48" s="115">
        <f>'Rider Rates'!$B$121</f>
        <v>0</v>
      </c>
      <c r="J48" s="115">
        <f>SUM(G48:I48)</f>
        <v>0</v>
      </c>
      <c r="K48" s="94" t="s">
        <v>87</v>
      </c>
      <c r="L48" s="89"/>
      <c r="M48" s="89"/>
      <c r="N48" s="89">
        <f>D48*J48</f>
        <v>0</v>
      </c>
      <c r="O48" s="89">
        <f t="shared" si="4"/>
        <v>0</v>
      </c>
      <c r="P48" s="92">
        <f>'Rider Rates'!D121</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111</v>
      </c>
      <c r="B49" s="72"/>
      <c r="C49" s="72"/>
      <c r="D49" s="111"/>
      <c r="E49" s="97" t="s">
        <v>57</v>
      </c>
      <c r="F49" s="84" t="s">
        <v>82</v>
      </c>
      <c r="G49" s="127"/>
      <c r="H49" s="127"/>
      <c r="I49" s="127">
        <f>'Rider Rates'!$B$129</f>
        <v>0.1</v>
      </c>
      <c r="J49" s="127">
        <f>SUM(G49:I49)</f>
        <v>0.1</v>
      </c>
      <c r="K49" s="94"/>
      <c r="L49" s="128"/>
      <c r="M49" s="128"/>
      <c r="N49" s="128">
        <f>J49</f>
        <v>0.1</v>
      </c>
      <c r="O49" s="128">
        <f t="shared" si="4"/>
        <v>0.1</v>
      </c>
      <c r="P49" s="129">
        <f>'Rider Rates'!$E$129</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112</v>
      </c>
      <c r="B50" s="72"/>
      <c r="C50" s="72"/>
      <c r="D50" s="111">
        <f>C14</f>
        <v>0</v>
      </c>
      <c r="E50" s="97" t="s">
        <v>19</v>
      </c>
      <c r="F50" s="126" t="s">
        <v>82</v>
      </c>
      <c r="G50" s="100"/>
      <c r="H50" s="100"/>
      <c r="I50" s="100">
        <f>'Rider Rates'!$B$134</f>
        <v>0</v>
      </c>
      <c r="J50" s="115">
        <f>SUM(G50:I50)</f>
        <v>0</v>
      </c>
      <c r="K50" s="94" t="s">
        <v>87</v>
      </c>
      <c r="L50" s="89"/>
      <c r="M50" s="89"/>
      <c r="N50" s="89">
        <f>D50*J50</f>
        <v>0</v>
      </c>
      <c r="O50" s="89">
        <f>SUM(L50:N50)</f>
        <v>0</v>
      </c>
      <c r="P50" s="92">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113</v>
      </c>
      <c r="B51" s="72"/>
      <c r="C51" s="72"/>
      <c r="D51" s="111"/>
      <c r="E51" s="97" t="s">
        <v>57</v>
      </c>
      <c r="F51" s="84" t="s">
        <v>82</v>
      </c>
      <c r="G51" s="127"/>
      <c r="H51" s="127"/>
      <c r="I51" s="127">
        <f>'Rider Rates'!$B$141</f>
        <v>0</v>
      </c>
      <c r="J51" s="127">
        <f>SUM(G51:I51)</f>
        <v>0</v>
      </c>
      <c r="K51" s="94"/>
      <c r="L51" s="128"/>
      <c r="M51" s="128"/>
      <c r="N51" s="128">
        <f>J51</f>
        <v>0</v>
      </c>
      <c r="O51" s="128">
        <f>SUM(L51:N51)</f>
        <v>0</v>
      </c>
      <c r="P51" s="129">
        <f>'Rider Rates'!$D$137</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114</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130" t="s">
        <v>115</v>
      </c>
      <c r="B53" s="69"/>
      <c r="C53" s="69"/>
      <c r="D53" s="131"/>
      <c r="E53" s="132"/>
      <c r="F53" s="133"/>
      <c r="G53" s="133"/>
      <c r="H53" s="133"/>
      <c r="I53" s="133"/>
      <c r="J53" s="133"/>
      <c r="K53" s="134"/>
      <c r="L53" s="105">
        <f>SUM(L24:L52)</f>
        <v>0</v>
      </c>
      <c r="M53" s="105">
        <f>SUM(M24:M52)</f>
        <v>0</v>
      </c>
      <c r="N53" s="105">
        <f>SUM(N24:N52)</f>
        <v>7.839999999999999</v>
      </c>
      <c r="O53" s="105">
        <f>SUM(O24:O52)</f>
        <v>7.839999999999999</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06"/>
      <c r="B55" s="106"/>
      <c r="C55" s="106"/>
      <c r="D55" s="106"/>
      <c r="E55" s="106"/>
      <c r="F55" s="106"/>
      <c r="G55" s="106"/>
      <c r="H55" s="106"/>
      <c r="I55" s="106"/>
      <c r="J55" s="106"/>
      <c r="K55" s="106"/>
      <c r="L55" s="139">
        <f>L20+L53</f>
        <v>0</v>
      </c>
      <c r="M55" s="139">
        <f>M20+M53</f>
        <v>0</v>
      </c>
      <c r="N55" s="139">
        <f>N20+N53</f>
        <v>17.84</v>
      </c>
      <c r="O55" s="140">
        <f>O20+O53</f>
        <v>17.84</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102" t="s">
        <v>117</v>
      </c>
      <c r="B57" s="72"/>
      <c r="C57" s="72"/>
      <c r="D57" s="72"/>
      <c r="E57" s="72"/>
      <c r="F57" s="72"/>
      <c r="G57" s="72"/>
      <c r="H57" s="72"/>
      <c r="I57" s="72"/>
      <c r="J57" s="72"/>
      <c r="K57" s="72"/>
      <c r="L57" s="72"/>
      <c r="M57" s="72"/>
      <c r="N57" s="72"/>
      <c r="O57" s="95">
        <f>IF($C$14&lt;=0,MIN(O18,O55), O18)</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102"/>
      <c r="C58" s="102"/>
      <c r="D58" s="102"/>
      <c r="E58" s="102"/>
      <c r="F58" s="102"/>
      <c r="G58" s="102"/>
      <c r="H58" s="10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69" t="s">
        <v>118</v>
      </c>
      <c r="B59" s="72"/>
      <c r="C59" s="72"/>
      <c r="D59" s="72"/>
      <c r="E59" s="72"/>
      <c r="F59" s="72"/>
      <c r="G59" s="72"/>
      <c r="H59" s="72"/>
      <c r="I59" s="72"/>
      <c r="J59" s="72"/>
      <c r="K59" s="72"/>
      <c r="L59" s="72"/>
      <c r="M59" s="72"/>
      <c r="N59" s="72"/>
      <c r="O59" s="141">
        <f>IF($C$14&lt;0,O55,IF(O55&gt;O57,O55,I54))</f>
        <v>17.84</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72"/>
      <c r="B60" s="72"/>
      <c r="C60" s="72"/>
      <c r="D60" s="72"/>
      <c r="E60" s="72"/>
      <c r="F60" s="72"/>
      <c r="G60" s="72"/>
      <c r="H60" s="72"/>
      <c r="I60" s="72"/>
      <c r="J60" s="72"/>
      <c r="K60" s="72"/>
      <c r="L60" s="72"/>
      <c r="M60" s="72"/>
      <c r="N60" s="72"/>
      <c r="O60" s="142"/>
      <c r="P60" s="84"/>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72"/>
      <c r="B61" s="102"/>
      <c r="C61" s="102"/>
      <c r="D61" s="102"/>
      <c r="E61" s="102"/>
      <c r="F61" s="102"/>
      <c r="G61" s="102"/>
      <c r="H61" s="102"/>
      <c r="I61" s="102" t="s">
        <v>119</v>
      </c>
      <c r="J61" s="102"/>
      <c r="K61" s="102"/>
      <c r="L61" s="143"/>
      <c r="M61" s="143"/>
      <c r="N61" s="143"/>
      <c r="O61" s="143">
        <f>ROUND(IF($C$14&lt;1,0,O55/($C$14*100)*10000),2)</f>
        <v>0</v>
      </c>
      <c r="P61" s="144" t="s">
        <v>120</v>
      </c>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c r="HN61" s="72"/>
      <c r="HO61" s="72"/>
      <c r="HP61" s="72"/>
      <c r="HQ61" s="72"/>
      <c r="HR61" s="72"/>
      <c r="HS61" s="72"/>
      <c r="HT61" s="72"/>
      <c r="HU61" s="72"/>
      <c r="HV61" s="72"/>
      <c r="HW61" s="72"/>
      <c r="HX61" s="72"/>
      <c r="HY61" s="72"/>
      <c r="HZ61" s="72"/>
      <c r="IA61" s="72"/>
      <c r="IB61" s="72"/>
    </row>
    <row r="62" spans="1:236" x14ac:dyDescent="0.25">
      <c r="A62" s="72"/>
      <c r="B62" s="72"/>
      <c r="C62" s="72"/>
      <c r="D62" s="72"/>
      <c r="E62" s="72"/>
      <c r="F62" s="72"/>
      <c r="G62" s="72"/>
      <c r="H62" s="145"/>
      <c r="I62" s="146" t="s">
        <v>121</v>
      </c>
      <c r="J62" s="72"/>
      <c r="K62" s="72"/>
      <c r="L62" s="72"/>
      <c r="M62" s="72"/>
      <c r="N62" s="72"/>
      <c r="O62" s="147">
        <f>ROUND(IF($C$14&lt;1,0,(L55)/($C$14*100)*10000),2)</f>
        <v>0</v>
      </c>
      <c r="P62" s="59" t="s">
        <v>120</v>
      </c>
      <c r="Q62" s="72"/>
      <c r="AE62" s="72"/>
      <c r="AF62" s="72"/>
      <c r="AG62" s="72"/>
      <c r="AH62" s="72"/>
      <c r="AI62" s="72"/>
      <c r="AJ62" s="72"/>
      <c r="AK62" s="72"/>
      <c r="AL62" s="72"/>
      <c r="AM62" s="72"/>
      <c r="AN62" s="72"/>
      <c r="AO62" s="72"/>
      <c r="AP62" s="72"/>
      <c r="AQ62" s="72"/>
      <c r="AR62" s="72"/>
      <c r="AS62" s="72"/>
      <c r="AT62" s="72"/>
      <c r="HE62" s="72"/>
      <c r="HF62" s="72"/>
      <c r="HG62" s="72"/>
      <c r="HH62" s="72"/>
      <c r="HI62" s="72"/>
      <c r="HJ62" s="72"/>
      <c r="HK62" s="72"/>
      <c r="HL62" s="72"/>
      <c r="HM62" s="72"/>
      <c r="HN62" s="72"/>
    </row>
    <row r="63" spans="1:236" x14ac:dyDescent="0.25">
      <c r="A63" s="72"/>
    </row>
    <row r="64" spans="1:236" x14ac:dyDescent="0.25">
      <c r="A64" s="72"/>
    </row>
    <row r="65" spans="1:1" x14ac:dyDescent="0.25">
      <c r="A65" s="72"/>
    </row>
    <row r="66" spans="1:1" x14ac:dyDescent="0.25">
      <c r="A66" s="72"/>
    </row>
    <row r="67" spans="1:1" x14ac:dyDescent="0.25">
      <c r="A67" s="72"/>
    </row>
    <row r="68" spans="1:1" x14ac:dyDescent="0.25">
      <c r="A68" s="72"/>
    </row>
  </sheetData>
  <sheetProtection algorithmName="SHA-512" hashValue="ztcpvsoNHNwFNURuVG37PuTlnZa9N/Xk30Hk5MSnaoLlyAPDgGetN5CkomdCUIgQ7nEuG5NihRoSc9C0O7bRqA==" saltValue="wsoC8BZc4VyVsLilLn8+Ww=="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7"/>
  <sheetViews>
    <sheetView showGridLines="0" topLeftCell="A22" zoomScale="80" zoomScaleNormal="80" workbookViewId="0">
      <selection activeCell="B22" sqref="B22"/>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c r="Q1" s="156"/>
    </row>
    <row r="2" spans="1:30" ht="21" x14ac:dyDescent="0.4">
      <c r="A2" s="450" t="s">
        <v>122</v>
      </c>
      <c r="B2" s="450"/>
      <c r="C2" s="450"/>
      <c r="D2" s="450"/>
      <c r="E2" s="450"/>
      <c r="F2" s="450"/>
      <c r="G2" s="450"/>
      <c r="H2" s="450"/>
      <c r="I2" s="450"/>
      <c r="J2" s="450"/>
      <c r="K2" s="450"/>
      <c r="L2" s="450"/>
      <c r="M2" s="450"/>
      <c r="N2" s="450"/>
      <c r="O2" s="450"/>
      <c r="P2" s="450"/>
      <c r="Q2" s="52"/>
    </row>
    <row r="3" spans="1:30" ht="17.399999999999999" x14ac:dyDescent="0.3">
      <c r="A3" s="435" t="s">
        <v>11</v>
      </c>
      <c r="B3" s="435"/>
      <c r="C3" s="435"/>
      <c r="D3" s="435"/>
      <c r="E3" s="435"/>
      <c r="F3" s="435"/>
      <c r="G3" s="435"/>
      <c r="H3" s="435"/>
      <c r="I3" s="435"/>
      <c r="J3" s="435"/>
      <c r="K3" s="435"/>
      <c r="L3" s="435"/>
      <c r="M3" s="435"/>
      <c r="N3" s="435"/>
      <c r="O3" s="435"/>
      <c r="P3" s="435"/>
      <c r="Q3" s="53"/>
    </row>
    <row r="4" spans="1:30" ht="15.6" x14ac:dyDescent="0.3">
      <c r="A4" s="435"/>
      <c r="B4" s="435"/>
      <c r="C4" s="435"/>
      <c r="D4" s="435"/>
      <c r="E4" s="435"/>
      <c r="F4" s="435"/>
      <c r="G4" s="435"/>
      <c r="H4" s="435"/>
      <c r="I4" s="435"/>
      <c r="J4" s="435"/>
      <c r="K4" s="435"/>
      <c r="L4" s="435"/>
      <c r="M4" s="435"/>
      <c r="N4" s="435"/>
      <c r="O4" s="435"/>
      <c r="P4" s="435"/>
      <c r="Q4" s="54"/>
    </row>
    <row r="5" spans="1:30" x14ac:dyDescent="0.25">
      <c r="A5" s="56">
        <f ca="1">TODAY()</f>
        <v>45656</v>
      </c>
      <c r="B5" s="436" t="s">
        <v>123</v>
      </c>
      <c r="C5" s="436"/>
      <c r="D5" s="436"/>
      <c r="E5" s="436"/>
      <c r="F5" s="436"/>
      <c r="G5" s="436"/>
      <c r="H5" s="436"/>
      <c r="I5" s="436"/>
      <c r="J5" s="436"/>
      <c r="K5" s="436"/>
      <c r="L5" s="436"/>
      <c r="M5" s="436"/>
      <c r="N5" s="436"/>
      <c r="O5" s="436"/>
    </row>
    <row r="6" spans="1:30" x14ac:dyDescent="0.25">
      <c r="A6" s="437" t="s">
        <v>2</v>
      </c>
      <c r="B6" s="437"/>
      <c r="C6" s="437"/>
      <c r="D6" s="437"/>
      <c r="E6" s="437"/>
      <c r="F6" s="437"/>
      <c r="G6" s="437"/>
      <c r="H6" s="437"/>
      <c r="I6" s="437"/>
      <c r="J6" s="437"/>
      <c r="K6" s="437"/>
    </row>
    <row r="8" spans="1:30" ht="15" x14ac:dyDescent="0.25">
      <c r="A8" s="57" t="s">
        <v>5</v>
      </c>
      <c r="B8" s="58"/>
      <c r="C8" s="59">
        <f>'Customer Info'!B7</f>
        <v>0</v>
      </c>
      <c r="I8" s="60"/>
    </row>
    <row r="9" spans="1:30" ht="15" x14ac:dyDescent="0.25">
      <c r="A9" s="61" t="s">
        <v>55</v>
      </c>
      <c r="B9" s="58"/>
      <c r="C9" s="59">
        <f>'Customer Info'!B8</f>
        <v>0</v>
      </c>
    </row>
    <row r="10" spans="1:30" x14ac:dyDescent="0.25">
      <c r="A10" s="57" t="s">
        <v>124</v>
      </c>
      <c r="B10" s="62">
        <f>'Customer Info'!B9</f>
        <v>1</v>
      </c>
      <c r="C10" s="63" t="str">
        <f>LOOKUP(B10,S11:AD11,S12:AD12)</f>
        <v>January</v>
      </c>
      <c r="D10" s="64">
        <f>'Customer Info'!C9</f>
        <v>2025</v>
      </c>
    </row>
    <row r="11" spans="1:30" x14ac:dyDescent="0.25">
      <c r="A11" s="444"/>
      <c r="B11" s="444"/>
      <c r="C11" s="444"/>
      <c r="D11" s="444"/>
      <c r="E11" s="444"/>
      <c r="F11" s="444"/>
      <c r="G11" s="444"/>
      <c r="H11" s="444"/>
      <c r="I11" s="444"/>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5">
      <c r="A12" s="155" t="s">
        <v>70</v>
      </c>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R13" s="72" t="s">
        <v>125</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A14" s="158" t="s">
        <v>137</v>
      </c>
      <c r="B14" s="158"/>
      <c r="C14" s="159">
        <f>IF('Customer Info'!B22+'Customer Info'!B23-'Customer Info'!B24&lt;0,0,'Customer Info'!B22+'Customer Info'!B23-'Customer Info'!B24)</f>
        <v>0</v>
      </c>
      <c r="D14" s="158" t="s">
        <v>19</v>
      </c>
      <c r="E14" s="158"/>
      <c r="F14" s="160"/>
      <c r="G14" s="158"/>
      <c r="H14" s="158"/>
      <c r="I14" s="158"/>
      <c r="R14" s="72" t="s">
        <v>126</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t="s">
        <v>138</v>
      </c>
      <c r="B15" s="158"/>
      <c r="C15" s="177">
        <f>MAX('Customer Info'!B19,'Customer Info'!B20)</f>
        <v>0</v>
      </c>
      <c r="D15" s="158" t="s">
        <v>13</v>
      </c>
      <c r="E15" s="158"/>
      <c r="F15" s="160"/>
      <c r="G15" s="158"/>
      <c r="H15" s="158"/>
      <c r="I15" s="158"/>
      <c r="R15" s="72" t="s">
        <v>139</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5">
      <c r="A16" s="158"/>
      <c r="B16" s="158"/>
      <c r="C16" s="160"/>
      <c r="D16" s="160"/>
      <c r="E16" s="160"/>
      <c r="F16" s="160"/>
      <c r="G16" s="57"/>
      <c r="H16" s="158"/>
      <c r="I16" s="158"/>
      <c r="R16" t="s">
        <v>127</v>
      </c>
      <c r="S16" s="161">
        <f>'Rider Rates'!$C$29</f>
        <v>4.4387999999999997E-3</v>
      </c>
      <c r="T16" s="161">
        <f>'Rider Rates'!$C$29</f>
        <v>4.4387999999999997E-3</v>
      </c>
      <c r="U16" s="161">
        <f>'Rider Rates'!$C$29</f>
        <v>4.4387999999999997E-3</v>
      </c>
      <c r="V16" s="161">
        <f>'Rider Rates'!$C$29</f>
        <v>4.4387999999999997E-3</v>
      </c>
      <c r="W16" s="161">
        <f>'Rider Rates'!$C$29</f>
        <v>4.4387999999999997E-3</v>
      </c>
      <c r="X16" s="161">
        <f>'Rider Rates'!$B$29</f>
        <v>4.4387999999999997E-3</v>
      </c>
      <c r="Y16" s="161">
        <f>'Rider Rates'!$B$29</f>
        <v>4.4387999999999997E-3</v>
      </c>
      <c r="Z16" s="161">
        <f>'Rider Rates'!$B$29</f>
        <v>4.4387999999999997E-3</v>
      </c>
      <c r="AA16" s="161">
        <f>'Rider Rates'!$B$29</f>
        <v>4.4387999999999997E-3</v>
      </c>
      <c r="AB16" s="161">
        <f>'Rider Rates'!$C$29</f>
        <v>4.4387999999999997E-3</v>
      </c>
      <c r="AC16" s="161">
        <f>'Rider Rates'!$C$29</f>
        <v>4.4387999999999997E-3</v>
      </c>
      <c r="AD16" s="161">
        <f>'Rider Rates'!$C$29</f>
        <v>4.4387999999999997E-3</v>
      </c>
    </row>
    <row r="17" spans="1:221" x14ac:dyDescent="0.25">
      <c r="A17" s="162" t="s">
        <v>128</v>
      </c>
      <c r="B17" s="163"/>
      <c r="C17" s="163"/>
      <c r="D17" s="163"/>
      <c r="E17" s="163"/>
      <c r="F17" s="163"/>
      <c r="G17" s="445" t="s">
        <v>73</v>
      </c>
      <c r="H17" s="446"/>
      <c r="I17" s="446"/>
      <c r="J17" s="447"/>
      <c r="K17" s="163"/>
      <c r="L17" s="448" t="s">
        <v>74</v>
      </c>
      <c r="M17" s="448"/>
      <c r="N17" s="448"/>
      <c r="O17" s="448"/>
      <c r="R17" t="s">
        <v>129</v>
      </c>
      <c r="S17" s="161">
        <f>'Rider Rates'!$C$30</f>
        <v>2.4020999999999999E-3</v>
      </c>
      <c r="T17" s="161">
        <f>'Rider Rates'!$C$30</f>
        <v>2.4020999999999999E-3</v>
      </c>
      <c r="U17" s="161">
        <f>'Rider Rates'!$C$30</f>
        <v>2.4020999999999999E-3</v>
      </c>
      <c r="V17" s="161">
        <f>'Rider Rates'!$C$30</f>
        <v>2.4020999999999999E-3</v>
      </c>
      <c r="W17" s="161">
        <f>'Rider Rates'!$C$30</f>
        <v>2.4020999999999999E-3</v>
      </c>
      <c r="X17" s="161">
        <f>'Rider Rates'!$B$30</f>
        <v>4.2166E-3</v>
      </c>
      <c r="Y17" s="161">
        <f>'Rider Rates'!$B$30</f>
        <v>4.2166E-3</v>
      </c>
      <c r="Z17" s="161">
        <f>'Rider Rates'!$B$30</f>
        <v>4.2166E-3</v>
      </c>
      <c r="AA17" s="161">
        <f>'Rider Rates'!$B$30</f>
        <v>4.2166E-3</v>
      </c>
      <c r="AB17" s="161">
        <f>'Rider Rates'!$C$30</f>
        <v>2.4020999999999999E-3</v>
      </c>
      <c r="AC17" s="161">
        <f>'Rider Rates'!$C$30</f>
        <v>2.4020999999999999E-3</v>
      </c>
      <c r="AD17" s="161">
        <f>'Rider Rates'!$C$30</f>
        <v>2.4020999999999999E-3</v>
      </c>
    </row>
    <row r="18" spans="1:221" x14ac:dyDescent="0.25">
      <c r="G18" s="164" t="s">
        <v>75</v>
      </c>
      <c r="H18" s="164" t="s">
        <v>76</v>
      </c>
      <c r="I18" s="164" t="s">
        <v>77</v>
      </c>
      <c r="J18" s="118" t="s">
        <v>78</v>
      </c>
      <c r="L18" s="165" t="s">
        <v>75</v>
      </c>
      <c r="M18" s="165" t="s">
        <v>76</v>
      </c>
      <c r="N18" s="165" t="s">
        <v>77</v>
      </c>
      <c r="O18" s="165" t="s">
        <v>78</v>
      </c>
      <c r="P18" s="166" t="s">
        <v>79</v>
      </c>
      <c r="R18" t="s">
        <v>130</v>
      </c>
      <c r="S18" s="161">
        <f>'Rider Rates'!$C$31</f>
        <v>2.8092999999999998E-3</v>
      </c>
      <c r="T18" s="161">
        <f>'Rider Rates'!$C$31</f>
        <v>2.8092999999999998E-3</v>
      </c>
      <c r="U18" s="161">
        <f>'Rider Rates'!$C$31</f>
        <v>2.8092999999999998E-3</v>
      </c>
      <c r="V18" s="161">
        <f>'Rider Rates'!$C$31</f>
        <v>2.8092999999999998E-3</v>
      </c>
      <c r="W18" s="161">
        <f>'Rider Rates'!$C$31</f>
        <v>2.8092999999999998E-3</v>
      </c>
      <c r="X18" s="161">
        <f>'Rider Rates'!$B$31</f>
        <v>3.9453999999999999E-3</v>
      </c>
      <c r="Y18" s="161">
        <f>'Rider Rates'!$B$31</f>
        <v>3.9453999999999999E-3</v>
      </c>
      <c r="Z18" s="161">
        <f>'Rider Rates'!$B$31</f>
        <v>3.9453999999999999E-3</v>
      </c>
      <c r="AA18" s="161">
        <f>'Rider Rates'!$B$31</f>
        <v>3.9453999999999999E-3</v>
      </c>
      <c r="AB18" s="161">
        <f>'Rider Rates'!$C$31</f>
        <v>2.8092999999999998E-3</v>
      </c>
      <c r="AC18" s="161">
        <f>'Rider Rates'!$C$31</f>
        <v>2.8092999999999998E-3</v>
      </c>
      <c r="AD18" s="161">
        <f>'Rider Rates'!$C$31</f>
        <v>2.8092999999999998E-3</v>
      </c>
    </row>
    <row r="19" spans="1:221" x14ac:dyDescent="0.25">
      <c r="A19" t="s">
        <v>80</v>
      </c>
      <c r="G19" s="167"/>
      <c r="H19" s="167"/>
      <c r="I19" s="168">
        <v>10</v>
      </c>
      <c r="J19" s="168">
        <f>SUM(G19:I19)</f>
        <v>10</v>
      </c>
      <c r="L19" s="168"/>
      <c r="M19" s="168"/>
      <c r="N19" s="168">
        <f>I19</f>
        <v>10</v>
      </c>
      <c r="O19" s="168">
        <f>+SUM(L19:N19)</f>
        <v>10</v>
      </c>
      <c r="P19" s="92">
        <v>44531</v>
      </c>
      <c r="R19" s="44" t="s">
        <v>131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t="s">
        <v>140</v>
      </c>
      <c r="D20" s="111">
        <f>C15</f>
        <v>0</v>
      </c>
      <c r="E20" s="152" t="s">
        <v>13</v>
      </c>
      <c r="F20" s="1" t="s">
        <v>82</v>
      </c>
      <c r="G20" s="99"/>
      <c r="H20" s="167"/>
      <c r="I20" s="99">
        <v>4.2699999999999996</v>
      </c>
      <c r="J20" s="169">
        <f>SUM(G20:I20)</f>
        <v>4.2699999999999996</v>
      </c>
      <c r="K20" t="s">
        <v>87</v>
      </c>
      <c r="L20" s="168"/>
      <c r="M20" s="168"/>
      <c r="N20" s="168">
        <f>IF($C$14&lt;0,0,ROUND($D20*I20,2))</f>
        <v>0</v>
      </c>
      <c r="O20" s="168">
        <f>+SUM(L20:N20)</f>
        <v>0</v>
      </c>
      <c r="P20" s="92">
        <v>44531</v>
      </c>
      <c r="R20" s="44"/>
    </row>
    <row r="21" spans="1:221" x14ac:dyDescent="0.25">
      <c r="A21" s="153" t="s">
        <v>132</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5">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85</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86</v>
      </c>
      <c r="B25" s="110"/>
      <c r="C25" s="110"/>
      <c r="D25" s="111">
        <f>IF($C$14&lt;0,0,IF($C$14&gt;833000,833000,$C$14))</f>
        <v>0</v>
      </c>
      <c r="E25" s="97" t="s">
        <v>19</v>
      </c>
      <c r="F25" s="84" t="s">
        <v>82</v>
      </c>
      <c r="G25" s="100"/>
      <c r="H25" s="100"/>
      <c r="I25" s="100">
        <f>'Rider Rates'!$B$4</f>
        <v>4.6278999999999999E-3</v>
      </c>
      <c r="J25" s="175">
        <f t="shared" ref="J25:J45" si="0">SUM(G25:I25)</f>
        <v>4.6278999999999999E-3</v>
      </c>
      <c r="K25" s="94" t="s">
        <v>87</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88</v>
      </c>
      <c r="B26" s="72"/>
      <c r="C26" s="72"/>
      <c r="D26" s="4">
        <f>IF($C$14&gt;833000,$C$14-833000,0)</f>
        <v>0</v>
      </c>
      <c r="E26" s="97" t="s">
        <v>19</v>
      </c>
      <c r="F26" s="84" t="s">
        <v>82</v>
      </c>
      <c r="G26" s="100"/>
      <c r="H26" s="100"/>
      <c r="I26" s="100">
        <f>'Rider Rates'!$B$5</f>
        <v>1.7560000000000001E-4</v>
      </c>
      <c r="J26" s="175">
        <f t="shared" si="0"/>
        <v>1.7560000000000001E-4</v>
      </c>
      <c r="K26" s="94" t="s">
        <v>87</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89</v>
      </c>
      <c r="B27" s="72"/>
      <c r="C27" s="72"/>
      <c r="D27" s="111">
        <f>IF($C$14&lt;0,0,IF($C$14&gt;2000,2000,$C$14))</f>
        <v>0</v>
      </c>
      <c r="E27" s="97" t="s">
        <v>19</v>
      </c>
      <c r="F27" s="84" t="s">
        <v>82</v>
      </c>
      <c r="G27" s="100"/>
      <c r="H27" s="100"/>
      <c r="I27" s="112">
        <f>'Rider Rates'!$B$8</f>
        <v>4.6499999999999996E-3</v>
      </c>
      <c r="J27" s="112">
        <f t="shared" si="0"/>
        <v>4.6499999999999996E-3</v>
      </c>
      <c r="K27" s="94" t="s">
        <v>87</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90</v>
      </c>
      <c r="B28" s="72"/>
      <c r="C28" s="72"/>
      <c r="D28" s="111">
        <f>IF($C$14&lt;=2000,0,IF($C$14=0,0,IF($C$14-2000&gt;13000,13000,$C$14-2000)))</f>
        <v>0</v>
      </c>
      <c r="E28" s="97" t="s">
        <v>19</v>
      </c>
      <c r="F28" s="84" t="s">
        <v>82</v>
      </c>
      <c r="G28" s="100"/>
      <c r="H28" s="100"/>
      <c r="I28" s="112">
        <f>'Rider Rates'!$B$9</f>
        <v>4.1900000000000001E-3</v>
      </c>
      <c r="J28" s="112">
        <f t="shared" si="0"/>
        <v>4.1900000000000001E-3</v>
      </c>
      <c r="K28" s="94" t="s">
        <v>87</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91</v>
      </c>
      <c r="B29" s="72"/>
      <c r="C29" s="72"/>
      <c r="D29" s="111">
        <f>IF($C$14=0,0,IF($C$14-15000&gt;=0,$C$14-15000,0))</f>
        <v>0</v>
      </c>
      <c r="E29" s="97" t="s">
        <v>19</v>
      </c>
      <c r="F29" s="84" t="s">
        <v>82</v>
      </c>
      <c r="G29" s="100"/>
      <c r="H29" s="100"/>
      <c r="I29" s="112">
        <f>'Rider Rates'!$B$10</f>
        <v>3.63E-3</v>
      </c>
      <c r="J29" s="112">
        <f t="shared" si="0"/>
        <v>3.63E-3</v>
      </c>
      <c r="K29" s="94" t="s">
        <v>87</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92</v>
      </c>
      <c r="B30" s="72"/>
      <c r="C30" s="72"/>
      <c r="D30" s="111">
        <f>IF($C$14&lt;0,0,$C$14)</f>
        <v>0</v>
      </c>
      <c r="E30" s="97" t="s">
        <v>19</v>
      </c>
      <c r="F30" s="84" t="s">
        <v>82</v>
      </c>
      <c r="G30" s="100"/>
      <c r="H30" s="100"/>
      <c r="I30" s="100">
        <f>'Rider Rates'!B15</f>
        <v>0</v>
      </c>
      <c r="J30" s="100">
        <f>SUM(G30:I30)</f>
        <v>0</v>
      </c>
      <c r="K30" s="94" t="s">
        <v>87</v>
      </c>
      <c r="L30" s="89"/>
      <c r="M30" s="89"/>
      <c r="N30" s="89">
        <f t="shared" si="1"/>
        <v>0</v>
      </c>
      <c r="O30" s="89">
        <f t="shared" ref="O30:O36" si="2">SUM(L30:N30)</f>
        <v>0</v>
      </c>
      <c r="P30" s="92">
        <f>'Rider Rates'!$D$15</f>
        <v>45505</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t="s">
        <v>93</v>
      </c>
      <c r="B31" s="72"/>
      <c r="C31" s="72"/>
      <c r="D31" s="113">
        <f>$N$21</f>
        <v>10</v>
      </c>
      <c r="E31" s="97" t="s">
        <v>94</v>
      </c>
      <c r="F31" s="84" t="s">
        <v>82</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133</v>
      </c>
      <c r="B32" s="72"/>
      <c r="C32" s="72"/>
      <c r="D32" s="111">
        <f>'Customer Info'!$B$22+'Customer Info'!$B$23-'Customer Info'!$B$24</f>
        <v>0</v>
      </c>
      <c r="E32" s="97" t="s">
        <v>19</v>
      </c>
      <c r="F32" s="84" t="s">
        <v>82</v>
      </c>
      <c r="G32" s="100">
        <f>'Rider Rates'!B21</f>
        <v>7.0209999999999995E-2</v>
      </c>
      <c r="H32" s="100"/>
      <c r="I32" s="100"/>
      <c r="J32" s="115">
        <f>SUM(G32:H32)</f>
        <v>7.0209999999999995E-2</v>
      </c>
      <c r="K32" s="94" t="s">
        <v>87</v>
      </c>
      <c r="L32" s="89">
        <f>ROUND(D32*G32,2)</f>
        <v>0</v>
      </c>
      <c r="M32" s="89"/>
      <c r="N32" s="89"/>
      <c r="O32" s="89">
        <f t="shared" si="2"/>
        <v>0</v>
      </c>
      <c r="P32" s="92">
        <f>'Rider Rates'!$D$29</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96</v>
      </c>
      <c r="B33" s="72"/>
      <c r="C33" s="72"/>
      <c r="D33" s="111">
        <f>'Customer Info'!$B$22+'Customer Info'!$B$23-'Customer Info'!$B$24</f>
        <v>0</v>
      </c>
      <c r="E33" s="97" t="s">
        <v>19</v>
      </c>
      <c r="F33" s="84" t="s">
        <v>82</v>
      </c>
      <c r="G33" s="100">
        <f>'Rider Rates'!$B$28</f>
        <v>3.2000000000000002E-3</v>
      </c>
      <c r="H33" s="100"/>
      <c r="I33" s="100"/>
      <c r="J33" s="115">
        <f>SUM(G33:H33)</f>
        <v>3.2000000000000002E-3</v>
      </c>
      <c r="K33" s="94" t="s">
        <v>87</v>
      </c>
      <c r="L33" s="89">
        <f>ROUND(D33*G33,2)</f>
        <v>0</v>
      </c>
      <c r="M33" s="89"/>
      <c r="N33" s="89"/>
      <c r="O33" s="89">
        <f t="shared" si="2"/>
        <v>0</v>
      </c>
      <c r="P33" s="92">
        <f>'Rider Rates'!$D$29</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97</v>
      </c>
      <c r="B34" s="72"/>
      <c r="C34" s="72"/>
      <c r="D34" s="111">
        <f>'Customer Info'!$B$22+'Customer Info'!$B$23-'Customer Info'!$B$24</f>
        <v>0</v>
      </c>
      <c r="E34" s="97" t="s">
        <v>19</v>
      </c>
      <c r="F34" s="84" t="s">
        <v>82</v>
      </c>
      <c r="G34" s="100">
        <f>'Rider Rates'!B49</f>
        <v>4.5009999999999999E-4</v>
      </c>
      <c r="H34" s="100"/>
      <c r="I34" s="100"/>
      <c r="J34" s="115">
        <f>SUM(G34:H34)</f>
        <v>4.5009999999999999E-4</v>
      </c>
      <c r="K34" s="94" t="s">
        <v>87</v>
      </c>
      <c r="L34" s="89">
        <f>ROUND(D34*G34,2)</f>
        <v>0</v>
      </c>
      <c r="M34" s="89"/>
      <c r="N34" s="89"/>
      <c r="O34" s="89">
        <f>SUM(L34:N34)</f>
        <v>0</v>
      </c>
      <c r="P34" s="92">
        <f>'Rider Rates'!$D$49</f>
        <v>45657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2" t="s">
        <v>98</v>
      </c>
      <c r="B35" s="72"/>
      <c r="C35" s="72"/>
      <c r="D35" s="111"/>
      <c r="E35" s="97" t="s">
        <v>57</v>
      </c>
      <c r="F35" s="84"/>
      <c r="G35" s="100"/>
      <c r="H35" s="100"/>
      <c r="I35" s="100">
        <f>'Rider Rates'!D52</f>
        <v>1.17</v>
      </c>
      <c r="J35" s="100">
        <f>SUM(G35:I35)</f>
        <v>1.17</v>
      </c>
      <c r="K35" s="94" t="s">
        <v>87</v>
      </c>
      <c r="L35" s="89"/>
      <c r="M35" s="89"/>
      <c r="N35" s="89">
        <f>J35</f>
        <v>1.17</v>
      </c>
      <c r="O35" s="89">
        <f>SUM(L35:N35)</f>
        <v>1.17</v>
      </c>
      <c r="P35" s="92">
        <f>'Rider Rates'!E52</f>
        <v>45658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99</v>
      </c>
      <c r="B36" s="72"/>
      <c r="C36" s="72"/>
      <c r="D36" s="111">
        <f>IF($C$14&lt;0,0,$C$14)</f>
        <v>0</v>
      </c>
      <c r="E36" s="97" t="s">
        <v>19</v>
      </c>
      <c r="F36" s="84" t="s">
        <v>82</v>
      </c>
      <c r="G36" s="100"/>
      <c r="H36" s="100">
        <f>'Rider Rates'!$B$59</f>
        <v>4.3837099999999997E-2</v>
      </c>
      <c r="I36" s="100"/>
      <c r="J36" s="100">
        <f>SUM(G36:I36)</f>
        <v>4.3837099999999997E-2</v>
      </c>
      <c r="K36" s="94" t="s">
        <v>87</v>
      </c>
      <c r="L36" s="89"/>
      <c r="M36" s="89">
        <f>ROUND(D36*H36,2)</f>
        <v>0</v>
      </c>
      <c r="N36" s="116"/>
      <c r="O36" s="89">
        <f t="shared" si="2"/>
        <v>0</v>
      </c>
      <c r="P36" s="92">
        <f>'Rider Rates'!$D$59</f>
        <v>45383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100</v>
      </c>
      <c r="B37" s="72"/>
      <c r="C37" s="72"/>
      <c r="D37" s="111">
        <f>IF($C$14&lt;0,0,$C$14)</f>
        <v>0</v>
      </c>
      <c r="E37" s="97" t="s">
        <v>19</v>
      </c>
      <c r="F37" s="84" t="s">
        <v>82</v>
      </c>
      <c r="G37" s="100"/>
      <c r="H37" s="100"/>
      <c r="I37" s="100">
        <f>'Rider Rates'!$B$70</f>
        <v>8.6240000000000004E-4</v>
      </c>
      <c r="J37" s="100">
        <f t="shared" ref="J37" si="3">SUM(G37:I37)</f>
        <v>8.6240000000000004E-4</v>
      </c>
      <c r="K37" s="94" t="s">
        <v>87</v>
      </c>
      <c r="L37" s="89"/>
      <c r="M37" s="89"/>
      <c r="N37" s="89">
        <f>ROUND($D$37*'Rider Rates'!$B$70,2)</f>
        <v>0</v>
      </c>
      <c r="O37" s="89">
        <f>SUM(L37:N37)</f>
        <v>0</v>
      </c>
      <c r="P37" s="92">
        <f>'Rider Rates'!$D$70</f>
        <v>45532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101</v>
      </c>
      <c r="B38" s="72"/>
      <c r="C38" s="72"/>
      <c r="D38" s="111">
        <f>IF('Customer Info'!C35=TRUE,0,IF($C$14&lt;0,0,$C$14))</f>
        <v>0</v>
      </c>
      <c r="E38" s="97" t="s">
        <v>19</v>
      </c>
      <c r="F38" s="84" t="s">
        <v>82</v>
      </c>
      <c r="G38" s="100"/>
      <c r="H38" s="100"/>
      <c r="I38" s="100">
        <f>'Rider Rates'!$B$73+'Rider Rates'!$C$73</f>
        <v>0</v>
      </c>
      <c r="J38" s="100">
        <f t="shared" si="0"/>
        <v>0</v>
      </c>
      <c r="K38" s="94" t="s">
        <v>87</v>
      </c>
      <c r="L38" s="89"/>
      <c r="M38" s="89"/>
      <c r="N38" s="89">
        <f>ROUND($D$38*'Rider Rates'!$B$73,2)+ROUND($D$38*'Rider Rates'!$C$73,2)</f>
        <v>0</v>
      </c>
      <c r="O38" s="89">
        <f>SUM(L38:N38)</f>
        <v>0</v>
      </c>
      <c r="P38" s="92">
        <f>'Rider Rates'!$D$73</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102</v>
      </c>
      <c r="B39" s="72"/>
      <c r="C39" s="72"/>
      <c r="D39" s="113">
        <f>$N$21</f>
        <v>10</v>
      </c>
      <c r="E39" s="97" t="s">
        <v>94</v>
      </c>
      <c r="F39" s="84" t="s">
        <v>82</v>
      </c>
      <c r="G39" s="117"/>
      <c r="H39" s="118"/>
      <c r="I39" s="119">
        <f>'Rider Rates'!$B$89</f>
        <v>4.94232E-2</v>
      </c>
      <c r="J39" s="119">
        <f t="shared" si="0"/>
        <v>4.94232E-2</v>
      </c>
      <c r="K39" s="94"/>
      <c r="L39" s="89"/>
      <c r="M39" s="89"/>
      <c r="N39" s="89">
        <f>ROUND(D39*I39,2)</f>
        <v>0.49</v>
      </c>
      <c r="O39" s="89">
        <f>SUM(L39:N39)</f>
        <v>0.49</v>
      </c>
      <c r="P39" s="92">
        <f>'Rider Rates'!$D$89</f>
        <v>45562</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103</v>
      </c>
      <c r="B40" s="72"/>
      <c r="C40" s="72"/>
      <c r="D40" s="113">
        <f>$N$21</f>
        <v>10</v>
      </c>
      <c r="E40" s="97" t="s">
        <v>94</v>
      </c>
      <c r="F40" s="84" t="s">
        <v>82</v>
      </c>
      <c r="G40" s="120"/>
      <c r="H40" s="85"/>
      <c r="I40" s="119">
        <f>'Rider Rates'!$B$91</f>
        <v>6.6985699999999995E-2</v>
      </c>
      <c r="J40" s="119">
        <f t="shared" si="0"/>
        <v>6.6985699999999995E-2</v>
      </c>
      <c r="K40" s="94"/>
      <c r="L40" s="89"/>
      <c r="M40" s="89"/>
      <c r="N40" s="89">
        <f>ROUND(D40*I40,2)</f>
        <v>0.67</v>
      </c>
      <c r="O40" s="89">
        <f>SUM(L40:N40)</f>
        <v>0.67</v>
      </c>
      <c r="P40" s="92">
        <f>'Rider Rates'!$D$91</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104</v>
      </c>
      <c r="B41" s="72"/>
      <c r="C41" s="72"/>
      <c r="D41" s="113"/>
      <c r="E41" s="97" t="s">
        <v>57</v>
      </c>
      <c r="F41" s="84"/>
      <c r="G41" s="120"/>
      <c r="H41" s="85"/>
      <c r="I41" s="121">
        <f>'Rider Rates'!$B$94</f>
        <v>2.08</v>
      </c>
      <c r="J41" s="121">
        <f t="shared" si="0"/>
        <v>2.08</v>
      </c>
      <c r="K41" s="94"/>
      <c r="L41" s="89"/>
      <c r="M41" s="89"/>
      <c r="N41" s="89">
        <f>I41</f>
        <v>2.08</v>
      </c>
      <c r="O41" s="89">
        <f>SUM(L41:N41)</f>
        <v>2.08</v>
      </c>
      <c r="P41" s="92">
        <f>'Rider Rates'!$D$94</f>
        <v>45657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105</v>
      </c>
      <c r="B42" s="72"/>
      <c r="C42" s="72"/>
      <c r="D42" s="111">
        <f>IF($C$14&lt;0,0,$C$14)</f>
        <v>0</v>
      </c>
      <c r="E42" s="97" t="s">
        <v>19</v>
      </c>
      <c r="F42" s="84" t="s">
        <v>82</v>
      </c>
      <c r="G42" s="100"/>
      <c r="H42" s="100"/>
      <c r="I42" s="100"/>
      <c r="J42" s="100">
        <f>'Rider Rates'!$B$98</f>
        <v>0</v>
      </c>
      <c r="K42" s="94" t="s">
        <v>87</v>
      </c>
      <c r="L42" s="89"/>
      <c r="M42" s="89"/>
      <c r="N42" s="89"/>
      <c r="O42" s="89">
        <f>ROUND($D42*('Rider Rates'!B$98),2)</f>
        <v>0</v>
      </c>
      <c r="P42" s="92">
        <f>'Rider Rates'!$D$98</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106</v>
      </c>
      <c r="B43" s="72"/>
      <c r="C43" s="72"/>
      <c r="D43" s="113">
        <f>$N$21</f>
        <v>10</v>
      </c>
      <c r="E43" s="97" t="s">
        <v>94</v>
      </c>
      <c r="F43" s="84" t="s">
        <v>82</v>
      </c>
      <c r="G43" s="120"/>
      <c r="H43" s="85"/>
      <c r="I43" s="119">
        <f>'Rider Rates'!$B$109</f>
        <v>0.2363101</v>
      </c>
      <c r="J43" s="119">
        <f t="shared" si="0"/>
        <v>0.2363101</v>
      </c>
      <c r="K43" s="94"/>
      <c r="L43" s="89"/>
      <c r="M43" s="89"/>
      <c r="N43" s="89">
        <f>ROUND(D43*I43,2)</f>
        <v>2.36</v>
      </c>
      <c r="O43" s="89">
        <f t="shared" ref="O43:O48" si="4">SUM(L43:N43)</f>
        <v>2.36</v>
      </c>
      <c r="P43" s="92">
        <f>'Rider Rates'!$D$109</f>
        <v>45622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107</v>
      </c>
      <c r="B44" s="72"/>
      <c r="C44" s="72"/>
      <c r="D44" s="113"/>
      <c r="E44" s="97" t="s">
        <v>57</v>
      </c>
      <c r="F44" s="84"/>
      <c r="G44" s="120"/>
      <c r="H44" s="85"/>
      <c r="I44" s="121">
        <f>'Rider Rates'!$B$112</f>
        <v>0</v>
      </c>
      <c r="J44" s="121">
        <f t="shared" si="0"/>
        <v>0</v>
      </c>
      <c r="K44" s="94"/>
      <c r="L44" s="89"/>
      <c r="M44" s="89"/>
      <c r="N44" s="89">
        <f>I44</f>
        <v>0</v>
      </c>
      <c r="O44" s="89">
        <f t="shared" si="4"/>
        <v>0</v>
      </c>
      <c r="P44" s="92">
        <f>'Rider Rates'!$D$112</f>
        <v>44894</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108</v>
      </c>
      <c r="B45" s="72"/>
      <c r="C45" s="72"/>
      <c r="D45" s="113"/>
      <c r="E45" s="97" t="s">
        <v>57</v>
      </c>
      <c r="F45" s="84"/>
      <c r="G45" s="120"/>
      <c r="H45" s="85"/>
      <c r="I45" s="123">
        <f>'Rider Rates'!B125</f>
        <v>0.97</v>
      </c>
      <c r="J45" s="121">
        <f t="shared" si="0"/>
        <v>0.97</v>
      </c>
      <c r="K45" s="94"/>
      <c r="L45" s="89"/>
      <c r="M45" s="89"/>
      <c r="N45" s="125">
        <f>I45</f>
        <v>0.97</v>
      </c>
      <c r="O45" s="89">
        <f t="shared" si="4"/>
        <v>0.97</v>
      </c>
      <c r="P45" s="92">
        <f>'Rider Rates'!D125</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109</v>
      </c>
      <c r="B46" s="72"/>
      <c r="C46" s="72"/>
      <c r="D46" s="111">
        <f>'Customer Info'!$B$22+'Customer Info'!$B$23-'Customer Info'!$B$24</f>
        <v>0</v>
      </c>
      <c r="E46" s="97" t="s">
        <v>19</v>
      </c>
      <c r="F46" s="84" t="s">
        <v>82</v>
      </c>
      <c r="G46" s="100">
        <f>'Rider Rates'!$B$116</f>
        <v>3.8972999999999998E-3</v>
      </c>
      <c r="H46" s="100"/>
      <c r="I46" s="119"/>
      <c r="J46" s="115">
        <f>SUM(G46:H46)</f>
        <v>3.8972999999999998E-3</v>
      </c>
      <c r="K46" s="94" t="s">
        <v>87</v>
      </c>
      <c r="L46" s="89">
        <f>ROUND(D46*G46,2)</f>
        <v>0</v>
      </c>
      <c r="M46" s="89"/>
      <c r="N46" s="89"/>
      <c r="O46" s="89">
        <f t="shared" si="4"/>
        <v>0</v>
      </c>
      <c r="P46" s="92">
        <f>'Rider Rates'!$D$116</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110</v>
      </c>
      <c r="B47" s="72"/>
      <c r="C47" s="72"/>
      <c r="D47" s="111">
        <f>IF($C$14&lt;1,0,$C$14)</f>
        <v>0</v>
      </c>
      <c r="E47" s="97" t="s">
        <v>19</v>
      </c>
      <c r="F47" s="126" t="s">
        <v>82</v>
      </c>
      <c r="G47" s="100"/>
      <c r="H47" s="100"/>
      <c r="I47" s="115">
        <f>'Rider Rates'!$B$121</f>
        <v>0</v>
      </c>
      <c r="J47" s="115">
        <f>SUM(G47:I47)</f>
        <v>0</v>
      </c>
      <c r="K47" s="94" t="s">
        <v>87</v>
      </c>
      <c r="L47" s="89"/>
      <c r="M47" s="89"/>
      <c r="N47" s="89">
        <f>D47*J47</f>
        <v>0</v>
      </c>
      <c r="O47" s="89">
        <f t="shared" si="4"/>
        <v>0</v>
      </c>
      <c r="P47" s="92">
        <f>'Rider Rates'!D121</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111</v>
      </c>
      <c r="B48" s="72"/>
      <c r="C48" s="72"/>
      <c r="D48" s="111"/>
      <c r="E48" s="97" t="s">
        <v>57</v>
      </c>
      <c r="F48" s="84" t="s">
        <v>82</v>
      </c>
      <c r="G48" s="127"/>
      <c r="H48" s="127"/>
      <c r="I48" s="127">
        <f>'Rider Rates'!$B$129</f>
        <v>0.1</v>
      </c>
      <c r="J48" s="127">
        <f>SUM(G48:I48)</f>
        <v>0.1</v>
      </c>
      <c r="K48" s="94"/>
      <c r="L48" s="128"/>
      <c r="M48" s="128"/>
      <c r="N48" s="128">
        <f>J48</f>
        <v>0.1</v>
      </c>
      <c r="O48" s="128">
        <f t="shared" si="4"/>
        <v>0.1</v>
      </c>
      <c r="P48" s="129">
        <f>'Rider Rates'!$E$129</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112</v>
      </c>
      <c r="B49" s="72"/>
      <c r="C49" s="72"/>
      <c r="D49" s="111">
        <f>C14</f>
        <v>0</v>
      </c>
      <c r="E49" s="97" t="s">
        <v>19</v>
      </c>
      <c r="F49" s="126" t="s">
        <v>82</v>
      </c>
      <c r="G49" s="100"/>
      <c r="H49" s="100"/>
      <c r="I49" s="100">
        <f>'Rider Rates'!$B$134</f>
        <v>0</v>
      </c>
      <c r="J49" s="115">
        <f>SUM(G49:I49)</f>
        <v>0</v>
      </c>
      <c r="K49" s="94" t="s">
        <v>87</v>
      </c>
      <c r="L49" s="89"/>
      <c r="M49" s="89"/>
      <c r="N49" s="89">
        <f>D49*J49</f>
        <v>0</v>
      </c>
      <c r="O49" s="89">
        <f>SUM(L49:N49)</f>
        <v>0</v>
      </c>
      <c r="P49" s="92">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113</v>
      </c>
      <c r="B50" s="72"/>
      <c r="C50" s="72"/>
      <c r="D50" s="111"/>
      <c r="E50" s="97" t="s">
        <v>57</v>
      </c>
      <c r="F50" s="84" t="s">
        <v>82</v>
      </c>
      <c r="G50" s="127"/>
      <c r="H50" s="127"/>
      <c r="I50" s="127">
        <f>'Rider Rates'!$B$141</f>
        <v>0</v>
      </c>
      <c r="J50" s="127">
        <f>SUM(G50:I50)</f>
        <v>0</v>
      </c>
      <c r="K50" s="94"/>
      <c r="L50" s="128"/>
      <c r="M50" s="128"/>
      <c r="N50" s="128">
        <f>J50</f>
        <v>0</v>
      </c>
      <c r="O50" s="128">
        <f>SUM(L50:N50)</f>
        <v>0</v>
      </c>
      <c r="P50" s="129">
        <f>'Rider Rates'!$D$137</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114</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130" t="s">
        <v>115</v>
      </c>
      <c r="B52" s="69"/>
      <c r="C52" s="69"/>
      <c r="D52" s="131"/>
      <c r="E52" s="132"/>
      <c r="F52" s="133"/>
      <c r="G52" s="133"/>
      <c r="H52" s="133"/>
      <c r="I52" s="133"/>
      <c r="J52" s="133"/>
      <c r="K52" s="134"/>
      <c r="L52" s="105">
        <f>SUM(L25:L51)</f>
        <v>0</v>
      </c>
      <c r="M52" s="105">
        <f>SUM(M25:M51)</f>
        <v>0</v>
      </c>
      <c r="N52" s="105">
        <f>SUM(N25:N51)</f>
        <v>7.839999999999999</v>
      </c>
      <c r="O52" s="105">
        <f>SUM(O25:O51)</f>
        <v>7.839999999999999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106"/>
      <c r="B54" s="106"/>
      <c r="C54" s="106"/>
      <c r="D54" s="106"/>
      <c r="E54" s="106"/>
      <c r="F54" s="106"/>
      <c r="G54" s="106"/>
      <c r="H54" s="106"/>
      <c r="I54" s="106"/>
      <c r="J54" s="106"/>
      <c r="K54" s="106"/>
      <c r="L54" s="139">
        <f>L21+L52</f>
        <v>0</v>
      </c>
      <c r="M54" s="139">
        <f>M21+M52</f>
        <v>0</v>
      </c>
      <c r="N54" s="139">
        <f>N21+N52</f>
        <v>17.84</v>
      </c>
      <c r="O54" s="140">
        <f>O21+O52</f>
        <v>17.84</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02" t="s">
        <v>117</v>
      </c>
      <c r="B56" s="72"/>
      <c r="C56" s="72"/>
      <c r="D56" s="72"/>
      <c r="E56" s="72"/>
      <c r="F56" s="72"/>
      <c r="G56" s="72"/>
      <c r="H56" s="72"/>
      <c r="I56" s="72"/>
      <c r="J56" s="72"/>
      <c r="K56" s="72"/>
      <c r="L56" s="72"/>
      <c r="M56" s="72"/>
      <c r="N56" s="72"/>
      <c r="O56" s="95">
        <f>IF($C$14&lt;=0,MIN(O19,O54), O19)</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69" t="s">
        <v>118</v>
      </c>
      <c r="B58" s="72"/>
      <c r="C58" s="72"/>
      <c r="D58" s="72"/>
      <c r="E58" s="72"/>
      <c r="F58" s="72"/>
      <c r="G58" s="72"/>
      <c r="H58" s="72"/>
      <c r="I58" s="72"/>
      <c r="J58" s="72"/>
      <c r="K58" s="72"/>
      <c r="L58" s="72"/>
      <c r="M58" s="72"/>
      <c r="N58" s="72"/>
      <c r="O58" s="141">
        <f>IF($C$14&lt;0,O54,IF(O54&gt;O56,O54,I53))</f>
        <v>17.84</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72"/>
      <c r="B60" s="102"/>
      <c r="C60" s="102"/>
      <c r="D60" s="102"/>
      <c r="E60" s="102"/>
      <c r="F60" s="102"/>
      <c r="G60" s="102"/>
      <c r="H60" s="102"/>
      <c r="I60" s="102" t="s">
        <v>119</v>
      </c>
      <c r="J60" s="102"/>
      <c r="K60" s="102"/>
      <c r="L60" s="143"/>
      <c r="M60" s="143"/>
      <c r="N60" s="143"/>
      <c r="O60" s="143">
        <f>ROUND(IF($C$14&lt;1,0,O54/($C$14*100)*10000),2)</f>
        <v>0</v>
      </c>
      <c r="P60" s="144" t="s">
        <v>120</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5">
      <c r="A61" s="72"/>
      <c r="B61" s="72"/>
      <c r="C61" s="72"/>
      <c r="D61" s="72"/>
      <c r="E61" s="72"/>
      <c r="F61" s="72"/>
      <c r="G61" s="72"/>
      <c r="H61" s="145"/>
      <c r="I61" s="146" t="s">
        <v>121</v>
      </c>
      <c r="J61" s="72"/>
      <c r="K61" s="72"/>
      <c r="L61" s="72"/>
      <c r="M61" s="72"/>
      <c r="N61" s="72"/>
      <c r="O61" s="147">
        <f>ROUND(IF($C$14&lt;1,0,(L54)/($C$14*100)*10000),2)</f>
        <v>0</v>
      </c>
      <c r="P61" s="59" t="s">
        <v>120</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5">
      <c r="A62" s="72"/>
    </row>
    <row r="63" spans="1:236" x14ac:dyDescent="0.25">
      <c r="A63" s="72"/>
    </row>
    <row r="64" spans="1:236" x14ac:dyDescent="0.25">
      <c r="A64" s="72"/>
    </row>
    <row r="65" spans="1:1" x14ac:dyDescent="0.25">
      <c r="A65" s="72"/>
    </row>
    <row r="66" spans="1:1" x14ac:dyDescent="0.25">
      <c r="A66" s="72"/>
    </row>
    <row r="67" spans="1:1" x14ac:dyDescent="0.25">
      <c r="A67" s="72"/>
    </row>
  </sheetData>
  <sheetProtection algorithmName="SHA-512" hashValue="B6/DVh5xpZhziGMZCGqHScfLV3zKmL6Nw4qQWB7dOy79Y89TsrsiSIfR9oe9xbweRKw2ypI4HYmxQO9h+kA3Hw==" saltValue="ABIt4QC73sQSEWG+Yy/BLg=="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4"/>
  <sheetViews>
    <sheetView showGridLines="0" topLeftCell="A21" zoomScale="80" zoomScaleNormal="80" workbookViewId="0">
      <selection activeCell="B22" sqref="B2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3" t="s">
        <v>52</v>
      </c>
      <c r="B1" s="433"/>
      <c r="C1" s="433"/>
      <c r="D1" s="433"/>
      <c r="E1" s="433"/>
      <c r="F1" s="433"/>
      <c r="G1" s="433"/>
      <c r="H1" s="433"/>
      <c r="I1" s="433"/>
      <c r="J1" s="433"/>
      <c r="K1" s="433"/>
      <c r="L1" s="433"/>
      <c r="M1" s="433"/>
      <c r="N1" s="433"/>
      <c r="O1" s="433"/>
      <c r="P1" s="433"/>
      <c r="Q1" s="52"/>
    </row>
    <row r="2" spans="1:59" ht="21" x14ac:dyDescent="0.4">
      <c r="A2" s="433" t="s">
        <v>141</v>
      </c>
      <c r="B2" s="433"/>
      <c r="C2" s="433"/>
      <c r="D2" s="433"/>
      <c r="E2" s="433"/>
      <c r="F2" s="433"/>
      <c r="G2" s="433"/>
      <c r="H2" s="433"/>
      <c r="I2" s="433"/>
      <c r="J2" s="433"/>
      <c r="K2" s="433"/>
      <c r="L2" s="433"/>
      <c r="M2" s="433"/>
      <c r="N2" s="433"/>
      <c r="O2" s="433"/>
      <c r="P2" s="433"/>
    </row>
    <row r="3" spans="1:59" ht="17.399999999999999" x14ac:dyDescent="0.3">
      <c r="A3" s="450" t="s">
        <v>53</v>
      </c>
      <c r="B3" s="450"/>
      <c r="C3" s="450"/>
      <c r="D3" s="450"/>
      <c r="E3" s="450"/>
      <c r="F3" s="450"/>
      <c r="G3" s="450"/>
      <c r="H3" s="450"/>
      <c r="I3" s="450"/>
      <c r="J3" s="450"/>
      <c r="K3" s="450"/>
      <c r="L3" s="450"/>
      <c r="M3" s="450"/>
      <c r="N3" s="450"/>
      <c r="O3" s="450"/>
      <c r="P3" s="450"/>
      <c r="Q3" s="53"/>
    </row>
    <row r="4" spans="1:59" ht="15.6" x14ac:dyDescent="0.3">
      <c r="A4" s="435" t="str">
        <f>'Customer Info'!$B$12</f>
        <v>Breakdown of Charges Based on Entered Information</v>
      </c>
      <c r="B4" s="435"/>
      <c r="C4" s="435"/>
      <c r="D4" s="435"/>
      <c r="E4" s="435"/>
      <c r="F4" s="435"/>
      <c r="G4" s="435"/>
      <c r="H4" s="435"/>
      <c r="I4" s="435"/>
      <c r="J4" s="435"/>
      <c r="K4" s="435"/>
      <c r="L4" s="435"/>
      <c r="M4" s="435"/>
      <c r="N4" s="435"/>
      <c r="O4" s="435"/>
      <c r="P4" s="435"/>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45656</v>
      </c>
      <c r="B6" s="436" t="s">
        <v>142</v>
      </c>
      <c r="C6" s="436"/>
      <c r="D6" s="436"/>
      <c r="E6" s="436"/>
      <c r="F6" s="436"/>
      <c r="G6" s="436"/>
      <c r="H6" s="436"/>
      <c r="I6" s="436"/>
      <c r="J6" s="436"/>
      <c r="K6" s="436"/>
      <c r="L6" s="436"/>
      <c r="M6" s="436"/>
      <c r="N6" s="436"/>
      <c r="O6" s="436"/>
    </row>
    <row r="7" spans="1:59" x14ac:dyDescent="0.25">
      <c r="A7" s="437" t="s">
        <v>2</v>
      </c>
      <c r="B7" s="437"/>
      <c r="C7" s="437"/>
      <c r="D7" s="437"/>
      <c r="E7" s="437"/>
      <c r="F7" s="437"/>
      <c r="G7" s="437"/>
      <c r="H7" s="437"/>
      <c r="I7" s="437"/>
      <c r="J7" s="437"/>
      <c r="K7" s="437"/>
    </row>
    <row r="9" spans="1:59" ht="15" x14ac:dyDescent="0.25">
      <c r="A9" s="57" t="s">
        <v>5</v>
      </c>
      <c r="B9" s="58"/>
      <c r="C9" s="59">
        <f>'Customer Info'!B7</f>
        <v>0</v>
      </c>
      <c r="I9" s="60"/>
    </row>
    <row r="10" spans="1:59" ht="15" x14ac:dyDescent="0.25">
      <c r="A10" s="61" t="s">
        <v>55</v>
      </c>
      <c r="B10" s="58"/>
      <c r="C10" s="59">
        <f>'Customer Info'!B8</f>
        <v>0</v>
      </c>
    </row>
    <row r="11" spans="1:59" x14ac:dyDescent="0.25">
      <c r="A11" s="57" t="s">
        <v>56</v>
      </c>
      <c r="B11" s="62">
        <f>'Customer Info'!B9</f>
        <v>1</v>
      </c>
      <c r="C11" s="63" t="str">
        <f>LOOKUP($B$11,$S$11:$AD$11,S12:AD12)</f>
        <v>January</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59" ht="15" x14ac:dyDescent="0.25">
      <c r="A13" s="69" t="s">
        <v>70</v>
      </c>
      <c r="B13" s="70"/>
      <c r="C13" s="71"/>
      <c r="D13" s="72"/>
      <c r="E13" s="72"/>
      <c r="F13" s="72"/>
      <c r="G13" s="72"/>
      <c r="H13" s="72"/>
      <c r="I13" s="72"/>
      <c r="J13" s="72"/>
      <c r="K13" s="72"/>
      <c r="L13" s="72"/>
      <c r="M13" s="72"/>
      <c r="N13" s="72"/>
      <c r="O13" s="72"/>
      <c r="P13" s="72"/>
      <c r="R13" s="72" t="s">
        <v>143</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5">
      <c r="A14" s="72"/>
      <c r="B14" s="72"/>
      <c r="C14" s="72"/>
      <c r="D14" s="72"/>
      <c r="E14" s="72"/>
      <c r="F14" s="72"/>
      <c r="G14" s="74" t="s">
        <v>2</v>
      </c>
      <c r="H14" s="74"/>
      <c r="I14" s="75" t="s">
        <v>2</v>
      </c>
      <c r="J14" s="72"/>
      <c r="K14" s="72"/>
      <c r="L14" s="72"/>
      <c r="M14" s="72"/>
      <c r="N14" s="72"/>
      <c r="O14" s="72"/>
      <c r="P14" s="72"/>
      <c r="Q14" s="72"/>
      <c r="R14" s="72" t="s">
        <v>144</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t="s">
        <v>145</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71</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146</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t="s">
        <v>147</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72</v>
      </c>
      <c r="B23" s="72"/>
      <c r="C23" s="72"/>
      <c r="D23" s="72"/>
      <c r="E23" s="72"/>
      <c r="F23" s="72"/>
      <c r="G23" s="438" t="s">
        <v>73</v>
      </c>
      <c r="H23" s="439"/>
      <c r="I23" s="439"/>
      <c r="J23" s="440"/>
      <c r="K23" s="83"/>
      <c r="L23" s="441" t="s">
        <v>74</v>
      </c>
      <c r="M23" s="442"/>
      <c r="N23" s="442"/>
      <c r="O23" s="443"/>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75</v>
      </c>
      <c r="H24" s="85" t="s">
        <v>76</v>
      </c>
      <c r="I24" s="85" t="s">
        <v>77</v>
      </c>
      <c r="J24" s="85" t="s">
        <v>78</v>
      </c>
      <c r="K24" s="72"/>
      <c r="L24" s="86" t="s">
        <v>75</v>
      </c>
      <c r="M24" s="86" t="s">
        <v>76</v>
      </c>
      <c r="N24" s="86" t="s">
        <v>77</v>
      </c>
      <c r="O24" s="86" t="s">
        <v>78</v>
      </c>
      <c r="P24" s="87" t="s">
        <v>79</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80</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81</v>
      </c>
      <c r="B26" s="72"/>
      <c r="C26" s="72"/>
      <c r="D26" s="4">
        <f>MAX($D$17,0)</f>
        <v>0</v>
      </c>
      <c r="E26" s="97" t="s">
        <v>19</v>
      </c>
      <c r="F26" s="84" t="s">
        <v>82</v>
      </c>
      <c r="G26" s="98"/>
      <c r="H26" s="89"/>
      <c r="I26" s="99">
        <v>2.6312499999999999E-2</v>
      </c>
      <c r="J26" s="100">
        <f>SUM(G26:I26)</f>
        <v>2.6312499999999999E-2</v>
      </c>
      <c r="K26" s="94" t="s">
        <v>83</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02" t="s">
        <v>84</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69" t="s">
        <v>85</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86</v>
      </c>
      <c r="B31" s="110"/>
      <c r="C31" s="110"/>
      <c r="D31" s="111">
        <f>IF($D$17&lt;0,0,IF($D$17&gt;833000,833000,$D$17))</f>
        <v>0</v>
      </c>
      <c r="E31" s="97" t="s">
        <v>19</v>
      </c>
      <c r="F31" s="84" t="s">
        <v>82</v>
      </c>
      <c r="G31" s="100"/>
      <c r="H31" s="100"/>
      <c r="I31" s="100">
        <f>'Rider Rates'!$B$4</f>
        <v>4.6278999999999999E-3</v>
      </c>
      <c r="J31" s="100">
        <f t="shared" ref="J31:J37" si="0">SUM(G31:I31)</f>
        <v>4.6278999999999999E-3</v>
      </c>
      <c r="K31" s="94" t="s">
        <v>87</v>
      </c>
      <c r="L31" s="89"/>
      <c r="M31" s="89"/>
      <c r="N31" s="89">
        <f t="shared" ref="N31:N36" si="1">ROUND(D31*I31,2)</f>
        <v>0</v>
      </c>
      <c r="O31" s="91">
        <f t="shared" ref="O31:O54"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88</v>
      </c>
      <c r="B32" s="72"/>
      <c r="C32" s="72"/>
      <c r="D32" s="4">
        <f>IF($D$17&gt;833000,$D$17-833000,0)</f>
        <v>0</v>
      </c>
      <c r="E32" s="97" t="s">
        <v>19</v>
      </c>
      <c r="F32" s="84" t="s">
        <v>82</v>
      </c>
      <c r="G32" s="100"/>
      <c r="H32" s="100"/>
      <c r="I32" s="100">
        <f>'Rider Rates'!$B$5</f>
        <v>1.7560000000000001E-4</v>
      </c>
      <c r="J32" s="100">
        <f t="shared" si="0"/>
        <v>1.7560000000000001E-4</v>
      </c>
      <c r="K32" s="94" t="s">
        <v>87</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89</v>
      </c>
      <c r="B33" s="72"/>
      <c r="C33" s="72"/>
      <c r="D33" s="111">
        <f>IF($D$17&lt;0,0,IF($D$17&gt;2000,2000,$D$17))</f>
        <v>0</v>
      </c>
      <c r="E33" s="97" t="s">
        <v>19</v>
      </c>
      <c r="F33" s="84" t="s">
        <v>82</v>
      </c>
      <c r="G33" s="100"/>
      <c r="H33" s="100"/>
      <c r="I33" s="112">
        <f>'Rider Rates'!$B$8</f>
        <v>4.6499999999999996E-3</v>
      </c>
      <c r="J33" s="112">
        <f t="shared" si="0"/>
        <v>4.6499999999999996E-3</v>
      </c>
      <c r="K33" s="94" t="s">
        <v>87</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90</v>
      </c>
      <c r="B34" s="72"/>
      <c r="C34" s="72"/>
      <c r="D34" s="111">
        <f>IF($D$17&lt;=2000,0,IF($D$17=0,0,IF($D$17-2000&gt;13000,13000,$D$17-2000)))</f>
        <v>0</v>
      </c>
      <c r="E34" s="97" t="s">
        <v>19</v>
      </c>
      <c r="F34" s="84" t="s">
        <v>82</v>
      </c>
      <c r="G34" s="100"/>
      <c r="H34" s="100"/>
      <c r="I34" s="112">
        <f>'Rider Rates'!$B$9</f>
        <v>4.1900000000000001E-3</v>
      </c>
      <c r="J34" s="112">
        <f t="shared" si="0"/>
        <v>4.1900000000000001E-3</v>
      </c>
      <c r="K34" s="94" t="s">
        <v>87</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91</v>
      </c>
      <c r="B35" s="72"/>
      <c r="C35" s="72"/>
      <c r="D35" s="111">
        <f>IF($D$17=0,0,IF($D$17-15000&gt;=0,$D$17-15000,0))</f>
        <v>0</v>
      </c>
      <c r="E35" s="97" t="s">
        <v>19</v>
      </c>
      <c r="F35" s="84" t="s">
        <v>82</v>
      </c>
      <c r="G35" s="100"/>
      <c r="H35" s="100"/>
      <c r="I35" s="112">
        <f>'Rider Rates'!$B$10</f>
        <v>3.63E-3</v>
      </c>
      <c r="J35" s="112">
        <f t="shared" si="0"/>
        <v>3.63E-3</v>
      </c>
      <c r="K35" s="94" t="s">
        <v>87</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92</v>
      </c>
      <c r="B36" s="72"/>
      <c r="C36" s="72"/>
      <c r="D36" s="111">
        <f>IF($D$17&lt;0,0,$D$17)</f>
        <v>0</v>
      </c>
      <c r="E36" s="97" t="s">
        <v>19</v>
      </c>
      <c r="F36" s="84" t="s">
        <v>82</v>
      </c>
      <c r="G36" s="100"/>
      <c r="H36" s="100"/>
      <c r="I36" s="100">
        <f>'Rider Rates'!$B$15</f>
        <v>0</v>
      </c>
      <c r="J36" s="100">
        <f t="shared" si="0"/>
        <v>0</v>
      </c>
      <c r="K36" s="94" t="s">
        <v>87</v>
      </c>
      <c r="L36" s="89"/>
      <c r="M36" s="89"/>
      <c r="N36" s="89">
        <f t="shared" si="1"/>
        <v>0</v>
      </c>
      <c r="O36" s="89">
        <f t="shared" si="2"/>
        <v>0</v>
      </c>
      <c r="P36" s="92">
        <f>'Rider Rates'!$D$15</f>
        <v>45505</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93</v>
      </c>
      <c r="B37" s="72"/>
      <c r="C37" s="72"/>
      <c r="D37" s="113">
        <f>$N$27</f>
        <v>10</v>
      </c>
      <c r="E37" s="97" t="s">
        <v>94</v>
      </c>
      <c r="F37" s="84" t="s">
        <v>82</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95</v>
      </c>
      <c r="B38" s="72"/>
      <c r="C38" s="72"/>
      <c r="D38" s="111">
        <f>'Customer Info'!$B$22+'Customer Info'!$B$23</f>
        <v>0</v>
      </c>
      <c r="E38" s="97" t="s">
        <v>19</v>
      </c>
      <c r="F38" s="84" t="s">
        <v>82</v>
      </c>
      <c r="G38" s="100">
        <f>'Rider Rates'!B21</f>
        <v>7.0209999999999995E-2</v>
      </c>
      <c r="H38" s="100"/>
      <c r="I38" s="100"/>
      <c r="J38" s="115">
        <f>SUM(G38:H38)</f>
        <v>7.0209999999999995E-2</v>
      </c>
      <c r="K38" s="94" t="s">
        <v>87</v>
      </c>
      <c r="L38" s="89">
        <f>ROUND(D38*G38,2)</f>
        <v>0</v>
      </c>
      <c r="M38" s="89"/>
      <c r="N38" s="89"/>
      <c r="O38" s="89">
        <f t="shared" si="2"/>
        <v>0</v>
      </c>
      <c r="P38" s="92">
        <f>'Rider Rates'!$D$21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148</v>
      </c>
      <c r="B39" s="72"/>
      <c r="C39" s="72"/>
      <c r="D39" s="111">
        <f>D18</f>
        <v>0</v>
      </c>
      <c r="E39" s="97" t="s">
        <v>19</v>
      </c>
      <c r="F39" s="84" t="s">
        <v>82</v>
      </c>
      <c r="G39" s="100">
        <f>'Rider Rates'!B34</f>
        <v>2.67383E-2</v>
      </c>
      <c r="H39" s="100"/>
      <c r="I39" s="100"/>
      <c r="J39" s="115">
        <f>SUM(G39:H39)</f>
        <v>2.67383E-2</v>
      </c>
      <c r="K39" s="94" t="s">
        <v>87</v>
      </c>
      <c r="L39" s="90">
        <f>ROUND($D$39*$G$39,2)</f>
        <v>0</v>
      </c>
      <c r="M39" s="89"/>
      <c r="N39" s="89"/>
      <c r="O39" s="89">
        <f>SUM(L39:N39)</f>
        <v>0</v>
      </c>
      <c r="P39" s="92">
        <f>'Rider Rates'!D34</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149</v>
      </c>
      <c r="B40" s="72"/>
      <c r="C40" s="72"/>
      <c r="D40" s="111">
        <f>D19</f>
        <v>0</v>
      </c>
      <c r="E40" s="97" t="s">
        <v>19</v>
      </c>
      <c r="F40" s="84" t="s">
        <v>82</v>
      </c>
      <c r="G40" s="100">
        <f>'Rider Rates'!B35</f>
        <v>0</v>
      </c>
      <c r="H40" s="100"/>
      <c r="I40" s="100"/>
      <c r="J40" s="115">
        <f>SUM(G40:H40)</f>
        <v>0</v>
      </c>
      <c r="K40" s="94"/>
      <c r="L40" s="90">
        <f>D40*G40</f>
        <v>0</v>
      </c>
      <c r="M40" s="89"/>
      <c r="N40" s="89"/>
      <c r="O40" s="89">
        <f>SUM(L40:N40)</f>
        <v>0</v>
      </c>
      <c r="P40" s="92">
        <f>'Rider Rates'!D35</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97</v>
      </c>
      <c r="B41" s="72"/>
      <c r="C41" s="72"/>
      <c r="D41" s="111">
        <f>'Customer Info'!$B$22+'Customer Info'!$B$23</f>
        <v>0</v>
      </c>
      <c r="E41" s="97" t="s">
        <v>19</v>
      </c>
      <c r="F41" s="84" t="s">
        <v>82</v>
      </c>
      <c r="G41" s="100">
        <f>'Rider Rates'!$B$49</f>
        <v>4.5009999999999999E-4</v>
      </c>
      <c r="H41" s="100"/>
      <c r="I41" s="100"/>
      <c r="J41" s="115">
        <f>SUM(G41:H41)</f>
        <v>4.5009999999999999E-4</v>
      </c>
      <c r="K41" s="94" t="s">
        <v>87</v>
      </c>
      <c r="L41" s="89">
        <f>ROUND(D41*G41,2)</f>
        <v>0</v>
      </c>
      <c r="M41" s="89"/>
      <c r="N41" s="89"/>
      <c r="O41" s="89">
        <f t="shared" si="2"/>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98</v>
      </c>
      <c r="B42" s="72"/>
      <c r="C42" s="72"/>
      <c r="D42" s="111"/>
      <c r="E42" s="97" t="s">
        <v>57</v>
      </c>
      <c r="F42" s="84"/>
      <c r="G42" s="100"/>
      <c r="H42" s="100"/>
      <c r="I42" s="100">
        <f>'Rider Rates'!D52</f>
        <v>1.17</v>
      </c>
      <c r="J42" s="115">
        <f t="shared" ref="J42:J48" si="3">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99</v>
      </c>
      <c r="B43" s="72"/>
      <c r="C43" s="72"/>
      <c r="D43" s="111">
        <f>IF($D$17&lt;0,0,$D$17)</f>
        <v>0</v>
      </c>
      <c r="E43" s="97" t="s">
        <v>19</v>
      </c>
      <c r="F43" s="84" t="s">
        <v>82</v>
      </c>
      <c r="G43" s="100"/>
      <c r="H43" s="100">
        <f>'Rider Rates'!$B$59</f>
        <v>4.3837099999999997E-2</v>
      </c>
      <c r="I43" s="100"/>
      <c r="J43" s="100">
        <f t="shared" si="3"/>
        <v>4.3837099999999997E-2</v>
      </c>
      <c r="K43" s="94" t="s">
        <v>87</v>
      </c>
      <c r="L43" s="89"/>
      <c r="M43" s="89">
        <f>ROUND(D43*H43,2)</f>
        <v>0</v>
      </c>
      <c r="N43" s="116"/>
      <c r="O43" s="89">
        <f t="shared" si="2"/>
        <v>0</v>
      </c>
      <c r="P43" s="92">
        <f>'Rider Rates'!$D$59</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100</v>
      </c>
      <c r="B44" s="72"/>
      <c r="C44" s="72"/>
      <c r="D44" s="111">
        <f>IF($D$17&lt;0,0,$D$17)</f>
        <v>0</v>
      </c>
      <c r="E44" s="97" t="s">
        <v>19</v>
      </c>
      <c r="F44" s="84" t="s">
        <v>82</v>
      </c>
      <c r="G44" s="100"/>
      <c r="H44" s="100"/>
      <c r="I44" s="100">
        <f>'Rider Rates'!$B$70</f>
        <v>8.6240000000000004E-4</v>
      </c>
      <c r="J44" s="100">
        <f t="shared" ref="J44" si="4">SUM(G44:I44)</f>
        <v>8.6240000000000004E-4</v>
      </c>
      <c r="K44" s="94" t="s">
        <v>87</v>
      </c>
      <c r="L44" s="89"/>
      <c r="M44" s="89"/>
      <c r="N44" s="89">
        <f>ROUND($D$44*'Rider Rates'!$B$70,2)</f>
        <v>0</v>
      </c>
      <c r="O44" s="91">
        <f t="shared" ref="O44" si="5">SUM(L44:N44)</f>
        <v>0</v>
      </c>
      <c r="P44" s="92">
        <f>'Rider Rates'!$D$70</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101</v>
      </c>
      <c r="B45" s="72"/>
      <c r="C45" s="72"/>
      <c r="D45" s="111">
        <f>IF('Customer Info'!C35=TRUE,0,IF($D$17&lt;0,0,$D$17))</f>
        <v>0</v>
      </c>
      <c r="E45" s="97" t="s">
        <v>19</v>
      </c>
      <c r="F45" s="84" t="s">
        <v>82</v>
      </c>
      <c r="G45" s="100"/>
      <c r="H45" s="100"/>
      <c r="I45" s="100">
        <f>'Rider Rates'!$B$73+'Rider Rates'!$C$73</f>
        <v>0</v>
      </c>
      <c r="J45" s="100">
        <f t="shared" si="3"/>
        <v>0</v>
      </c>
      <c r="K45" s="94" t="s">
        <v>87</v>
      </c>
      <c r="L45" s="89"/>
      <c r="M45" s="89"/>
      <c r="N45" s="89">
        <f>ROUND($D$45*'Rider Rates'!$B$73,2)+ROUND($D$45*'Rider Rates'!$C$73,2)</f>
        <v>0</v>
      </c>
      <c r="O45" s="91">
        <f t="shared" si="2"/>
        <v>0</v>
      </c>
      <c r="P45" s="92">
        <f>'Rider Rates'!$D$73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102</v>
      </c>
      <c r="B46" s="72"/>
      <c r="C46" s="72"/>
      <c r="D46" s="113">
        <f>$N$27</f>
        <v>10</v>
      </c>
      <c r="E46" s="97" t="s">
        <v>94</v>
      </c>
      <c r="F46" s="84" t="s">
        <v>82</v>
      </c>
      <c r="G46" s="117"/>
      <c r="H46" s="118"/>
      <c r="I46" s="119">
        <f>'Rider Rates'!$B$89</f>
        <v>4.94232E-2</v>
      </c>
      <c r="J46" s="119">
        <f t="shared" si="3"/>
        <v>4.94232E-2</v>
      </c>
      <c r="K46" s="94"/>
      <c r="L46" s="89"/>
      <c r="M46" s="89"/>
      <c r="N46" s="89">
        <f>ROUND(D46*I46,2)</f>
        <v>0.49</v>
      </c>
      <c r="O46" s="89">
        <f t="shared" si="2"/>
        <v>0.49</v>
      </c>
      <c r="P46" s="92">
        <f>'Rider Rates'!$D$89</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103</v>
      </c>
      <c r="B47" s="72"/>
      <c r="C47" s="72"/>
      <c r="D47" s="113">
        <f>$N$27</f>
        <v>10</v>
      </c>
      <c r="E47" s="97" t="s">
        <v>94</v>
      </c>
      <c r="F47" s="84" t="s">
        <v>82</v>
      </c>
      <c r="G47" s="120"/>
      <c r="H47" s="85"/>
      <c r="I47" s="119">
        <f>'Rider Rates'!$B$91</f>
        <v>6.6985699999999995E-2</v>
      </c>
      <c r="J47" s="119">
        <f t="shared" si="3"/>
        <v>6.6985699999999995E-2</v>
      </c>
      <c r="K47" s="94"/>
      <c r="L47" s="89"/>
      <c r="M47" s="89"/>
      <c r="N47" s="89">
        <f>ROUND(D47*I47,2)</f>
        <v>0.67</v>
      </c>
      <c r="O47" s="89">
        <f t="shared" si="2"/>
        <v>0.67</v>
      </c>
      <c r="P47" s="92">
        <f>'Rider Rates'!$D$91</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104</v>
      </c>
      <c r="B48" s="72"/>
      <c r="C48" s="72"/>
      <c r="D48" s="113"/>
      <c r="E48" s="97" t="s">
        <v>57</v>
      </c>
      <c r="F48" s="84"/>
      <c r="G48" s="120"/>
      <c r="H48" s="85"/>
      <c r="I48" s="121">
        <f>'Rider Rates'!$B$94</f>
        <v>2.08</v>
      </c>
      <c r="J48" s="121">
        <f t="shared" si="3"/>
        <v>2.08</v>
      </c>
      <c r="K48" s="94"/>
      <c r="L48" s="89"/>
      <c r="M48" s="89"/>
      <c r="N48" s="89">
        <f>I48</f>
        <v>2.08</v>
      </c>
      <c r="O48" s="91">
        <f>SUM(L48:N48)</f>
        <v>2.08</v>
      </c>
      <c r="P48" s="92">
        <f>'Rider Rates'!$D$94</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105</v>
      </c>
      <c r="B49" s="72"/>
      <c r="C49" s="72"/>
      <c r="D49" s="111">
        <f>IF($D$17&lt;0,0,$D$17)</f>
        <v>0</v>
      </c>
      <c r="E49" s="97" t="s">
        <v>19</v>
      </c>
      <c r="F49" s="84" t="s">
        <v>82</v>
      </c>
      <c r="G49" s="100"/>
      <c r="H49" s="100"/>
      <c r="I49" s="100"/>
      <c r="J49" s="100">
        <f>'Rider Rates'!$B$98</f>
        <v>0</v>
      </c>
      <c r="K49" s="94" t="s">
        <v>87</v>
      </c>
      <c r="L49" s="89"/>
      <c r="M49" s="89"/>
      <c r="N49" s="89"/>
      <c r="O49" s="89">
        <f>ROUND($D49*('Rider Rates'!B$98),2)</f>
        <v>0</v>
      </c>
      <c r="P49" s="92">
        <f>'Rider Rates'!$D$98</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106</v>
      </c>
      <c r="B50" s="72"/>
      <c r="C50" s="72"/>
      <c r="D50" s="113">
        <f>$N$27</f>
        <v>10</v>
      </c>
      <c r="E50" s="97" t="s">
        <v>94</v>
      </c>
      <c r="F50" s="84" t="s">
        <v>82</v>
      </c>
      <c r="G50" s="120"/>
      <c r="H50" s="85"/>
      <c r="I50" s="119">
        <f>'Rider Rates'!$B$109</f>
        <v>0.2363101</v>
      </c>
      <c r="J50" s="122">
        <f>SUM(G50:I50)</f>
        <v>0.2363101</v>
      </c>
      <c r="K50" s="94"/>
      <c r="L50" s="89"/>
      <c r="M50" s="89"/>
      <c r="N50" s="89">
        <f>ROUND(D50*I50,2)</f>
        <v>2.36</v>
      </c>
      <c r="O50" s="89">
        <f t="shared" si="2"/>
        <v>2.36</v>
      </c>
      <c r="P50" s="92">
        <f>'Rider Rates'!$D$109</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107</v>
      </c>
      <c r="B51" s="72"/>
      <c r="C51" s="72"/>
      <c r="D51" s="113"/>
      <c r="E51" s="97" t="s">
        <v>57</v>
      </c>
      <c r="F51" s="84"/>
      <c r="G51" s="120"/>
      <c r="H51" s="85"/>
      <c r="I51" s="121">
        <f>'Rider Rates'!$B$112</f>
        <v>0</v>
      </c>
      <c r="J51" s="121">
        <f>SUM(G51:I51)</f>
        <v>0</v>
      </c>
      <c r="K51" s="94"/>
      <c r="L51" s="89"/>
      <c r="M51" s="89"/>
      <c r="N51" s="89">
        <f>I51</f>
        <v>0</v>
      </c>
      <c r="O51" s="89">
        <f>SUM(L51:N51)</f>
        <v>0</v>
      </c>
      <c r="P51" s="92">
        <f>'Rider Rates'!$D$112</f>
        <v>44894</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108</v>
      </c>
      <c r="B52" s="72"/>
      <c r="C52" s="72"/>
      <c r="D52" s="113"/>
      <c r="E52" s="97" t="s">
        <v>57</v>
      </c>
      <c r="F52" s="84"/>
      <c r="G52" s="120"/>
      <c r="H52" s="85"/>
      <c r="I52" s="123">
        <f>'Rider Rates'!B125</f>
        <v>0.97</v>
      </c>
      <c r="J52" s="124">
        <f>SUM(G52:I52)</f>
        <v>0.97</v>
      </c>
      <c r="K52" s="94"/>
      <c r="L52" s="89"/>
      <c r="M52" s="89"/>
      <c r="N52" s="125">
        <f>I52</f>
        <v>0.97</v>
      </c>
      <c r="O52" s="89">
        <f>SUM(L52:N52)</f>
        <v>0.97</v>
      </c>
      <c r="P52" s="92">
        <f>'Rider Rates'!D125</f>
        <v>45593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109</v>
      </c>
      <c r="B53" s="72"/>
      <c r="C53" s="72"/>
      <c r="D53" s="111">
        <f>'Customer Info'!$B$22+'Customer Info'!$B$23</f>
        <v>0</v>
      </c>
      <c r="E53" s="97" t="s">
        <v>19</v>
      </c>
      <c r="F53" s="84" t="s">
        <v>82</v>
      </c>
      <c r="G53" s="100">
        <f>'Rider Rates'!$B$116</f>
        <v>3.8972999999999998E-3</v>
      </c>
      <c r="H53" s="100"/>
      <c r="I53" s="100"/>
      <c r="J53" s="115">
        <f>SUM(G53:H53)</f>
        <v>3.8972999999999998E-3</v>
      </c>
      <c r="K53" s="94" t="s">
        <v>87</v>
      </c>
      <c r="L53" s="89">
        <f>ROUND(D53*G53,2)</f>
        <v>0</v>
      </c>
      <c r="M53" s="89"/>
      <c r="N53" s="89"/>
      <c r="O53" s="89">
        <f t="shared" si="2"/>
        <v>0</v>
      </c>
      <c r="P53" s="92">
        <f>'Rider Rates'!$D$116</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110</v>
      </c>
      <c r="B54" s="72"/>
      <c r="C54" s="72"/>
      <c r="D54" s="111">
        <f>IF($D$17&lt;1,0,$D$17)</f>
        <v>0</v>
      </c>
      <c r="E54" s="97" t="s">
        <v>19</v>
      </c>
      <c r="F54" s="126" t="s">
        <v>82</v>
      </c>
      <c r="G54" s="100"/>
      <c r="H54" s="100"/>
      <c r="I54" s="100">
        <f>'Rider Rates'!$B$121</f>
        <v>0</v>
      </c>
      <c r="J54" s="115">
        <f>SUM(G54:I54)</f>
        <v>0</v>
      </c>
      <c r="K54" s="94" t="s">
        <v>87</v>
      </c>
      <c r="L54" s="89"/>
      <c r="M54" s="89"/>
      <c r="N54" s="89">
        <f>D54*J54</f>
        <v>0</v>
      </c>
      <c r="O54" s="89">
        <f t="shared" si="2"/>
        <v>0</v>
      </c>
      <c r="P54" s="92">
        <f>'Rider Rates'!D121</f>
        <v>45657</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111</v>
      </c>
      <c r="B55" s="72"/>
      <c r="C55" s="72"/>
      <c r="D55" s="111"/>
      <c r="E55" s="97" t="s">
        <v>57</v>
      </c>
      <c r="F55" s="84" t="s">
        <v>82</v>
      </c>
      <c r="G55" s="127"/>
      <c r="H55" s="127"/>
      <c r="I55" s="127">
        <f>'Rider Rates'!$B$129</f>
        <v>0.1</v>
      </c>
      <c r="J55" s="127">
        <f>SUM(G55:I55)</f>
        <v>0.1</v>
      </c>
      <c r="K55" s="94"/>
      <c r="L55" s="128"/>
      <c r="M55" s="128"/>
      <c r="N55" s="128">
        <f>J55</f>
        <v>0.1</v>
      </c>
      <c r="O55" s="128">
        <f>SUM(L55:N55)</f>
        <v>0.1</v>
      </c>
      <c r="P55" s="129">
        <f>'Rider Rates'!$E$129</f>
        <v>45658</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112</v>
      </c>
      <c r="B56" s="72"/>
      <c r="C56" s="72"/>
      <c r="D56" s="111">
        <f>C19</f>
        <v>0</v>
      </c>
      <c r="E56" s="97" t="s">
        <v>19</v>
      </c>
      <c r="F56" s="126" t="s">
        <v>82</v>
      </c>
      <c r="G56" s="100"/>
      <c r="H56" s="100"/>
      <c r="I56" s="100">
        <f>'Rider Rates'!$B$134</f>
        <v>0</v>
      </c>
      <c r="J56" s="115">
        <f>SUM(G56:I56)</f>
        <v>0</v>
      </c>
      <c r="K56" s="94" t="s">
        <v>87</v>
      </c>
      <c r="L56" s="89"/>
      <c r="M56" s="89"/>
      <c r="N56" s="89">
        <f>D56*J56</f>
        <v>0</v>
      </c>
      <c r="O56" s="89">
        <f>SUM(L56:N56)</f>
        <v>0</v>
      </c>
      <c r="P56" s="92">
        <f>'Rider Rates'!D139</f>
        <v>0</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113</v>
      </c>
      <c r="B57" s="72"/>
      <c r="C57" s="72"/>
      <c r="D57" s="111"/>
      <c r="E57" s="97" t="s">
        <v>57</v>
      </c>
      <c r="F57" s="84" t="s">
        <v>82</v>
      </c>
      <c r="G57" s="127"/>
      <c r="H57" s="127"/>
      <c r="I57" s="127">
        <f>'Rider Rates'!$B$141</f>
        <v>0</v>
      </c>
      <c r="J57" s="127">
        <f>SUM(G57:I57)</f>
        <v>0</v>
      </c>
      <c r="K57" s="94"/>
      <c r="L57" s="128"/>
      <c r="M57" s="128"/>
      <c r="N57" s="128">
        <f>J57</f>
        <v>0</v>
      </c>
      <c r="O57" s="128">
        <f>SUM(L57:N57)</f>
        <v>0</v>
      </c>
      <c r="P57" s="129">
        <f>'Rider Rates'!$D$137</f>
        <v>44531</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114</v>
      </c>
      <c r="B58" s="72"/>
      <c r="C58" s="72"/>
      <c r="D58" s="111"/>
      <c r="E58" s="97"/>
      <c r="F58" s="84"/>
      <c r="G58" s="127"/>
      <c r="H58" s="127"/>
      <c r="I58" s="127"/>
      <c r="J58" s="127"/>
      <c r="K58" s="94"/>
      <c r="L58" s="128"/>
      <c r="M58" s="128"/>
      <c r="N58" s="128"/>
      <c r="O58" s="128"/>
      <c r="P58" s="129"/>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30" t="s">
        <v>115</v>
      </c>
      <c r="B59" s="69"/>
      <c r="C59" s="69"/>
      <c r="D59" s="131"/>
      <c r="E59" s="132"/>
      <c r="F59" s="133"/>
      <c r="G59" s="133"/>
      <c r="H59" s="133"/>
      <c r="I59" s="133"/>
      <c r="J59" s="133"/>
      <c r="K59" s="134"/>
      <c r="L59" s="105">
        <f>SUM(L31:L58)</f>
        <v>0</v>
      </c>
      <c r="M59" s="105">
        <f>SUM(M31:M58)</f>
        <v>0</v>
      </c>
      <c r="N59" s="105">
        <f>SUM(N31:N58)</f>
        <v>7.839999999999999</v>
      </c>
      <c r="O59" s="105">
        <f>SUM(O31:O58)</f>
        <v>7.839999999999999</v>
      </c>
      <c r="P59" s="135"/>
      <c r="Q59" s="84"/>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c r="B60" s="72"/>
      <c r="C60" s="72"/>
      <c r="D60" s="111"/>
      <c r="E60" s="97"/>
      <c r="F60" s="84"/>
      <c r="G60" s="84"/>
      <c r="H60" s="84"/>
      <c r="I60" s="84"/>
      <c r="J60" s="101"/>
      <c r="K60" s="94"/>
      <c r="L60" s="84"/>
      <c r="M60" s="84"/>
      <c r="N60" s="84"/>
      <c r="O60" s="84"/>
      <c r="P60" s="137"/>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38" t="s">
        <v>116</v>
      </c>
      <c r="B61" s="106"/>
      <c r="C61" s="106"/>
      <c r="D61" s="106"/>
      <c r="E61" s="106"/>
      <c r="F61" s="106"/>
      <c r="G61" s="106"/>
      <c r="H61" s="106"/>
      <c r="I61" s="106"/>
      <c r="J61" s="106"/>
      <c r="K61" s="106"/>
      <c r="L61" s="139">
        <f>L27+L59</f>
        <v>0</v>
      </c>
      <c r="M61" s="139">
        <f>M27+M59</f>
        <v>0</v>
      </c>
      <c r="N61" s="139">
        <f>N27+N59</f>
        <v>17.84</v>
      </c>
      <c r="O61" s="140">
        <f>O27+O59</f>
        <v>17.84</v>
      </c>
      <c r="P61" s="140"/>
      <c r="Q61" s="84"/>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72"/>
      <c r="B63" s="72"/>
      <c r="C63" s="72"/>
      <c r="D63" s="72"/>
      <c r="E63" s="72"/>
      <c r="F63" s="72"/>
      <c r="G63" s="72"/>
      <c r="H63" s="72"/>
      <c r="I63" s="72"/>
      <c r="J63" s="72"/>
      <c r="K63" s="72"/>
      <c r="L63" s="72"/>
      <c r="M63" s="72"/>
      <c r="N63" s="72"/>
      <c r="O63" s="72"/>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117</v>
      </c>
      <c r="B64" s="72"/>
      <c r="C64" s="72"/>
      <c r="D64" s="72"/>
      <c r="E64" s="72"/>
      <c r="F64" s="72"/>
      <c r="G64" s="72"/>
      <c r="H64" s="72"/>
      <c r="I64" s="72"/>
      <c r="J64" s="72"/>
      <c r="K64" s="72"/>
      <c r="L64" s="72"/>
      <c r="M64" s="72"/>
      <c r="N64" s="72"/>
      <c r="O64" s="95">
        <f>IF(D17&lt;0,MIN(O25,O61),O25)</f>
        <v>10</v>
      </c>
      <c r="P64" s="72"/>
      <c r="Q64" s="10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102" t="s">
        <v>2</v>
      </c>
      <c r="B65" s="102"/>
      <c r="C65" s="102"/>
      <c r="D65" s="102"/>
      <c r="E65" s="102"/>
      <c r="F65" s="102"/>
      <c r="G65" s="102"/>
      <c r="H65" s="102"/>
      <c r="I65" s="72"/>
      <c r="J65" s="72"/>
      <c r="K65" s="72"/>
      <c r="L65" s="72"/>
      <c r="M65" s="72"/>
      <c r="N65" s="72"/>
      <c r="O65" s="72"/>
      <c r="P65" s="72"/>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t="s">
        <v>118</v>
      </c>
      <c r="B66" s="72"/>
      <c r="C66" s="72"/>
      <c r="D66" s="72"/>
      <c r="E66" s="72"/>
      <c r="F66" s="72"/>
      <c r="G66" s="72"/>
      <c r="H66" s="72"/>
      <c r="I66" s="72"/>
      <c r="J66" s="72"/>
      <c r="K66" s="72"/>
      <c r="L66" s="72"/>
      <c r="M66" s="72"/>
      <c r="N66" s="72"/>
      <c r="O66" s="141">
        <f>IF($D$17&lt;0,O61,IF(O61&gt;O64,O61,O64))</f>
        <v>17.84</v>
      </c>
      <c r="P66" s="84"/>
      <c r="Q66" s="72"/>
      <c r="R66" s="101"/>
      <c r="S66" s="94"/>
      <c r="T66" s="95"/>
      <c r="U66" s="72"/>
      <c r="V66" s="96"/>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72"/>
      <c r="C67" s="72"/>
      <c r="D67" s="72"/>
      <c r="E67" s="72"/>
      <c r="F67" s="72"/>
      <c r="G67" s="72"/>
      <c r="H67" s="72"/>
      <c r="I67" s="72"/>
      <c r="J67" s="72"/>
      <c r="K67" s="72"/>
      <c r="L67" s="72"/>
      <c r="M67" s="72"/>
      <c r="N67" s="72"/>
      <c r="O67" s="142"/>
      <c r="P67" s="84"/>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row>
    <row r="68" spans="1:236" x14ac:dyDescent="0.25">
      <c r="A68" s="69"/>
      <c r="B68" s="102"/>
      <c r="C68" s="102"/>
      <c r="D68" s="102"/>
      <c r="E68" s="102"/>
      <c r="F68" s="102"/>
      <c r="G68" s="102"/>
      <c r="H68" s="102"/>
      <c r="I68" s="102" t="s">
        <v>119</v>
      </c>
      <c r="J68" s="102"/>
      <c r="K68" s="102"/>
      <c r="L68" s="143"/>
      <c r="M68" s="143"/>
      <c r="N68" s="143"/>
      <c r="O68" s="143">
        <f>ROUND(IF($D$17&lt;1,0,O61/($D$17*100)*10000),2)</f>
        <v>0</v>
      </c>
      <c r="P68" s="144" t="s">
        <v>120</v>
      </c>
      <c r="Q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row>
    <row r="69" spans="1:236" x14ac:dyDescent="0.25">
      <c r="A69" s="144"/>
      <c r="B69" s="72"/>
      <c r="C69" s="72"/>
      <c r="D69" s="72"/>
      <c r="E69" s="72"/>
      <c r="F69" s="72"/>
      <c r="G69" s="72"/>
      <c r="H69" s="145"/>
      <c r="I69" s="146" t="s">
        <v>121</v>
      </c>
      <c r="J69" s="72"/>
      <c r="K69" s="72"/>
      <c r="L69" s="72"/>
      <c r="M69" s="72"/>
      <c r="N69" s="72"/>
      <c r="O69" s="147">
        <f>ROUND(IF($D$17&lt;1,0,(L61)/($D$17*100)*10000),2)</f>
        <v>0</v>
      </c>
      <c r="P69" s="59" t="s">
        <v>120</v>
      </c>
      <c r="Q69" s="72"/>
      <c r="AE69" s="72"/>
      <c r="AF69" s="72"/>
      <c r="AG69" s="72"/>
      <c r="AH69" s="72"/>
      <c r="AI69" s="72"/>
      <c r="AJ69" s="72"/>
      <c r="AK69" s="72"/>
      <c r="AL69" s="72"/>
      <c r="AM69" s="72"/>
      <c r="AN69" s="72"/>
      <c r="AO69" s="72"/>
      <c r="AP69" s="72"/>
      <c r="AQ69" s="72"/>
      <c r="AR69" s="72"/>
      <c r="AS69" s="72"/>
      <c r="AT69" s="72"/>
      <c r="HE69" s="72"/>
      <c r="HF69" s="72"/>
      <c r="HG69" s="72"/>
      <c r="HH69" s="72"/>
      <c r="HI69" s="72"/>
      <c r="HJ69" s="72"/>
      <c r="HK69" s="72"/>
      <c r="HL69" s="72"/>
      <c r="HM69" s="72"/>
      <c r="HN69" s="72"/>
    </row>
    <row r="70" spans="1:236" x14ac:dyDescent="0.25">
      <c r="A70" s="76"/>
      <c r="B70" s="72"/>
      <c r="C70" s="72"/>
      <c r="D70" s="111"/>
      <c r="E70" s="97"/>
      <c r="F70" s="84"/>
      <c r="G70" s="64"/>
      <c r="H70" s="148"/>
      <c r="I70" s="64"/>
      <c r="J70" s="59"/>
      <c r="K70" s="59"/>
      <c r="L70" s="149"/>
      <c r="M70" s="149"/>
      <c r="N70" s="149"/>
      <c r="O70" s="150"/>
      <c r="Q70" s="151"/>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6"/>
      <c r="B71" s="72"/>
      <c r="C71" s="72"/>
      <c r="D71" s="111"/>
      <c r="E71" s="97"/>
      <c r="F71" s="84"/>
      <c r="Q71" s="151"/>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row>
    <row r="72" spans="1:236" x14ac:dyDescent="0.25">
      <c r="A72" s="72"/>
      <c r="D72" s="4"/>
      <c r="E72" s="152"/>
      <c r="F72" s="84"/>
      <c r="Q72" s="151"/>
    </row>
    <row r="73" spans="1:236" x14ac:dyDescent="0.25">
      <c r="A73" s="153"/>
      <c r="D73" s="4"/>
      <c r="E73" s="152"/>
      <c r="F73" s="1"/>
      <c r="Q73" s="154"/>
    </row>
    <row r="74" spans="1:236" x14ac:dyDescent="0.25">
      <c r="A74" s="153"/>
      <c r="D74" s="4"/>
      <c r="E74" s="152"/>
      <c r="F74" s="1"/>
      <c r="Q74" s="154"/>
    </row>
    <row r="75" spans="1:236" x14ac:dyDescent="0.25">
      <c r="A75" s="155"/>
      <c r="B75" s="144"/>
      <c r="C75" s="144"/>
      <c r="D75" s="144"/>
      <c r="E75" s="144"/>
      <c r="F75" s="144"/>
    </row>
    <row r="76" spans="1:236" x14ac:dyDescent="0.25">
      <c r="B76" s="144"/>
      <c r="C76" s="144"/>
      <c r="D76" s="144"/>
      <c r="E76" s="144"/>
      <c r="F76" s="144"/>
      <c r="P76" s="144"/>
      <c r="Q76" s="144"/>
    </row>
    <row r="77" spans="1:236" x14ac:dyDescent="0.25">
      <c r="B77" s="144"/>
      <c r="C77" s="144"/>
      <c r="D77" s="144"/>
      <c r="E77" s="144"/>
      <c r="F77" s="144"/>
      <c r="P77" s="59"/>
      <c r="Q77" s="59"/>
    </row>
    <row r="80" spans="1:23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row r="94" spans="1:1" x14ac:dyDescent="0.25">
      <c r="A94" s="432"/>
    </row>
  </sheetData>
  <sheetProtection algorithmName="SHA-512" hashValue="nTES8tAsYJO7n5aZUdUR5ocYwbdQQZiuP8g46j3ZDeQvPrzS/uXQzr8GIKjy2Wk3m1roosuxHsM9TVtfy0uDoA==" saltValue="+qiw8N95o0nqWs6osNhPw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4"/>
  <sheetViews>
    <sheetView showGridLines="0" topLeftCell="A24" zoomScale="80" zoomScaleNormal="80" workbookViewId="0">
      <selection activeCell="B22" sqref="B2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3" t="s">
        <v>52</v>
      </c>
      <c r="B1" s="433"/>
      <c r="C1" s="433"/>
      <c r="D1" s="433"/>
      <c r="E1" s="433"/>
      <c r="F1" s="433"/>
      <c r="G1" s="433"/>
      <c r="H1" s="433"/>
      <c r="I1" s="433"/>
      <c r="J1" s="433"/>
      <c r="K1" s="433"/>
      <c r="L1" s="433"/>
      <c r="M1" s="433"/>
      <c r="N1" s="433"/>
      <c r="O1" s="433"/>
      <c r="P1" s="433"/>
      <c r="Q1" s="52"/>
    </row>
    <row r="2" spans="1:59" ht="21" x14ac:dyDescent="0.4">
      <c r="A2" s="433" t="s">
        <v>141</v>
      </c>
      <c r="B2" s="433"/>
      <c r="C2" s="433"/>
      <c r="D2" s="433"/>
      <c r="E2" s="433"/>
      <c r="F2" s="433"/>
      <c r="G2" s="433"/>
      <c r="H2" s="433"/>
      <c r="I2" s="433"/>
      <c r="J2" s="433"/>
      <c r="K2" s="433"/>
      <c r="L2" s="433"/>
      <c r="M2" s="433"/>
      <c r="N2" s="433"/>
      <c r="O2" s="433"/>
      <c r="P2" s="433"/>
    </row>
    <row r="3" spans="1:59" ht="17.399999999999999" x14ac:dyDescent="0.3">
      <c r="A3" s="450" t="s">
        <v>150</v>
      </c>
      <c r="B3" s="450"/>
      <c r="C3" s="450"/>
      <c r="D3" s="450"/>
      <c r="E3" s="450"/>
      <c r="F3" s="450"/>
      <c r="G3" s="450"/>
      <c r="H3" s="450"/>
      <c r="I3" s="450"/>
      <c r="J3" s="450"/>
      <c r="K3" s="450"/>
      <c r="L3" s="450"/>
      <c r="M3" s="450"/>
      <c r="N3" s="450"/>
      <c r="O3" s="450"/>
      <c r="P3" s="450"/>
      <c r="Q3" s="53"/>
    </row>
    <row r="4" spans="1:59" ht="15.6" x14ac:dyDescent="0.3">
      <c r="A4" s="435" t="str">
        <f>'Customer Info'!$B$12</f>
        <v>Breakdown of Charges Based on Entered Information</v>
      </c>
      <c r="B4" s="435"/>
      <c r="C4" s="435"/>
      <c r="D4" s="435"/>
      <c r="E4" s="435"/>
      <c r="F4" s="435"/>
      <c r="G4" s="435"/>
      <c r="H4" s="435"/>
      <c r="I4" s="435"/>
      <c r="J4" s="435"/>
      <c r="K4" s="435"/>
      <c r="L4" s="435"/>
      <c r="M4" s="435"/>
      <c r="N4" s="435"/>
      <c r="O4" s="435"/>
      <c r="P4" s="435"/>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45656</v>
      </c>
      <c r="B6" s="436" t="s">
        <v>151</v>
      </c>
      <c r="C6" s="436"/>
      <c r="D6" s="436"/>
      <c r="E6" s="436"/>
      <c r="F6" s="436"/>
      <c r="G6" s="436"/>
      <c r="H6" s="436"/>
      <c r="I6" s="436"/>
      <c r="J6" s="436"/>
      <c r="K6" s="436"/>
      <c r="L6" s="436"/>
      <c r="M6" s="436"/>
      <c r="N6" s="436"/>
      <c r="O6" s="436"/>
    </row>
    <row r="7" spans="1:59" x14ac:dyDescent="0.25">
      <c r="A7" s="437" t="s">
        <v>2</v>
      </c>
      <c r="B7" s="437"/>
      <c r="C7" s="437"/>
      <c r="D7" s="437"/>
      <c r="E7" s="437"/>
      <c r="F7" s="437"/>
      <c r="G7" s="437"/>
      <c r="H7" s="437"/>
      <c r="I7" s="437"/>
      <c r="J7" s="437"/>
      <c r="K7" s="437"/>
    </row>
    <row r="9" spans="1:59" ht="15" x14ac:dyDescent="0.25">
      <c r="A9" s="57" t="s">
        <v>5</v>
      </c>
      <c r="B9" s="58"/>
      <c r="C9" s="59">
        <f>'Customer Info'!B7</f>
        <v>0</v>
      </c>
      <c r="I9" s="60"/>
    </row>
    <row r="10" spans="1:59" ht="15" x14ac:dyDescent="0.25">
      <c r="A10" s="61" t="s">
        <v>55</v>
      </c>
      <c r="B10" s="58"/>
      <c r="C10" s="59">
        <f>'Customer Info'!B8</f>
        <v>0</v>
      </c>
    </row>
    <row r="11" spans="1:59" x14ac:dyDescent="0.25">
      <c r="A11" s="57" t="s">
        <v>56</v>
      </c>
      <c r="B11" s="62">
        <f>'Customer Info'!B9</f>
        <v>1</v>
      </c>
      <c r="C11" s="63" t="str">
        <f>LOOKUP($B$11,$S$11:$AD$11,S12:AD12)</f>
        <v>January</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59" ht="15" x14ac:dyDescent="0.25">
      <c r="A13" s="69" t="s">
        <v>70</v>
      </c>
      <c r="B13" s="70"/>
      <c r="C13" s="71"/>
      <c r="D13" s="72"/>
      <c r="E13" s="72"/>
      <c r="F13" s="72"/>
      <c r="G13" s="72"/>
      <c r="H13" s="72"/>
      <c r="I13" s="72"/>
      <c r="J13" s="72"/>
      <c r="K13" s="72"/>
      <c r="L13" s="72"/>
      <c r="M13" s="72"/>
      <c r="N13" s="72"/>
      <c r="O13" s="72"/>
      <c r="P13" s="72"/>
      <c r="R13" s="72" t="s">
        <v>143</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5">
      <c r="A14" s="72"/>
      <c r="B14" s="72"/>
      <c r="C14" s="72"/>
      <c r="D14" s="72"/>
      <c r="E14" s="72"/>
      <c r="F14" s="72"/>
      <c r="G14" s="74" t="s">
        <v>2</v>
      </c>
      <c r="H14" s="74"/>
      <c r="I14" s="75" t="s">
        <v>2</v>
      </c>
      <c r="J14" s="72"/>
      <c r="K14" s="72"/>
      <c r="L14" s="72"/>
      <c r="M14" s="72"/>
      <c r="N14" s="72"/>
      <c r="O14" s="72"/>
      <c r="P14" s="72"/>
      <c r="Q14" s="72"/>
      <c r="R14" s="72" t="s">
        <v>144</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t="s">
        <v>145</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146</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147</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t="s">
        <v>71</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72</v>
      </c>
      <c r="B23" s="72"/>
      <c r="C23" s="72"/>
      <c r="D23" s="72"/>
      <c r="E23" s="72"/>
      <c r="F23" s="72"/>
      <c r="G23" s="438" t="s">
        <v>73</v>
      </c>
      <c r="H23" s="439"/>
      <c r="I23" s="439"/>
      <c r="J23" s="440"/>
      <c r="K23" s="83"/>
      <c r="L23" s="441" t="s">
        <v>74</v>
      </c>
      <c r="M23" s="442"/>
      <c r="N23" s="442"/>
      <c r="O23" s="443"/>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75</v>
      </c>
      <c r="H24" s="85" t="s">
        <v>76</v>
      </c>
      <c r="I24" s="85" t="s">
        <v>77</v>
      </c>
      <c r="J24" s="85" t="s">
        <v>78</v>
      </c>
      <c r="K24" s="72"/>
      <c r="L24" s="86" t="s">
        <v>75</v>
      </c>
      <c r="M24" s="86" t="s">
        <v>76</v>
      </c>
      <c r="N24" s="86" t="s">
        <v>77</v>
      </c>
      <c r="O24" s="86" t="s">
        <v>78</v>
      </c>
      <c r="P24" s="87" t="s">
        <v>79</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80</v>
      </c>
      <c r="B25" s="72"/>
      <c r="C25" s="72"/>
      <c r="D25" s="72"/>
      <c r="E25" s="72"/>
      <c r="F25" s="72"/>
      <c r="G25" s="88"/>
      <c r="H25" s="89"/>
      <c r="I25" s="89">
        <f>'Rider Rates'!B146</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179" t="s">
        <v>152</v>
      </c>
      <c r="B26" s="72"/>
      <c r="C26" s="72"/>
      <c r="D26" s="111">
        <f>D17</f>
        <v>0</v>
      </c>
      <c r="E26" s="72"/>
      <c r="F26" s="72"/>
      <c r="G26" s="88"/>
      <c r="H26" s="89"/>
      <c r="I26" s="99">
        <f>'Rider Rates'!C146</f>
        <v>3.7427700000000001E-2</v>
      </c>
      <c r="J26" s="99">
        <v>3.7427700000000001E-2</v>
      </c>
      <c r="K26" s="94" t="s">
        <v>83</v>
      </c>
      <c r="L26" s="89"/>
      <c r="M26" s="89"/>
      <c r="N26" s="89">
        <f>ROUND($D26*I26,2)</f>
        <v>0</v>
      </c>
      <c r="O26" s="91">
        <f>SUM(L26:N26)</f>
        <v>0</v>
      </c>
      <c r="P26" s="92">
        <f>'Rider Rates'!H146</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79" t="s">
        <v>153</v>
      </c>
      <c r="B27" s="72"/>
      <c r="C27" s="72"/>
      <c r="D27" s="4">
        <f>D18</f>
        <v>0</v>
      </c>
      <c r="E27" s="97" t="s">
        <v>19</v>
      </c>
      <c r="F27" s="84" t="s">
        <v>82</v>
      </c>
      <c r="G27" s="98"/>
      <c r="H27" s="89"/>
      <c r="I27" s="99">
        <f>'Rider Rates'!D146</f>
        <v>1.5787499999999999E-2</v>
      </c>
      <c r="J27" s="100">
        <v>1.5787499999999999E-2</v>
      </c>
      <c r="K27" s="94" t="s">
        <v>83</v>
      </c>
      <c r="L27" s="89"/>
      <c r="M27" s="89"/>
      <c r="N27" s="89">
        <f>ROUND($D27*I27,2)</f>
        <v>0</v>
      </c>
      <c r="O27" s="91">
        <f t="shared" ref="O27" si="0">SUM(L27:N27)</f>
        <v>0</v>
      </c>
      <c r="P27" s="92">
        <f>'Rider Rates'!H146</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2" t="s">
        <v>84</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5">
      <c r="A30" s="69" t="s">
        <v>85</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86</v>
      </c>
      <c r="B32" s="110"/>
      <c r="C32" s="110"/>
      <c r="D32" s="111">
        <f>IF($D$19&lt;0,0,IF($D$19&gt;833000,833000,$D$19))</f>
        <v>0</v>
      </c>
      <c r="E32" s="97" t="s">
        <v>19</v>
      </c>
      <c r="F32" s="84" t="s">
        <v>82</v>
      </c>
      <c r="G32" s="100"/>
      <c r="H32" s="100"/>
      <c r="I32" s="100">
        <f>'Rider Rates'!$B$4</f>
        <v>4.6278999999999999E-3</v>
      </c>
      <c r="J32" s="100">
        <f t="shared" ref="J32:J38" si="1">SUM(G32:I32)</f>
        <v>4.6278999999999999E-3</v>
      </c>
      <c r="K32" s="94" t="s">
        <v>87</v>
      </c>
      <c r="L32" s="89"/>
      <c r="M32" s="89"/>
      <c r="N32" s="89">
        <f t="shared" ref="N32:N37" si="2">ROUND(D32*I32,2)</f>
        <v>0</v>
      </c>
      <c r="O32" s="91">
        <f t="shared" ref="O32:O54"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88</v>
      </c>
      <c r="B33" s="72"/>
      <c r="C33" s="72"/>
      <c r="D33" s="4">
        <f>IF($D$19&gt;833000,$D$19-833000,0)</f>
        <v>0</v>
      </c>
      <c r="E33" s="97" t="s">
        <v>19</v>
      </c>
      <c r="F33" s="84" t="s">
        <v>82</v>
      </c>
      <c r="G33" s="100"/>
      <c r="H33" s="100"/>
      <c r="I33" s="100">
        <f>'Rider Rates'!$B$5</f>
        <v>1.7560000000000001E-4</v>
      </c>
      <c r="J33" s="100">
        <f t="shared" si="1"/>
        <v>1.7560000000000001E-4</v>
      </c>
      <c r="K33" s="94" t="s">
        <v>87</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89</v>
      </c>
      <c r="B34" s="72"/>
      <c r="C34" s="72"/>
      <c r="D34" s="111">
        <f>IF($D$19&lt;0,0,IF($D$19&gt;2000,2000,$D$19))</f>
        <v>0</v>
      </c>
      <c r="E34" s="97" t="s">
        <v>19</v>
      </c>
      <c r="F34" s="84" t="s">
        <v>82</v>
      </c>
      <c r="G34" s="100"/>
      <c r="H34" s="100"/>
      <c r="I34" s="112">
        <f>'Rider Rates'!$B$8</f>
        <v>4.6499999999999996E-3</v>
      </c>
      <c r="J34" s="112">
        <f t="shared" si="1"/>
        <v>4.6499999999999996E-3</v>
      </c>
      <c r="K34" s="94" t="s">
        <v>87</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90</v>
      </c>
      <c r="B35" s="72"/>
      <c r="C35" s="72"/>
      <c r="D35" s="111">
        <f>IF($D$19&lt;=2000,0,IF($D$19=0,0,IF($D$19-2000&gt;13000,13000,$D$19-2000)))</f>
        <v>0</v>
      </c>
      <c r="E35" s="97" t="s">
        <v>19</v>
      </c>
      <c r="F35" s="84" t="s">
        <v>82</v>
      </c>
      <c r="G35" s="100"/>
      <c r="H35" s="100"/>
      <c r="I35" s="112">
        <f>'Rider Rates'!$B$9</f>
        <v>4.1900000000000001E-3</v>
      </c>
      <c r="J35" s="112">
        <f t="shared" si="1"/>
        <v>4.1900000000000001E-3</v>
      </c>
      <c r="K35" s="94" t="s">
        <v>87</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91</v>
      </c>
      <c r="B36" s="72"/>
      <c r="C36" s="72"/>
      <c r="D36" s="111">
        <f>IF($D$19=0,0,IF($D$19-15000&gt;=0,$D$19-15000,0))</f>
        <v>0</v>
      </c>
      <c r="E36" s="97" t="s">
        <v>19</v>
      </c>
      <c r="F36" s="84" t="s">
        <v>82</v>
      </c>
      <c r="G36" s="100"/>
      <c r="H36" s="100"/>
      <c r="I36" s="112">
        <f>'Rider Rates'!$B$10</f>
        <v>3.63E-3</v>
      </c>
      <c r="J36" s="112">
        <f t="shared" si="1"/>
        <v>3.63E-3</v>
      </c>
      <c r="K36" s="94" t="s">
        <v>87</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92</v>
      </c>
      <c r="B37" s="72"/>
      <c r="C37" s="72"/>
      <c r="D37" s="111">
        <f>IF($D$19&lt;0,0,$D$19)</f>
        <v>0</v>
      </c>
      <c r="E37" s="97" t="s">
        <v>19</v>
      </c>
      <c r="F37" s="84" t="s">
        <v>82</v>
      </c>
      <c r="G37" s="100"/>
      <c r="H37" s="100"/>
      <c r="I37" s="100">
        <f>'Rider Rates'!$B$15</f>
        <v>0</v>
      </c>
      <c r="J37" s="100">
        <f t="shared" si="1"/>
        <v>0</v>
      </c>
      <c r="K37" s="94" t="s">
        <v>87</v>
      </c>
      <c r="L37" s="89"/>
      <c r="M37" s="89"/>
      <c r="N37" s="89">
        <f t="shared" si="2"/>
        <v>0</v>
      </c>
      <c r="O37" s="89">
        <f t="shared" si="3"/>
        <v>0</v>
      </c>
      <c r="P37" s="92">
        <f>'Rider Rates'!$D$15</f>
        <v>45505</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93</v>
      </c>
      <c r="B38" s="72"/>
      <c r="C38" s="72"/>
      <c r="D38" s="113">
        <f>$N$28</f>
        <v>10</v>
      </c>
      <c r="E38" s="97" t="s">
        <v>94</v>
      </c>
      <c r="F38" s="84" t="s">
        <v>82</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95</v>
      </c>
      <c r="B39" s="72"/>
      <c r="C39" s="72"/>
      <c r="D39" s="111">
        <f>'Customer Info'!$B$22+'Customer Info'!$B$23</f>
        <v>0</v>
      </c>
      <c r="E39" s="97" t="s">
        <v>19</v>
      </c>
      <c r="F39" s="84" t="s">
        <v>82</v>
      </c>
      <c r="G39" s="100">
        <f>'Rider Rates'!B21</f>
        <v>7.0209999999999995E-2</v>
      </c>
      <c r="H39" s="100"/>
      <c r="I39" s="100"/>
      <c r="J39" s="115">
        <f>SUM(G39:H39)</f>
        <v>7.0209999999999995E-2</v>
      </c>
      <c r="K39" s="94" t="s">
        <v>87</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96</v>
      </c>
      <c r="B40" s="72"/>
      <c r="C40" s="72"/>
      <c r="D40" s="111">
        <f>'Customer Info'!$B$22+'Customer Info'!$B$23</f>
        <v>0</v>
      </c>
      <c r="E40" s="97" t="s">
        <v>19</v>
      </c>
      <c r="F40" s="84" t="s">
        <v>82</v>
      </c>
      <c r="G40" s="100">
        <f>'Rider Rates'!B28</f>
        <v>3.2000000000000002E-3</v>
      </c>
      <c r="H40" s="100"/>
      <c r="I40" s="100"/>
      <c r="J40" s="115">
        <f>SUM(G40:H40)</f>
        <v>3.2000000000000002E-3</v>
      </c>
      <c r="K40" s="94" t="s">
        <v>87</v>
      </c>
      <c r="L40" s="90">
        <f>ROUND($D$40*$G$40,2)</f>
        <v>0</v>
      </c>
      <c r="M40" s="89"/>
      <c r="N40" s="89"/>
      <c r="O40" s="89">
        <f>SUM(L40:N40)</f>
        <v>0</v>
      </c>
      <c r="P40" s="92">
        <f>'Rider Rates'!D34</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97</v>
      </c>
      <c r="B41" s="72"/>
      <c r="C41" s="72"/>
      <c r="D41" s="111">
        <f>'Customer Info'!$B$22+'Customer Info'!$B$23</f>
        <v>0</v>
      </c>
      <c r="E41" s="97" t="s">
        <v>19</v>
      </c>
      <c r="F41" s="84" t="s">
        <v>82</v>
      </c>
      <c r="G41" s="100">
        <f>'Rider Rates'!$B$49</f>
        <v>4.5009999999999999E-4</v>
      </c>
      <c r="H41" s="100"/>
      <c r="I41" s="100"/>
      <c r="J41" s="115">
        <f>SUM(G41:H41)</f>
        <v>4.5009999999999999E-4</v>
      </c>
      <c r="K41" s="94" t="s">
        <v>87</v>
      </c>
      <c r="L41" s="89">
        <f>ROUND(D41*G41,2)</f>
        <v>0</v>
      </c>
      <c r="M41" s="89"/>
      <c r="N41" s="89"/>
      <c r="O41" s="89">
        <f t="shared" si="3"/>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98</v>
      </c>
      <c r="B42" s="72"/>
      <c r="C42" s="72"/>
      <c r="D42" s="111"/>
      <c r="E42" s="97" t="s">
        <v>57</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99</v>
      </c>
      <c r="B43" s="72"/>
      <c r="C43" s="72"/>
      <c r="D43" s="111">
        <f>IF($D$19&lt;0,0,$D$19)</f>
        <v>0</v>
      </c>
      <c r="E43" s="97" t="s">
        <v>19</v>
      </c>
      <c r="F43" s="84" t="s">
        <v>82</v>
      </c>
      <c r="G43" s="100"/>
      <c r="H43" s="100">
        <f>'Rider Rates'!$B$59</f>
        <v>4.3837099999999997E-2</v>
      </c>
      <c r="I43" s="100"/>
      <c r="J43" s="100">
        <f t="shared" si="4"/>
        <v>4.3837099999999997E-2</v>
      </c>
      <c r="K43" s="94" t="s">
        <v>87</v>
      </c>
      <c r="L43" s="89"/>
      <c r="M43" s="89">
        <f>ROUND(D43*H43,2)</f>
        <v>0</v>
      </c>
      <c r="N43" s="116"/>
      <c r="O43" s="89">
        <f t="shared" si="3"/>
        <v>0</v>
      </c>
      <c r="P43" s="92">
        <f>'Rider Rates'!$D$59</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100</v>
      </c>
      <c r="B44" s="72"/>
      <c r="C44" s="72"/>
      <c r="D44" s="111">
        <f>IF($D$19&lt;0,0,$D$19)</f>
        <v>0</v>
      </c>
      <c r="E44" s="97" t="s">
        <v>19</v>
      </c>
      <c r="F44" s="84" t="s">
        <v>82</v>
      </c>
      <c r="G44" s="100"/>
      <c r="H44" s="100"/>
      <c r="I44" s="100">
        <f>'Rider Rates'!$B$70</f>
        <v>8.6240000000000004E-4</v>
      </c>
      <c r="J44" s="100">
        <f t="shared" ref="J44" si="5">SUM(G44:I44)</f>
        <v>8.6240000000000004E-4</v>
      </c>
      <c r="K44" s="94" t="s">
        <v>87</v>
      </c>
      <c r="L44" s="89"/>
      <c r="M44" s="89"/>
      <c r="N44" s="89">
        <f>ROUND($D$44*'Rider Rates'!$B$70,2)</f>
        <v>0</v>
      </c>
      <c r="O44" s="91">
        <f t="shared" ref="O44" si="6">SUM(L44:N44)</f>
        <v>0</v>
      </c>
      <c r="P44" s="92">
        <f>'Rider Rates'!$D$70</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101</v>
      </c>
      <c r="B45" s="72"/>
      <c r="C45" s="72"/>
      <c r="D45" s="111">
        <f>IF('Customer Info'!C35=TRUE,0,IF($D$19&lt;0,0,$D$19))</f>
        <v>0</v>
      </c>
      <c r="E45" s="97" t="s">
        <v>19</v>
      </c>
      <c r="F45" s="84" t="s">
        <v>82</v>
      </c>
      <c r="G45" s="100"/>
      <c r="H45" s="100"/>
      <c r="I45" s="100">
        <f>'Rider Rates'!$B$73+'Rider Rates'!$C$73</f>
        <v>0</v>
      </c>
      <c r="J45" s="100">
        <f t="shared" si="4"/>
        <v>0</v>
      </c>
      <c r="K45" s="94" t="s">
        <v>87</v>
      </c>
      <c r="L45" s="89"/>
      <c r="M45" s="89"/>
      <c r="N45" s="89">
        <f>ROUND($D$45*'Rider Rates'!$B$73,2)+ROUND($D$45*'Rider Rates'!$C$73,2)</f>
        <v>0</v>
      </c>
      <c r="O45" s="91">
        <f t="shared" si="3"/>
        <v>0</v>
      </c>
      <c r="P45" s="92">
        <f>'Rider Rates'!$D$73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102</v>
      </c>
      <c r="B46" s="72"/>
      <c r="C46" s="72"/>
      <c r="D46" s="113">
        <f>$N$28</f>
        <v>10</v>
      </c>
      <c r="E46" s="97" t="s">
        <v>94</v>
      </c>
      <c r="F46" s="84" t="s">
        <v>82</v>
      </c>
      <c r="G46" s="117"/>
      <c r="H46" s="118"/>
      <c r="I46" s="119">
        <f>'Rider Rates'!$B$89</f>
        <v>4.94232E-2</v>
      </c>
      <c r="J46" s="119">
        <f t="shared" si="4"/>
        <v>4.94232E-2</v>
      </c>
      <c r="K46" s="94"/>
      <c r="L46" s="89"/>
      <c r="M46" s="89"/>
      <c r="N46" s="89">
        <f>ROUND(D46*I46,2)</f>
        <v>0.49</v>
      </c>
      <c r="O46" s="89">
        <f t="shared" si="3"/>
        <v>0.49</v>
      </c>
      <c r="P46" s="92">
        <f>'Rider Rates'!$D$89</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103</v>
      </c>
      <c r="B47" s="72"/>
      <c r="C47" s="72"/>
      <c r="D47" s="113">
        <f>$N$28</f>
        <v>10</v>
      </c>
      <c r="E47" s="97" t="s">
        <v>94</v>
      </c>
      <c r="F47" s="84" t="s">
        <v>82</v>
      </c>
      <c r="G47" s="120"/>
      <c r="H47" s="85"/>
      <c r="I47" s="119">
        <f>'Rider Rates'!$B$91</f>
        <v>6.6985699999999995E-2</v>
      </c>
      <c r="J47" s="119">
        <f t="shared" si="4"/>
        <v>6.6985699999999995E-2</v>
      </c>
      <c r="K47" s="94"/>
      <c r="L47" s="89"/>
      <c r="M47" s="89"/>
      <c r="N47" s="89">
        <f>ROUND(D47*I47,2)</f>
        <v>0.67</v>
      </c>
      <c r="O47" s="89">
        <f t="shared" si="3"/>
        <v>0.67</v>
      </c>
      <c r="P47" s="92">
        <f>'Rider Rates'!$D$91</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104</v>
      </c>
      <c r="B48" s="72"/>
      <c r="C48" s="72"/>
      <c r="D48" s="113"/>
      <c r="E48" s="97" t="s">
        <v>57</v>
      </c>
      <c r="F48" s="84"/>
      <c r="G48" s="120"/>
      <c r="H48" s="85"/>
      <c r="I48" s="121">
        <f>'Rider Rates'!$B$94</f>
        <v>2.08</v>
      </c>
      <c r="J48" s="121">
        <f t="shared" si="4"/>
        <v>2.08</v>
      </c>
      <c r="K48" s="94"/>
      <c r="L48" s="89"/>
      <c r="M48" s="89"/>
      <c r="N48" s="89">
        <f>I48</f>
        <v>2.08</v>
      </c>
      <c r="O48" s="91">
        <f>SUM(L48:N48)</f>
        <v>2.08</v>
      </c>
      <c r="P48" s="92">
        <f>'Rider Rates'!$D$94</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105</v>
      </c>
      <c r="B49" s="72"/>
      <c r="C49" s="72"/>
      <c r="D49" s="111">
        <f>IF($D$19&lt;0,0,$D$19)</f>
        <v>0</v>
      </c>
      <c r="E49" s="97" t="s">
        <v>19</v>
      </c>
      <c r="F49" s="84" t="s">
        <v>82</v>
      </c>
      <c r="G49" s="100"/>
      <c r="H49" s="100"/>
      <c r="I49" s="100"/>
      <c r="J49" s="100">
        <f>'Rider Rates'!$B$98</f>
        <v>0</v>
      </c>
      <c r="K49" s="94" t="s">
        <v>87</v>
      </c>
      <c r="L49" s="89"/>
      <c r="M49" s="89"/>
      <c r="N49" s="89"/>
      <c r="O49" s="89">
        <f>ROUND($D49*('Rider Rates'!B$98),2)</f>
        <v>0</v>
      </c>
      <c r="P49" s="92">
        <f>'Rider Rates'!$D$98</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106</v>
      </c>
      <c r="B50" s="72"/>
      <c r="C50" s="72"/>
      <c r="D50" s="113">
        <f>$N$28</f>
        <v>10</v>
      </c>
      <c r="E50" s="97" t="s">
        <v>94</v>
      </c>
      <c r="F50" s="84" t="s">
        <v>82</v>
      </c>
      <c r="G50" s="120"/>
      <c r="H50" s="85"/>
      <c r="I50" s="119">
        <f>'Rider Rates'!$B$109</f>
        <v>0.2363101</v>
      </c>
      <c r="J50" s="122">
        <f>SUM(G50:I50)</f>
        <v>0.2363101</v>
      </c>
      <c r="K50" s="94"/>
      <c r="L50" s="89"/>
      <c r="M50" s="89"/>
      <c r="N50" s="89">
        <f>ROUND(D50*I50,2)</f>
        <v>2.36</v>
      </c>
      <c r="O50" s="89">
        <f t="shared" si="3"/>
        <v>2.36</v>
      </c>
      <c r="P50" s="92">
        <f>'Rider Rates'!$D$109</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107</v>
      </c>
      <c r="B51" s="72"/>
      <c r="C51" s="72"/>
      <c r="D51" s="113"/>
      <c r="E51" s="97" t="s">
        <v>57</v>
      </c>
      <c r="F51" s="84"/>
      <c r="G51" s="120"/>
      <c r="H51" s="85"/>
      <c r="I51" s="121">
        <f>'Rider Rates'!$B$112</f>
        <v>0</v>
      </c>
      <c r="J51" s="121">
        <f>SUM(G51:I51)</f>
        <v>0</v>
      </c>
      <c r="K51" s="94"/>
      <c r="L51" s="89"/>
      <c r="M51" s="89"/>
      <c r="N51" s="89">
        <f>I51</f>
        <v>0</v>
      </c>
      <c r="O51" s="89">
        <f>SUM(L51:N51)</f>
        <v>0</v>
      </c>
      <c r="P51" s="92">
        <f>'Rider Rates'!$D$112</f>
        <v>44894</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108</v>
      </c>
      <c r="B52" s="72"/>
      <c r="C52" s="72"/>
      <c r="D52" s="113"/>
      <c r="E52" s="97" t="s">
        <v>57</v>
      </c>
      <c r="F52" s="84"/>
      <c r="G52" s="120"/>
      <c r="H52" s="85"/>
      <c r="I52" s="123">
        <f>'Rider Rates'!B125</f>
        <v>0.97</v>
      </c>
      <c r="J52" s="124">
        <f>SUM(G52:I52)</f>
        <v>0.97</v>
      </c>
      <c r="K52" s="94"/>
      <c r="L52" s="89"/>
      <c r="M52" s="89"/>
      <c r="N52" s="125">
        <f>I52</f>
        <v>0.97</v>
      </c>
      <c r="O52" s="89">
        <f>SUM(L52:N52)</f>
        <v>0.97</v>
      </c>
      <c r="P52" s="92">
        <f>'Rider Rates'!D125</f>
        <v>45593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109</v>
      </c>
      <c r="B53" s="72"/>
      <c r="C53" s="72"/>
      <c r="D53" s="111">
        <f>'Customer Info'!$B$22+'Customer Info'!$B$23</f>
        <v>0</v>
      </c>
      <c r="E53" s="97" t="s">
        <v>19</v>
      </c>
      <c r="F53" s="84" t="s">
        <v>82</v>
      </c>
      <c r="G53" s="100">
        <f>'Rider Rates'!$B$116</f>
        <v>3.8972999999999998E-3</v>
      </c>
      <c r="H53" s="100"/>
      <c r="I53" s="100"/>
      <c r="J53" s="115">
        <f>SUM(G53:H53)</f>
        <v>3.8972999999999998E-3</v>
      </c>
      <c r="K53" s="94" t="s">
        <v>87</v>
      </c>
      <c r="L53" s="89">
        <f>ROUND(D53*G53,2)</f>
        <v>0</v>
      </c>
      <c r="M53" s="89"/>
      <c r="N53" s="89"/>
      <c r="O53" s="89">
        <f t="shared" si="3"/>
        <v>0</v>
      </c>
      <c r="P53" s="92">
        <f>'Rider Rates'!$D$116</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110</v>
      </c>
      <c r="B54" s="72"/>
      <c r="C54" s="72"/>
      <c r="D54" s="111">
        <f>IF($D$19&lt;1,0,$D$19)</f>
        <v>0</v>
      </c>
      <c r="E54" s="97" t="s">
        <v>19</v>
      </c>
      <c r="F54" s="126" t="s">
        <v>82</v>
      </c>
      <c r="G54" s="100"/>
      <c r="H54" s="100"/>
      <c r="I54" s="100">
        <f>'Rider Rates'!$B$121</f>
        <v>0</v>
      </c>
      <c r="J54" s="115">
        <f>SUM(G54:I54)</f>
        <v>0</v>
      </c>
      <c r="K54" s="94" t="s">
        <v>87</v>
      </c>
      <c r="L54" s="89"/>
      <c r="M54" s="89"/>
      <c r="N54" s="89">
        <f>D54*J54</f>
        <v>0</v>
      </c>
      <c r="O54" s="89">
        <f t="shared" si="3"/>
        <v>0</v>
      </c>
      <c r="P54" s="92">
        <f>'Rider Rates'!D121</f>
        <v>45657</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111</v>
      </c>
      <c r="B55" s="72"/>
      <c r="C55" s="72"/>
      <c r="D55" s="111"/>
      <c r="E55" s="97" t="s">
        <v>57</v>
      </c>
      <c r="F55" s="84" t="s">
        <v>82</v>
      </c>
      <c r="G55" s="127"/>
      <c r="H55" s="127"/>
      <c r="I55" s="127">
        <f>'Rider Rates'!$B$129</f>
        <v>0.1</v>
      </c>
      <c r="J55" s="127">
        <f>SUM(G55:I55)</f>
        <v>0.1</v>
      </c>
      <c r="K55" s="94"/>
      <c r="L55" s="128"/>
      <c r="M55" s="128"/>
      <c r="N55" s="128">
        <f>J55</f>
        <v>0.1</v>
      </c>
      <c r="O55" s="128">
        <f>SUM(L55:N55)</f>
        <v>0.1</v>
      </c>
      <c r="P55" s="129">
        <f>'Rider Rates'!$E$129</f>
        <v>45658</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112</v>
      </c>
      <c r="B56" s="72"/>
      <c r="C56" s="72"/>
      <c r="D56" s="111">
        <f>C19</f>
        <v>0</v>
      </c>
      <c r="E56" s="97" t="s">
        <v>19</v>
      </c>
      <c r="F56" s="126" t="s">
        <v>82</v>
      </c>
      <c r="G56" s="100"/>
      <c r="H56" s="100"/>
      <c r="I56" s="100">
        <f>'Rider Rates'!$B$134</f>
        <v>0</v>
      </c>
      <c r="J56" s="115">
        <f>SUM(G56:I56)</f>
        <v>0</v>
      </c>
      <c r="K56" s="94" t="s">
        <v>87</v>
      </c>
      <c r="L56" s="89"/>
      <c r="M56" s="89"/>
      <c r="N56" s="89">
        <f>D56*J56</f>
        <v>0</v>
      </c>
      <c r="O56" s="89">
        <f>SUM(L56:N56)</f>
        <v>0</v>
      </c>
      <c r="P56" s="92">
        <f>'Rider Rates'!D139</f>
        <v>0</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113</v>
      </c>
      <c r="B57" s="72"/>
      <c r="C57" s="72"/>
      <c r="D57" s="111"/>
      <c r="E57" s="97" t="s">
        <v>57</v>
      </c>
      <c r="F57" s="84" t="s">
        <v>82</v>
      </c>
      <c r="G57" s="127"/>
      <c r="H57" s="127"/>
      <c r="I57" s="127">
        <f>'Rider Rates'!$B$141</f>
        <v>0</v>
      </c>
      <c r="J57" s="127">
        <f>SUM(G57:I57)</f>
        <v>0</v>
      </c>
      <c r="K57" s="94"/>
      <c r="L57" s="128"/>
      <c r="M57" s="128"/>
      <c r="N57" s="128">
        <f>J57</f>
        <v>0</v>
      </c>
      <c r="O57" s="128">
        <f>SUM(L57:N57)</f>
        <v>0</v>
      </c>
      <c r="P57" s="129">
        <f>'Rider Rates'!$D$137</f>
        <v>44531</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114</v>
      </c>
      <c r="B58" s="72"/>
      <c r="C58" s="72"/>
      <c r="D58" s="111"/>
      <c r="E58" s="97"/>
      <c r="F58" s="84"/>
      <c r="G58" s="127"/>
      <c r="H58" s="127"/>
      <c r="I58" s="127"/>
      <c r="J58" s="127"/>
      <c r="K58" s="94"/>
      <c r="L58" s="128"/>
      <c r="M58" s="128"/>
      <c r="N58" s="128"/>
      <c r="O58" s="128"/>
      <c r="P58" s="129"/>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30" t="s">
        <v>115</v>
      </c>
      <c r="B59" s="69"/>
      <c r="C59" s="69"/>
      <c r="D59" s="131"/>
      <c r="E59" s="132"/>
      <c r="F59" s="133"/>
      <c r="G59" s="133"/>
      <c r="H59" s="133"/>
      <c r="I59" s="133"/>
      <c r="J59" s="133"/>
      <c r="K59" s="134"/>
      <c r="L59" s="105">
        <f>SUM(L32:L58)</f>
        <v>0</v>
      </c>
      <c r="M59" s="105">
        <f>SUM(M32:M58)</f>
        <v>0</v>
      </c>
      <c r="N59" s="105">
        <f>SUM(N32:N58)</f>
        <v>7.839999999999999</v>
      </c>
      <c r="O59" s="105">
        <f>SUM(O32:O58)</f>
        <v>7.839999999999999</v>
      </c>
      <c r="P59" s="135"/>
      <c r="Q59" s="84"/>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c r="B60" s="72"/>
      <c r="C60" s="72"/>
      <c r="D60" s="111"/>
      <c r="E60" s="97"/>
      <c r="F60" s="84"/>
      <c r="G60" s="84"/>
      <c r="H60" s="84"/>
      <c r="I60" s="84"/>
      <c r="J60" s="101"/>
      <c r="K60" s="94"/>
      <c r="L60" s="84"/>
      <c r="M60" s="84"/>
      <c r="N60" s="84"/>
      <c r="O60" s="84"/>
      <c r="P60" s="137"/>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38" t="s">
        <v>116</v>
      </c>
      <c r="B61" s="106"/>
      <c r="C61" s="106"/>
      <c r="D61" s="106"/>
      <c r="E61" s="106"/>
      <c r="F61" s="106"/>
      <c r="G61" s="106"/>
      <c r="H61" s="106"/>
      <c r="I61" s="106"/>
      <c r="J61" s="106"/>
      <c r="K61" s="106"/>
      <c r="L61" s="139">
        <f>L28+L59</f>
        <v>0</v>
      </c>
      <c r="M61" s="139">
        <f>M28+M59</f>
        <v>0</v>
      </c>
      <c r="N61" s="139">
        <f>N28+N59</f>
        <v>17.84</v>
      </c>
      <c r="O61" s="140">
        <f>O28+O59</f>
        <v>17.84</v>
      </c>
      <c r="P61" s="140"/>
      <c r="Q61" s="84"/>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72"/>
      <c r="B63" s="72"/>
      <c r="C63" s="72"/>
      <c r="D63" s="72"/>
      <c r="E63" s="72"/>
      <c r="F63" s="72"/>
      <c r="G63" s="72"/>
      <c r="H63" s="72"/>
      <c r="I63" s="72"/>
      <c r="J63" s="72"/>
      <c r="K63" s="72"/>
      <c r="L63" s="72"/>
      <c r="M63" s="72"/>
      <c r="N63" s="72"/>
      <c r="O63" s="72"/>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117</v>
      </c>
      <c r="B64" s="72"/>
      <c r="C64" s="72"/>
      <c r="D64" s="72"/>
      <c r="E64" s="72"/>
      <c r="F64" s="72"/>
      <c r="G64" s="72"/>
      <c r="H64" s="72"/>
      <c r="I64" s="72"/>
      <c r="J64" s="72"/>
      <c r="K64" s="72"/>
      <c r="L64" s="72"/>
      <c r="M64" s="72"/>
      <c r="N64" s="72"/>
      <c r="O64" s="95">
        <f>IF(D17&lt;0,MIN(O25,O61),O25)</f>
        <v>10</v>
      </c>
      <c r="P64" s="72"/>
      <c r="Q64" s="10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102" t="s">
        <v>2</v>
      </c>
      <c r="B65" s="102"/>
      <c r="C65" s="102"/>
      <c r="D65" s="102"/>
      <c r="E65" s="102"/>
      <c r="F65" s="102"/>
      <c r="G65" s="102"/>
      <c r="H65" s="102"/>
      <c r="I65" s="72"/>
      <c r="J65" s="72"/>
      <c r="K65" s="72"/>
      <c r="L65" s="72"/>
      <c r="M65" s="72"/>
      <c r="N65" s="72"/>
      <c r="O65" s="72"/>
      <c r="P65" s="72"/>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t="s">
        <v>118</v>
      </c>
      <c r="B66" s="72"/>
      <c r="C66" s="72"/>
      <c r="D66" s="72"/>
      <c r="E66" s="72"/>
      <c r="F66" s="72"/>
      <c r="G66" s="72"/>
      <c r="H66" s="72"/>
      <c r="I66" s="72"/>
      <c r="J66" s="72"/>
      <c r="K66" s="72"/>
      <c r="L66" s="72"/>
      <c r="M66" s="72"/>
      <c r="N66" s="72"/>
      <c r="O66" s="141">
        <f>IF($D$17&lt;0,O61,IF(O61&gt;O64,O61,O64))</f>
        <v>17.84</v>
      </c>
      <c r="P66" s="84"/>
      <c r="Q66" s="72"/>
      <c r="R66" s="101"/>
      <c r="S66" s="94"/>
      <c r="T66" s="95"/>
      <c r="U66" s="72"/>
      <c r="V66" s="96"/>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72"/>
      <c r="C67" s="72"/>
      <c r="D67" s="72"/>
      <c r="E67" s="72"/>
      <c r="F67" s="72"/>
      <c r="G67" s="72"/>
      <c r="H67" s="72"/>
      <c r="I67" s="72"/>
      <c r="J67" s="72"/>
      <c r="K67" s="72"/>
      <c r="L67" s="72"/>
      <c r="M67" s="72"/>
      <c r="N67" s="72"/>
      <c r="O67" s="142"/>
      <c r="P67" s="84"/>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row>
    <row r="68" spans="1:236" x14ac:dyDescent="0.25">
      <c r="A68" s="69"/>
      <c r="B68" s="102"/>
      <c r="C68" s="102"/>
      <c r="D68" s="102"/>
      <c r="E68" s="102"/>
      <c r="F68" s="102"/>
      <c r="G68" s="102"/>
      <c r="H68" s="102"/>
      <c r="I68" s="102" t="s">
        <v>119</v>
      </c>
      <c r="J68" s="102"/>
      <c r="K68" s="102"/>
      <c r="L68" s="143"/>
      <c r="M68" s="143"/>
      <c r="N68" s="143"/>
      <c r="O68" s="143">
        <f>ROUND(IF($D$17&lt;1,0,O61/($D$17*100)*10000),2)</f>
        <v>0</v>
      </c>
      <c r="P68" s="144" t="s">
        <v>120</v>
      </c>
      <c r="Q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row>
    <row r="69" spans="1:236" x14ac:dyDescent="0.25">
      <c r="A69" s="144"/>
      <c r="B69" s="72"/>
      <c r="C69" s="72"/>
      <c r="D69" s="72"/>
      <c r="E69" s="72"/>
      <c r="F69" s="72"/>
      <c r="G69" s="72"/>
      <c r="H69" s="145"/>
      <c r="I69" s="146" t="s">
        <v>121</v>
      </c>
      <c r="J69" s="72"/>
      <c r="K69" s="72"/>
      <c r="L69" s="72"/>
      <c r="M69" s="72"/>
      <c r="N69" s="72"/>
      <c r="O69" s="147">
        <f>ROUND(IF($D$19&lt;1,0,(L61)/($D$19*100)*10000),2)</f>
        <v>0</v>
      </c>
      <c r="P69" s="59" t="s">
        <v>120</v>
      </c>
      <c r="Q69" s="72"/>
      <c r="AE69" s="72"/>
      <c r="AF69" s="72"/>
      <c r="AG69" s="72"/>
      <c r="AH69" s="72"/>
      <c r="AI69" s="72"/>
      <c r="AJ69" s="72"/>
      <c r="AK69" s="72"/>
      <c r="AL69" s="72"/>
      <c r="AM69" s="72"/>
      <c r="AN69" s="72"/>
      <c r="AO69" s="72"/>
      <c r="AP69" s="72"/>
      <c r="AQ69" s="72"/>
      <c r="AR69" s="72"/>
      <c r="AS69" s="72"/>
      <c r="AT69" s="72"/>
      <c r="HE69" s="72"/>
      <c r="HF69" s="72"/>
      <c r="HG69" s="72"/>
      <c r="HH69" s="72"/>
      <c r="HI69" s="72"/>
      <c r="HJ69" s="72"/>
      <c r="HK69" s="72"/>
      <c r="HL69" s="72"/>
      <c r="HM69" s="72"/>
      <c r="HN69" s="72"/>
    </row>
    <row r="70" spans="1:236" x14ac:dyDescent="0.25">
      <c r="A70" s="76"/>
      <c r="B70" s="72"/>
      <c r="C70" s="72"/>
      <c r="D70" s="111"/>
      <c r="E70" s="97"/>
      <c r="F70" s="84"/>
      <c r="G70" s="64"/>
      <c r="H70" s="148"/>
      <c r="I70" s="64"/>
      <c r="J70" s="59"/>
      <c r="K70" s="59"/>
      <c r="L70" s="149"/>
      <c r="M70" s="149"/>
      <c r="N70" s="149"/>
      <c r="O70" s="150"/>
      <c r="Q70" s="151"/>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6"/>
      <c r="B71" s="72"/>
      <c r="C71" s="72"/>
      <c r="D71" s="111"/>
      <c r="E71" s="97"/>
      <c r="F71" s="84"/>
      <c r="Q71" s="151"/>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row>
    <row r="72" spans="1:236" x14ac:dyDescent="0.25">
      <c r="A72" s="72"/>
      <c r="D72" s="4"/>
      <c r="E72" s="152"/>
      <c r="F72" s="84"/>
      <c r="Q72" s="151"/>
    </row>
    <row r="73" spans="1:236" x14ac:dyDescent="0.25">
      <c r="A73" s="153"/>
      <c r="D73" s="4"/>
      <c r="E73" s="152"/>
      <c r="F73" s="1"/>
      <c r="Q73" s="154"/>
    </row>
    <row r="74" spans="1:236" x14ac:dyDescent="0.25">
      <c r="A74" s="153"/>
      <c r="D74" s="4"/>
      <c r="E74" s="152"/>
      <c r="F74" s="1"/>
      <c r="Q74" s="154"/>
    </row>
    <row r="75" spans="1:236" x14ac:dyDescent="0.25">
      <c r="A75" s="155"/>
      <c r="B75" s="144"/>
      <c r="C75" s="144"/>
      <c r="D75" s="144"/>
      <c r="E75" s="144"/>
      <c r="F75" s="144"/>
    </row>
    <row r="76" spans="1:236" x14ac:dyDescent="0.25">
      <c r="B76" s="144"/>
      <c r="C76" s="144"/>
      <c r="D76" s="144"/>
      <c r="E76" s="144"/>
      <c r="F76" s="144"/>
      <c r="P76" s="144"/>
      <c r="Q76" s="144"/>
    </row>
    <row r="77" spans="1:236" x14ac:dyDescent="0.25">
      <c r="B77" s="144"/>
      <c r="C77" s="144"/>
      <c r="D77" s="144"/>
      <c r="E77" s="144"/>
      <c r="F77" s="144"/>
      <c r="P77" s="59"/>
      <c r="Q77" s="59"/>
    </row>
    <row r="80" spans="1:23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row r="94" spans="1:1" x14ac:dyDescent="0.25">
      <c r="A94" s="432"/>
    </row>
  </sheetData>
  <sheetProtection algorithmName="SHA-512" hashValue="b05NqqEREBSTWKd/6ssngZp4vgZWx1NZaAow03NNi83iWuksx8UyzzWJE7pubHIHeo3hPWKHiTuOVbmp/ckNZA==" saltValue="9UDJTG02j0PaeHQghj9o7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388620</xdr:colOff>
                    <xdr:row>83</xdr:row>
                    <xdr:rowOff>38100</xdr:rowOff>
                  </from>
                  <to>
                    <xdr:col>30</xdr:col>
                    <xdr:colOff>160020</xdr:colOff>
                    <xdr:row>84</xdr:row>
                    <xdr:rowOff>83820</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45720</xdr:colOff>
                    <xdr:row>0</xdr:row>
                    <xdr:rowOff>45720</xdr:rowOff>
                  </from>
                  <to>
                    <xdr:col>0</xdr:col>
                    <xdr:colOff>411480</xdr:colOff>
                    <xdr:row>1</xdr:row>
                    <xdr:rowOff>45720</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70"/>
  <sheetViews>
    <sheetView showGridLines="0" topLeftCell="A19" zoomScale="80" zoomScaleNormal="80" workbookViewId="0">
      <selection activeCell="B22" sqref="B22"/>
    </sheetView>
  </sheetViews>
  <sheetFormatPr defaultRowHeight="13.2" x14ac:dyDescent="0.25"/>
  <cols>
    <col min="1" max="1" width="37.5546875" customWidth="1"/>
    <col min="2" max="2" width="2.109375" customWidth="1"/>
    <col min="3" max="3" width="14.5546875" customWidth="1"/>
    <col min="4" max="4" width="15.44140625" customWidth="1"/>
    <col min="5" max="5" width="9.88671875" customWidth="1"/>
    <col min="6" max="6" width="5.5546875" customWidth="1"/>
    <col min="7" max="8" width="13.44140625" customWidth="1"/>
    <col min="9" max="9" width="14.5546875" customWidth="1"/>
    <col min="10" max="10" width="14.88671875" bestFit="1" customWidth="1"/>
    <col min="11" max="11" width="7" customWidth="1"/>
    <col min="12" max="12" width="15.109375" customWidth="1"/>
    <col min="13" max="13" width="17.44140625" bestFit="1" customWidth="1"/>
    <col min="14" max="14" width="16.5546875" customWidth="1"/>
    <col min="15" max="15" width="17.44140625" bestFit="1" customWidth="1"/>
    <col min="16" max="16" width="12.88671875" bestFit="1" customWidth="1"/>
    <col min="18" max="18" width="13.88671875" hidden="1" customWidth="1"/>
    <col min="19" max="26" width="10.44140625" hidden="1" customWidth="1"/>
    <col min="27" max="27" width="10.5546875" hidden="1" customWidth="1"/>
    <col min="28" max="30" width="10.44140625" hidden="1" customWidth="1"/>
  </cols>
  <sheetData>
    <row r="1" spans="1:30" ht="21" x14ac:dyDescent="0.4">
      <c r="A1" s="449" t="s">
        <v>52</v>
      </c>
      <c r="B1" s="449"/>
      <c r="C1" s="449"/>
      <c r="D1" s="449"/>
      <c r="E1" s="449"/>
      <c r="F1" s="449"/>
      <c r="G1" s="449"/>
      <c r="H1" s="449"/>
      <c r="I1" s="449"/>
      <c r="J1" s="449"/>
      <c r="K1" s="449"/>
      <c r="L1" s="449"/>
      <c r="M1" s="449"/>
      <c r="N1" s="449"/>
      <c r="O1" s="449"/>
      <c r="P1" s="449"/>
    </row>
    <row r="2" spans="1:30" ht="21" x14ac:dyDescent="0.4">
      <c r="A2" s="433" t="s">
        <v>141</v>
      </c>
      <c r="B2" s="433"/>
      <c r="C2" s="433"/>
      <c r="D2" s="433"/>
      <c r="E2" s="433"/>
      <c r="F2" s="433"/>
      <c r="G2" s="433"/>
      <c r="H2" s="433"/>
      <c r="I2" s="433"/>
      <c r="J2" s="433"/>
      <c r="K2" s="433"/>
      <c r="L2" s="433"/>
      <c r="M2" s="433"/>
      <c r="N2" s="433"/>
      <c r="O2" s="433"/>
      <c r="P2" s="433"/>
    </row>
    <row r="3" spans="1:30" ht="17.399999999999999" x14ac:dyDescent="0.3">
      <c r="A3" s="450" t="s">
        <v>154</v>
      </c>
      <c r="B3" s="450"/>
      <c r="C3" s="450"/>
      <c r="D3" s="450"/>
      <c r="E3" s="450"/>
      <c r="F3" s="450"/>
      <c r="G3" s="450"/>
      <c r="H3" s="450"/>
      <c r="I3" s="450"/>
      <c r="J3" s="450"/>
      <c r="K3" s="450"/>
      <c r="L3" s="450"/>
      <c r="M3" s="450"/>
      <c r="N3" s="450"/>
      <c r="O3" s="450"/>
      <c r="P3" s="450"/>
    </row>
    <row r="4" spans="1:30" ht="15.6" x14ac:dyDescent="0.3">
      <c r="A4" s="435" t="str">
        <f>'Customer Info'!B12</f>
        <v>Breakdown of Charges Based on Entered Information</v>
      </c>
      <c r="B4" s="435"/>
      <c r="C4" s="435"/>
      <c r="D4" s="435"/>
      <c r="E4" s="435"/>
      <c r="F4" s="435"/>
      <c r="G4" s="435"/>
      <c r="H4" s="435"/>
      <c r="I4" s="435"/>
      <c r="J4" s="435"/>
      <c r="K4" s="435"/>
      <c r="L4" s="435"/>
      <c r="M4" s="435"/>
      <c r="N4" s="435"/>
      <c r="O4" s="435"/>
      <c r="P4" s="435"/>
    </row>
    <row r="5" spans="1:30" ht="15" x14ac:dyDescent="0.25">
      <c r="A5" s="55"/>
      <c r="B5" s="55"/>
      <c r="C5" s="55"/>
      <c r="D5" s="55"/>
      <c r="E5" s="55"/>
      <c r="F5" s="55"/>
      <c r="G5" s="55"/>
      <c r="H5" s="55"/>
      <c r="I5" s="55"/>
      <c r="J5" s="55"/>
      <c r="K5" s="55"/>
      <c r="L5" s="55"/>
      <c r="M5" s="55"/>
      <c r="N5" s="55"/>
      <c r="O5" s="55"/>
      <c r="P5" s="55"/>
    </row>
    <row r="6" spans="1:30" x14ac:dyDescent="0.25">
      <c r="A6" s="56">
        <f ca="1">TODAY()</f>
        <v>45656</v>
      </c>
      <c r="B6" s="180" t="s">
        <v>155</v>
      </c>
      <c r="C6" s="180"/>
      <c r="D6" s="180"/>
      <c r="E6" s="180"/>
      <c r="F6" s="180"/>
      <c r="G6" s="180"/>
      <c r="H6" s="180"/>
      <c r="I6" s="180"/>
      <c r="J6" s="180"/>
      <c r="K6" s="180"/>
      <c r="L6" s="180"/>
      <c r="M6" s="180"/>
      <c r="N6" s="180"/>
      <c r="O6" s="180"/>
    </row>
    <row r="7" spans="1:30" x14ac:dyDescent="0.25">
      <c r="A7" s="437" t="s">
        <v>2</v>
      </c>
      <c r="B7" s="437"/>
      <c r="C7" s="437"/>
      <c r="D7" s="437"/>
      <c r="E7" s="437"/>
      <c r="F7" s="437"/>
      <c r="G7" s="437"/>
      <c r="H7" s="437"/>
      <c r="I7" s="437"/>
      <c r="J7" s="437"/>
      <c r="K7" s="437"/>
    </row>
    <row r="9" spans="1:30" ht="15" x14ac:dyDescent="0.25">
      <c r="A9" s="57" t="s">
        <v>5</v>
      </c>
      <c r="B9" s="58"/>
      <c r="C9" s="59">
        <f>'Customer Info'!B7</f>
        <v>0</v>
      </c>
      <c r="I9" s="60"/>
    </row>
    <row r="10" spans="1:30" ht="15" x14ac:dyDescent="0.25">
      <c r="A10" s="61" t="s">
        <v>55</v>
      </c>
      <c r="B10" s="58"/>
      <c r="C10" s="59">
        <f>'Customer Info'!B8</f>
        <v>0</v>
      </c>
    </row>
    <row r="11" spans="1:30" x14ac:dyDescent="0.25">
      <c r="A11" s="57" t="s">
        <v>124</v>
      </c>
      <c r="B11" s="62">
        <f>'Customer Info'!B9</f>
        <v>1</v>
      </c>
      <c r="C11" s="63" t="str">
        <f>LOOKUP(B11,R11:AD11,R12:AD12)</f>
        <v>January</v>
      </c>
      <c r="D11" s="64">
        <f>'Customer Info'!C9</f>
        <v>2025</v>
      </c>
      <c r="S11">
        <v>1</v>
      </c>
      <c r="T11">
        <v>2</v>
      </c>
      <c r="U11">
        <v>3</v>
      </c>
      <c r="V11">
        <v>4</v>
      </c>
      <c r="W11">
        <v>5</v>
      </c>
      <c r="X11">
        <v>6</v>
      </c>
      <c r="Y11">
        <v>7</v>
      </c>
      <c r="Z11">
        <v>8</v>
      </c>
      <c r="AA11">
        <v>9</v>
      </c>
      <c r="AB11">
        <v>10</v>
      </c>
      <c r="AC11">
        <v>11</v>
      </c>
      <c r="AD11">
        <v>12</v>
      </c>
    </row>
    <row r="12" spans="1:30" x14ac:dyDescent="0.25">
      <c r="A12" s="444"/>
      <c r="B12" s="444"/>
      <c r="C12" s="444"/>
      <c r="D12" s="444"/>
      <c r="E12" s="444"/>
      <c r="F12" s="444"/>
      <c r="G12" s="444"/>
      <c r="H12" s="444"/>
      <c r="I12" s="444"/>
      <c r="J12" s="157"/>
      <c r="K12" s="157"/>
      <c r="L12" s="157"/>
      <c r="M12" s="157"/>
      <c r="N12" s="157"/>
      <c r="O12" s="157"/>
      <c r="P12" s="15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30" x14ac:dyDescent="0.25">
      <c r="A13" s="155" t="s">
        <v>70</v>
      </c>
      <c r="R13" s="72" t="s">
        <v>156</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R14" s="72" t="s">
        <v>157</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t="s">
        <v>137</v>
      </c>
      <c r="B15" s="158"/>
      <c r="C15" s="159">
        <f>IF('Customer Info'!B22+'Customer Info'!B23-'Customer Info'!B24&lt;0,0,'Customer Info'!B22+'Customer Info'!B23-'Customer Info'!B24)</f>
        <v>0</v>
      </c>
      <c r="D15" s="158" t="s">
        <v>19</v>
      </c>
      <c r="E15" s="158"/>
      <c r="F15" s="160"/>
      <c r="G15" s="158"/>
      <c r="H15" s="158"/>
      <c r="I15" s="158"/>
      <c r="R15" s="44" t="s">
        <v>145</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5">
      <c r="A16" s="158"/>
      <c r="B16" s="158"/>
      <c r="C16" s="160"/>
      <c r="D16" s="160"/>
      <c r="E16" s="160"/>
      <c r="F16" s="160"/>
      <c r="G16" s="57"/>
      <c r="H16" s="158"/>
      <c r="I16" s="158"/>
    </row>
    <row r="17" spans="1:221" x14ac:dyDescent="0.25">
      <c r="A17" s="162" t="s">
        <v>128</v>
      </c>
      <c r="B17" s="163"/>
      <c r="C17" s="163"/>
      <c r="D17" s="163"/>
      <c r="E17" s="163"/>
      <c r="F17" s="163"/>
      <c r="G17" s="445" t="s">
        <v>73</v>
      </c>
      <c r="H17" s="446"/>
      <c r="I17" s="446"/>
      <c r="J17" s="447"/>
      <c r="K17" s="163"/>
      <c r="L17" s="448" t="s">
        <v>74</v>
      </c>
      <c r="M17" s="448"/>
      <c r="N17" s="448"/>
      <c r="O17" s="448"/>
    </row>
    <row r="18" spans="1:221" x14ac:dyDescent="0.25">
      <c r="G18" s="164" t="s">
        <v>75</v>
      </c>
      <c r="H18" s="164" t="s">
        <v>76</v>
      </c>
      <c r="I18" s="164" t="s">
        <v>77</v>
      </c>
      <c r="J18" s="118" t="s">
        <v>78</v>
      </c>
      <c r="L18" s="165" t="s">
        <v>75</v>
      </c>
      <c r="M18" s="165" t="s">
        <v>76</v>
      </c>
      <c r="N18" s="165" t="s">
        <v>77</v>
      </c>
      <c r="O18" s="165" t="s">
        <v>78</v>
      </c>
      <c r="P18" s="166" t="s">
        <v>79</v>
      </c>
    </row>
    <row r="19" spans="1:221" x14ac:dyDescent="0.25">
      <c r="A19" t="s">
        <v>80</v>
      </c>
      <c r="G19" s="167"/>
      <c r="H19" s="167"/>
      <c r="I19" s="168">
        <v>10</v>
      </c>
      <c r="J19" s="168">
        <f>SUM(G19:I19)</f>
        <v>10</v>
      </c>
      <c r="L19" s="168"/>
      <c r="M19" s="168"/>
      <c r="N19" s="168">
        <f>I19</f>
        <v>10</v>
      </c>
      <c r="O19" s="168">
        <f>+SUM(L19:N19)</f>
        <v>10</v>
      </c>
      <c r="P19" s="92">
        <v>44531</v>
      </c>
    </row>
    <row r="20" spans="1:221" x14ac:dyDescent="0.25">
      <c r="A20" t="s">
        <v>158</v>
      </c>
      <c r="D20" s="4">
        <f>C15</f>
        <v>0</v>
      </c>
      <c r="E20" s="152" t="s">
        <v>19</v>
      </c>
      <c r="F20" s="1" t="s">
        <v>82</v>
      </c>
      <c r="G20" s="99"/>
      <c r="H20" s="181"/>
      <c r="I20" s="99">
        <v>2.6312499999999999E-2</v>
      </c>
      <c r="J20" s="181">
        <f>SUM(G20:I20)</f>
        <v>2.6312499999999999E-2</v>
      </c>
      <c r="K20" s="154" t="s">
        <v>87</v>
      </c>
      <c r="L20" s="182"/>
      <c r="M20" s="182"/>
      <c r="N20" s="182">
        <f>ROUND($D20*I20,2)</f>
        <v>0</v>
      </c>
      <c r="O20" s="168">
        <f>+SUM(L20:N20)</f>
        <v>0</v>
      </c>
      <c r="P20" s="92">
        <v>44531</v>
      </c>
    </row>
    <row r="21" spans="1:221" x14ac:dyDescent="0.25">
      <c r="A21" s="153" t="s">
        <v>132</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5">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85</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86</v>
      </c>
      <c r="B25" s="110"/>
      <c r="C25" s="110"/>
      <c r="D25" s="111">
        <f>IF($C$15&lt;0,0,IF($C$15&gt;833000,833000,$C$15))</f>
        <v>0</v>
      </c>
      <c r="E25" s="97" t="s">
        <v>19</v>
      </c>
      <c r="F25" s="84" t="s">
        <v>82</v>
      </c>
      <c r="G25" s="100"/>
      <c r="H25" s="100"/>
      <c r="I25" s="100">
        <f>'Rider Rates'!$B$4</f>
        <v>4.6278999999999999E-3</v>
      </c>
      <c r="J25" s="175">
        <f t="shared" ref="J25:J46" si="0">SUM(G25:I25)</f>
        <v>4.6278999999999999E-3</v>
      </c>
      <c r="K25" s="94" t="s">
        <v>87</v>
      </c>
      <c r="L25" s="89"/>
      <c r="M25" s="89"/>
      <c r="N25" s="89">
        <f t="shared" ref="N25:N30" si="1">ROUND(D25*I25,2)</f>
        <v>0</v>
      </c>
      <c r="O25" s="89">
        <f t="shared" ref="O25:O47"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88</v>
      </c>
      <c r="B26" s="72"/>
      <c r="C26" s="72"/>
      <c r="D26" s="4">
        <f>IF($C$15&gt;833000,$C$15-833000,0)</f>
        <v>0</v>
      </c>
      <c r="E26" s="97" t="s">
        <v>19</v>
      </c>
      <c r="F26" s="84" t="s">
        <v>82</v>
      </c>
      <c r="G26" s="100"/>
      <c r="H26" s="100"/>
      <c r="I26" s="100">
        <f>'Rider Rates'!$B$5</f>
        <v>1.7560000000000001E-4</v>
      </c>
      <c r="J26" s="175">
        <f t="shared" si="0"/>
        <v>1.7560000000000001E-4</v>
      </c>
      <c r="K26" s="94" t="s">
        <v>87</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89</v>
      </c>
      <c r="B27" s="72"/>
      <c r="C27" s="72"/>
      <c r="D27" s="111">
        <f>IF($C$15&lt;0,0,IF($C$15&gt;2000,2000,$C$15))</f>
        <v>0</v>
      </c>
      <c r="E27" s="97" t="s">
        <v>19</v>
      </c>
      <c r="F27" s="84" t="s">
        <v>82</v>
      </c>
      <c r="G27" s="100"/>
      <c r="H27" s="100"/>
      <c r="I27" s="112">
        <f>'Rider Rates'!$B$8</f>
        <v>4.6499999999999996E-3</v>
      </c>
      <c r="J27" s="112">
        <f t="shared" si="0"/>
        <v>4.6499999999999996E-3</v>
      </c>
      <c r="K27" s="94" t="s">
        <v>87</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90</v>
      </c>
      <c r="B28" s="72"/>
      <c r="C28" s="72"/>
      <c r="D28" s="111">
        <f>IF($C$15&lt;=2000,0,IF($C$15=0,0,IF($C$15-2000&gt;13000,13000,$C$15-2000)))</f>
        <v>0</v>
      </c>
      <c r="E28" s="97" t="s">
        <v>19</v>
      </c>
      <c r="F28" s="84" t="s">
        <v>82</v>
      </c>
      <c r="G28" s="100"/>
      <c r="H28" s="100"/>
      <c r="I28" s="112">
        <f>'Rider Rates'!$B$9</f>
        <v>4.1900000000000001E-3</v>
      </c>
      <c r="J28" s="112">
        <f t="shared" si="0"/>
        <v>4.1900000000000001E-3</v>
      </c>
      <c r="K28" s="94" t="s">
        <v>87</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91</v>
      </c>
      <c r="B29" s="72"/>
      <c r="C29" s="72"/>
      <c r="D29" s="111">
        <f>IF($C$15=0,0,IF($C$15-15000&gt;=0,$C$15-15000,0))</f>
        <v>0</v>
      </c>
      <c r="E29" s="97" t="s">
        <v>19</v>
      </c>
      <c r="F29" s="84" t="s">
        <v>82</v>
      </c>
      <c r="G29" s="100"/>
      <c r="H29" s="100"/>
      <c r="I29" s="112">
        <f>'Rider Rates'!$B$10</f>
        <v>3.63E-3</v>
      </c>
      <c r="J29" s="112">
        <f t="shared" si="0"/>
        <v>3.63E-3</v>
      </c>
      <c r="K29" s="94" t="s">
        <v>87</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92</v>
      </c>
      <c r="B30" s="72"/>
      <c r="C30" s="72"/>
      <c r="D30" s="111">
        <f>IF($C$15&lt;0,0,$C$15)</f>
        <v>0</v>
      </c>
      <c r="E30" s="97" t="s">
        <v>19</v>
      </c>
      <c r="F30" s="84" t="s">
        <v>82</v>
      </c>
      <c r="G30" s="100"/>
      <c r="H30" s="100"/>
      <c r="I30" s="100">
        <f>'Rider Rates'!$B$15</f>
        <v>0</v>
      </c>
      <c r="J30" s="100">
        <f>SUM(G30:I30)</f>
        <v>0</v>
      </c>
      <c r="K30" s="94" t="s">
        <v>87</v>
      </c>
      <c r="L30" s="89"/>
      <c r="M30" s="89"/>
      <c r="N30" s="89">
        <f t="shared" si="1"/>
        <v>0</v>
      </c>
      <c r="O30" s="89">
        <f t="shared" ref="O30:O37" si="3">SUM(L30:N30)</f>
        <v>0</v>
      </c>
      <c r="P30" s="92">
        <f>'Rider Rates'!$D$15</f>
        <v>45505</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93</v>
      </c>
      <c r="B31" s="72"/>
      <c r="C31" s="72"/>
      <c r="D31" s="113">
        <f>$N$21</f>
        <v>10</v>
      </c>
      <c r="E31" s="97" t="s">
        <v>94</v>
      </c>
      <c r="F31" s="84" t="s">
        <v>82</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95</v>
      </c>
      <c r="B32" s="72"/>
      <c r="C32" s="72"/>
      <c r="D32" s="111">
        <f>'Customer Info'!$B$22+'Customer Info'!$B$23</f>
        <v>0</v>
      </c>
      <c r="E32" s="97" t="s">
        <v>19</v>
      </c>
      <c r="F32" s="84" t="s">
        <v>82</v>
      </c>
      <c r="G32" s="100">
        <f>'Rider Rates'!B22</f>
        <v>7.0209999999999995E-2</v>
      </c>
      <c r="H32" s="100"/>
      <c r="I32" s="100"/>
      <c r="J32" s="115">
        <f>SUM(G32:H32)</f>
        <v>7.0209999999999995E-2</v>
      </c>
      <c r="K32" s="94" t="s">
        <v>87</v>
      </c>
      <c r="L32" s="89">
        <f>ROUND(D32*G32,2)</f>
        <v>0</v>
      </c>
      <c r="M32" s="89"/>
      <c r="N32" s="89"/>
      <c r="O32" s="89">
        <f t="shared" si="3"/>
        <v>0</v>
      </c>
      <c r="P32" s="92">
        <f>'Rider Rates'!$D$21</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159</v>
      </c>
      <c r="B33" s="72"/>
      <c r="C33" s="72"/>
      <c r="D33" s="111">
        <f>'Customer Info'!$B$23</f>
        <v>0</v>
      </c>
      <c r="E33" s="97" t="s">
        <v>19</v>
      </c>
      <c r="F33" s="84" t="s">
        <v>82</v>
      </c>
      <c r="G33" s="100">
        <f>'Rider Rates'!B33</f>
        <v>1.8998000000000001E-3</v>
      </c>
      <c r="H33" s="100"/>
      <c r="I33" s="100"/>
      <c r="J33" s="115">
        <f>SUM(G33:H33)</f>
        <v>1.8998000000000001E-3</v>
      </c>
      <c r="K33" s="94" t="s">
        <v>87</v>
      </c>
      <c r="L33" s="89">
        <f>ROUND(D33*G33,2)</f>
        <v>0</v>
      </c>
      <c r="M33" s="89"/>
      <c r="N33" s="89"/>
      <c r="O33" s="89">
        <f t="shared" si="3"/>
        <v>0</v>
      </c>
      <c r="P33" s="92">
        <f>'Rider Rates'!$D$32</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2" t="s">
        <v>160</v>
      </c>
      <c r="B34" s="72"/>
      <c r="C34" s="72"/>
      <c r="D34" s="111">
        <f>'Customer Info'!$B$22</f>
        <v>0</v>
      </c>
      <c r="E34" s="97" t="s">
        <v>19</v>
      </c>
      <c r="F34" s="84" t="s">
        <v>82</v>
      </c>
      <c r="G34" s="100">
        <f>'Rider Rates'!B32</f>
        <v>5.5376999999999996E-3</v>
      </c>
      <c r="H34" s="100"/>
      <c r="I34" s="100"/>
      <c r="J34" s="115">
        <f>SUM(G34:H34)</f>
        <v>5.5376999999999996E-3</v>
      </c>
      <c r="K34" s="94" t="s">
        <v>87</v>
      </c>
      <c r="L34" s="89">
        <f>ROUND(D34*G34,2)</f>
        <v>0</v>
      </c>
      <c r="M34" s="89"/>
      <c r="N34" s="89"/>
      <c r="O34" s="89">
        <f t="shared" si="3"/>
        <v>0</v>
      </c>
      <c r="P34" s="92">
        <f>'Rider Rates'!$D$33</f>
        <v>45444</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97</v>
      </c>
      <c r="B35" s="72"/>
      <c r="C35" s="72"/>
      <c r="D35" s="111">
        <f>'Customer Info'!$B$22+'Customer Info'!$B$23</f>
        <v>0</v>
      </c>
      <c r="E35" s="97" t="s">
        <v>19</v>
      </c>
      <c r="F35" s="84" t="s">
        <v>82</v>
      </c>
      <c r="G35" s="100">
        <f>'Rider Rates'!B49</f>
        <v>4.5009999999999999E-4</v>
      </c>
      <c r="H35" s="100"/>
      <c r="I35" s="100"/>
      <c r="J35" s="115">
        <f>SUM(G35:H35)</f>
        <v>4.5009999999999999E-4</v>
      </c>
      <c r="K35" s="94" t="s">
        <v>87</v>
      </c>
      <c r="L35" s="89">
        <f>ROUND(D35*G35,2)</f>
        <v>0</v>
      </c>
      <c r="M35" s="89"/>
      <c r="N35" s="89"/>
      <c r="O35" s="89">
        <f>SUM(L35:N35)</f>
        <v>0</v>
      </c>
      <c r="P35" s="92">
        <f>'Rider Rates'!$D$49</f>
        <v>45657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2" t="s">
        <v>98</v>
      </c>
      <c r="B36" s="72"/>
      <c r="C36" s="72"/>
      <c r="D36" s="111"/>
      <c r="E36" s="97" t="s">
        <v>57</v>
      </c>
      <c r="F36" s="84" t="s">
        <v>2</v>
      </c>
      <c r="G36" s="100"/>
      <c r="H36" s="100"/>
      <c r="I36" s="100">
        <f>'Rider Rates'!D52</f>
        <v>1.17</v>
      </c>
      <c r="J36" s="100">
        <f>SUM(G36:I36)</f>
        <v>1.17</v>
      </c>
      <c r="K36" s="94" t="s">
        <v>87</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99</v>
      </c>
      <c r="B37" s="72"/>
      <c r="C37" s="72"/>
      <c r="D37" s="111">
        <f>IF($C$15&lt;0,0,$C$15)</f>
        <v>0</v>
      </c>
      <c r="E37" s="97" t="s">
        <v>19</v>
      </c>
      <c r="F37" s="84" t="s">
        <v>82</v>
      </c>
      <c r="G37" s="100"/>
      <c r="H37" s="100">
        <f>'Rider Rates'!$B$59</f>
        <v>4.3837099999999997E-2</v>
      </c>
      <c r="I37" s="100"/>
      <c r="J37" s="100">
        <f>SUM(G37:I37)</f>
        <v>4.3837099999999997E-2</v>
      </c>
      <c r="K37" s="94" t="s">
        <v>87</v>
      </c>
      <c r="L37" s="89"/>
      <c r="M37" s="89">
        <f>ROUND(D37*H37,2)</f>
        <v>0</v>
      </c>
      <c r="N37" s="116"/>
      <c r="O37" s="89">
        <f t="shared" si="3"/>
        <v>0</v>
      </c>
      <c r="P37" s="92">
        <f>'Rider Rates'!$D$59</f>
        <v>45383</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100</v>
      </c>
      <c r="B38" s="72"/>
      <c r="C38" s="72"/>
      <c r="D38" s="111">
        <f>IF($C$15&lt;0,0,$C$15)</f>
        <v>0</v>
      </c>
      <c r="E38" s="97" t="s">
        <v>19</v>
      </c>
      <c r="F38" s="84" t="s">
        <v>82</v>
      </c>
      <c r="G38" s="100"/>
      <c r="H38" s="100"/>
      <c r="I38" s="100">
        <f>'Rider Rates'!$B$70</f>
        <v>8.6240000000000004E-4</v>
      </c>
      <c r="J38" s="100">
        <f t="shared" ref="J38" si="4">SUM(G38:I38)</f>
        <v>8.6240000000000004E-4</v>
      </c>
      <c r="K38" s="94" t="s">
        <v>87</v>
      </c>
      <c r="L38" s="89"/>
      <c r="M38" s="89"/>
      <c r="N38" s="89">
        <f>ROUND($D$38*'Rider Rates'!$B$70,2)</f>
        <v>0</v>
      </c>
      <c r="O38" s="89">
        <f t="shared" ref="O38" si="5">SUM(L38:N38)</f>
        <v>0</v>
      </c>
      <c r="P38" s="92">
        <f>'Rider Rates'!$D$70</f>
        <v>45532</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101</v>
      </c>
      <c r="B39" s="72"/>
      <c r="C39" s="72"/>
      <c r="D39" s="111">
        <f>IF('Customer Info'!C35=TRUE,0,IF($C$15&lt;0,0,$C$15))</f>
        <v>0</v>
      </c>
      <c r="E39" s="97" t="s">
        <v>19</v>
      </c>
      <c r="F39" s="84" t="s">
        <v>82</v>
      </c>
      <c r="G39" s="100"/>
      <c r="H39" s="100"/>
      <c r="I39" s="100">
        <f>'Rider Rates'!$B$73+'Rider Rates'!$C$73</f>
        <v>0</v>
      </c>
      <c r="J39" s="100">
        <f t="shared" si="0"/>
        <v>0</v>
      </c>
      <c r="K39" s="94" t="s">
        <v>87</v>
      </c>
      <c r="L39" s="89"/>
      <c r="M39" s="89"/>
      <c r="N39" s="89">
        <f>ROUND($D$39*'Rider Rates'!$B$73,2)+ROUND($D$39*'Rider Rates'!$C$73,2)</f>
        <v>0</v>
      </c>
      <c r="O39" s="89">
        <f t="shared" si="2"/>
        <v>0</v>
      </c>
      <c r="P39" s="92">
        <f>'Rider Rates'!$D$73</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102</v>
      </c>
      <c r="B40" s="72"/>
      <c r="C40" s="72"/>
      <c r="D40" s="113">
        <f>$N$21</f>
        <v>10</v>
      </c>
      <c r="E40" s="97" t="s">
        <v>94</v>
      </c>
      <c r="F40" s="84" t="s">
        <v>82</v>
      </c>
      <c r="G40" s="117"/>
      <c r="H40" s="118"/>
      <c r="I40" s="119">
        <f>'Rider Rates'!$B$89</f>
        <v>4.94232E-2</v>
      </c>
      <c r="J40" s="119">
        <f t="shared" si="0"/>
        <v>4.94232E-2</v>
      </c>
      <c r="K40" s="94"/>
      <c r="L40" s="89"/>
      <c r="M40" s="89"/>
      <c r="N40" s="89">
        <f>ROUND(D40*I40,2)</f>
        <v>0.49</v>
      </c>
      <c r="O40" s="89">
        <f t="shared" si="2"/>
        <v>0.49</v>
      </c>
      <c r="P40" s="92">
        <f>'Rider Rates'!$D$89</f>
        <v>45562</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103</v>
      </c>
      <c r="B41" s="72"/>
      <c r="C41" s="72"/>
      <c r="D41" s="113">
        <f>$N$21</f>
        <v>10</v>
      </c>
      <c r="E41" s="97" t="s">
        <v>94</v>
      </c>
      <c r="F41" s="84" t="s">
        <v>82</v>
      </c>
      <c r="G41" s="120"/>
      <c r="H41" s="85"/>
      <c r="I41" s="119">
        <f>'Rider Rates'!$B$91</f>
        <v>6.6985699999999995E-2</v>
      </c>
      <c r="J41" s="119">
        <f t="shared" si="0"/>
        <v>6.6985699999999995E-2</v>
      </c>
      <c r="K41" s="94"/>
      <c r="L41" s="89"/>
      <c r="M41" s="89"/>
      <c r="N41" s="89">
        <f>ROUND(D41*I41,2)</f>
        <v>0.67</v>
      </c>
      <c r="O41" s="89">
        <f t="shared" si="2"/>
        <v>0.67</v>
      </c>
      <c r="P41" s="92">
        <f>'Rider Rates'!$D$91</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104</v>
      </c>
      <c r="B42" s="72"/>
      <c r="C42" s="72"/>
      <c r="D42" s="113"/>
      <c r="E42" s="97" t="s">
        <v>57</v>
      </c>
      <c r="F42" s="84"/>
      <c r="G42" s="120"/>
      <c r="H42" s="85"/>
      <c r="I42" s="121">
        <f>'Rider Rates'!$B$94</f>
        <v>2.08</v>
      </c>
      <c r="J42" s="121">
        <f t="shared" si="0"/>
        <v>2.08</v>
      </c>
      <c r="K42" s="94"/>
      <c r="L42" s="89"/>
      <c r="M42" s="89"/>
      <c r="N42" s="89">
        <f>I42</f>
        <v>2.08</v>
      </c>
      <c r="O42" s="89">
        <f t="shared" si="2"/>
        <v>2.08</v>
      </c>
      <c r="P42" s="92">
        <f>'Rider Rates'!$D$94</f>
        <v>45657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105</v>
      </c>
      <c r="B43" s="72"/>
      <c r="C43" s="72"/>
      <c r="D43" s="111">
        <f>IF($C$15&lt;0,0,$C$15)</f>
        <v>0</v>
      </c>
      <c r="E43" s="97" t="s">
        <v>19</v>
      </c>
      <c r="F43" s="84" t="s">
        <v>82</v>
      </c>
      <c r="G43" s="100"/>
      <c r="H43" s="100"/>
      <c r="I43" s="100"/>
      <c r="J43" s="100">
        <f>'Rider Rates'!$B$98</f>
        <v>0</v>
      </c>
      <c r="K43" s="94" t="s">
        <v>87</v>
      </c>
      <c r="L43" s="89"/>
      <c r="M43" s="89"/>
      <c r="N43" s="89"/>
      <c r="O43" s="89">
        <f>ROUND($D43*('Rider Rates'!B$98),2)</f>
        <v>0</v>
      </c>
      <c r="P43" s="92">
        <f>'Rider Rates'!$D$98</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106</v>
      </c>
      <c r="B44" s="72"/>
      <c r="C44" s="72"/>
      <c r="D44" s="113">
        <f>$N$21</f>
        <v>10</v>
      </c>
      <c r="E44" s="97" t="s">
        <v>94</v>
      </c>
      <c r="F44" s="84" t="s">
        <v>82</v>
      </c>
      <c r="G44" s="120"/>
      <c r="H44" s="85"/>
      <c r="I44" s="119">
        <f>'Rider Rates'!$B$109</f>
        <v>0.2363101</v>
      </c>
      <c r="J44" s="119">
        <f t="shared" si="0"/>
        <v>0.2363101</v>
      </c>
      <c r="K44" s="94"/>
      <c r="L44" s="89"/>
      <c r="M44" s="89"/>
      <c r="N44" s="89">
        <f>ROUND(D44*I44,2)</f>
        <v>2.36</v>
      </c>
      <c r="O44" s="89">
        <f t="shared" si="2"/>
        <v>2.36</v>
      </c>
      <c r="P44" s="92">
        <f>'Rider Rates'!$D$109</f>
        <v>45622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107</v>
      </c>
      <c r="B45" s="72"/>
      <c r="C45" s="72"/>
      <c r="D45" s="113"/>
      <c r="E45" s="97" t="s">
        <v>57</v>
      </c>
      <c r="F45" s="84"/>
      <c r="G45" s="120"/>
      <c r="H45" s="85"/>
      <c r="I45" s="121">
        <f>'Rider Rates'!$B$112</f>
        <v>0</v>
      </c>
      <c r="J45" s="121">
        <f t="shared" si="0"/>
        <v>0</v>
      </c>
      <c r="K45" s="94"/>
      <c r="L45" s="89"/>
      <c r="M45" s="89"/>
      <c r="N45" s="89">
        <f>I45</f>
        <v>0</v>
      </c>
      <c r="O45" s="89">
        <f t="shared" si="2"/>
        <v>0</v>
      </c>
      <c r="P45" s="92">
        <f>'Rider Rates'!$D$112</f>
        <v>44894</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108</v>
      </c>
      <c r="B46" s="72"/>
      <c r="C46" s="72"/>
      <c r="D46" s="113"/>
      <c r="E46" s="97" t="s">
        <v>57</v>
      </c>
      <c r="F46" s="84"/>
      <c r="G46" s="120"/>
      <c r="H46" s="85"/>
      <c r="I46" s="123">
        <f>'Rider Rates'!B125</f>
        <v>0.97</v>
      </c>
      <c r="J46" s="121">
        <f t="shared" si="0"/>
        <v>0.97</v>
      </c>
      <c r="K46" s="94"/>
      <c r="L46" s="89"/>
      <c r="M46" s="89"/>
      <c r="N46" s="125">
        <f>I46</f>
        <v>0.97</v>
      </c>
      <c r="O46" s="89">
        <f t="shared" si="2"/>
        <v>0.97</v>
      </c>
      <c r="P46" s="92">
        <f>'Rider Rates'!D125</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109</v>
      </c>
      <c r="B47" s="72"/>
      <c r="C47" s="72"/>
      <c r="D47" s="111">
        <f>'Customer Info'!$B$22+'Customer Info'!$B$23</f>
        <v>0</v>
      </c>
      <c r="E47" s="97" t="s">
        <v>19</v>
      </c>
      <c r="F47" s="84" t="s">
        <v>82</v>
      </c>
      <c r="G47" s="100">
        <f>'Rider Rates'!$B$116</f>
        <v>3.8972999999999998E-3</v>
      </c>
      <c r="H47" s="100"/>
      <c r="I47" s="119"/>
      <c r="J47" s="115">
        <f>SUM(G47:H47)</f>
        <v>3.8972999999999998E-3</v>
      </c>
      <c r="K47" s="94" t="s">
        <v>87</v>
      </c>
      <c r="L47" s="89">
        <f>ROUND(D47*G47,2)</f>
        <v>0</v>
      </c>
      <c r="M47" s="89"/>
      <c r="N47" s="89"/>
      <c r="O47" s="89">
        <f t="shared" si="2"/>
        <v>0</v>
      </c>
      <c r="P47" s="92">
        <f>'Rider Rates'!$D$116</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110</v>
      </c>
      <c r="B48" s="72"/>
      <c r="C48" s="72"/>
      <c r="D48" s="111">
        <f>IF($C$15&lt;1,0,$C$15)</f>
        <v>0</v>
      </c>
      <c r="E48" s="97" t="s">
        <v>19</v>
      </c>
      <c r="F48" s="126" t="s">
        <v>82</v>
      </c>
      <c r="G48" s="99"/>
      <c r="H48" s="99"/>
      <c r="I48" s="183">
        <f>'Rider Rates'!B121</f>
        <v>0</v>
      </c>
      <c r="J48" s="183">
        <f>SUM(G48:I48)</f>
        <v>0</v>
      </c>
      <c r="K48" s="94" t="s">
        <v>87</v>
      </c>
      <c r="L48" s="89"/>
      <c r="M48" s="89"/>
      <c r="N48" s="89">
        <f>D48*J48</f>
        <v>0</v>
      </c>
      <c r="O48" s="89">
        <f>SUM(L48:N48)</f>
        <v>0</v>
      </c>
      <c r="P48" s="92">
        <f>'Rider Rates'!D121</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2" t="s">
        <v>111</v>
      </c>
      <c r="B49" s="72"/>
      <c r="C49" s="72"/>
      <c r="D49" s="111"/>
      <c r="E49" s="97" t="s">
        <v>57</v>
      </c>
      <c r="F49" s="84" t="s">
        <v>82</v>
      </c>
      <c r="G49" s="127"/>
      <c r="H49" s="127"/>
      <c r="I49" s="127">
        <f>'Rider Rates'!$B$129</f>
        <v>0.1</v>
      </c>
      <c r="J49" s="127">
        <f>SUM(G49:I49)</f>
        <v>0.1</v>
      </c>
      <c r="K49" s="94"/>
      <c r="L49" s="128"/>
      <c r="M49" s="128"/>
      <c r="N49" s="128">
        <f>J49</f>
        <v>0.1</v>
      </c>
      <c r="O49" s="128">
        <f>SUM(L49:N49)</f>
        <v>0.1</v>
      </c>
      <c r="P49" s="129">
        <f>'Rider Rates'!$E$129</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112</v>
      </c>
      <c r="B50" s="72"/>
      <c r="C50" s="72"/>
      <c r="D50" s="111">
        <f>C15</f>
        <v>0</v>
      </c>
      <c r="E50" s="97" t="s">
        <v>19</v>
      </c>
      <c r="F50" s="126" t="s">
        <v>82</v>
      </c>
      <c r="G50" s="100"/>
      <c r="H50" s="100"/>
      <c r="I50" s="100">
        <f>'Rider Rates'!$B$134</f>
        <v>0</v>
      </c>
      <c r="J50" s="115">
        <f>SUM(G50:I50)</f>
        <v>0</v>
      </c>
      <c r="K50" s="94" t="s">
        <v>87</v>
      </c>
      <c r="L50" s="89"/>
      <c r="M50" s="89"/>
      <c r="N50" s="89">
        <f>D50*J50</f>
        <v>0</v>
      </c>
      <c r="O50" s="89">
        <f>SUM(L50:N50)</f>
        <v>0</v>
      </c>
      <c r="P50" s="92">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113</v>
      </c>
      <c r="B51" s="72"/>
      <c r="C51" s="72"/>
      <c r="D51" s="111"/>
      <c r="E51" s="97" t="s">
        <v>57</v>
      </c>
      <c r="F51" s="84" t="s">
        <v>82</v>
      </c>
      <c r="G51" s="127"/>
      <c r="H51" s="127"/>
      <c r="I51" s="127">
        <f>'Rider Rates'!$B$141</f>
        <v>0</v>
      </c>
      <c r="J51" s="127">
        <f>SUM(G51:I51)</f>
        <v>0</v>
      </c>
      <c r="K51" s="94"/>
      <c r="L51" s="128"/>
      <c r="M51" s="128"/>
      <c r="N51" s="128">
        <f>J51</f>
        <v>0</v>
      </c>
      <c r="O51" s="128">
        <f>SUM(L51:N51)</f>
        <v>0</v>
      </c>
      <c r="P51" s="129">
        <f>'Rider Rates'!$D$137</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114</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130" t="s">
        <v>115</v>
      </c>
      <c r="B53" s="69"/>
      <c r="C53" s="69"/>
      <c r="D53" s="131"/>
      <c r="E53" s="132"/>
      <c r="F53" s="133"/>
      <c r="G53" s="133"/>
      <c r="H53" s="133"/>
      <c r="I53" s="133"/>
      <c r="J53" s="133"/>
      <c r="K53" s="134"/>
      <c r="L53" s="105">
        <f>SUM(L25:L52)</f>
        <v>0</v>
      </c>
      <c r="M53" s="105">
        <f>SUM(M25:M52)</f>
        <v>0</v>
      </c>
      <c r="N53" s="105">
        <f>SUM(N25:N52)</f>
        <v>7.839999999999999</v>
      </c>
      <c r="O53" s="105">
        <f>SUM(O25:O52)</f>
        <v>7.839999999999999</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c r="B54" s="72"/>
      <c r="C54" s="72"/>
      <c r="D54" s="111"/>
      <c r="E54" s="97"/>
      <c r="F54" s="84"/>
      <c r="G54" s="84"/>
      <c r="H54" s="84"/>
      <c r="I54" s="84"/>
      <c r="J54" s="101"/>
      <c r="K54" s="94"/>
      <c r="L54" s="84"/>
      <c r="M54" s="84"/>
      <c r="N54" s="84"/>
      <c r="O54" s="84"/>
      <c r="P54" s="137"/>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106"/>
      <c r="B55" s="106"/>
      <c r="C55" s="106"/>
      <c r="D55" s="106"/>
      <c r="E55" s="106"/>
      <c r="F55" s="106"/>
      <c r="G55" s="106"/>
      <c r="H55" s="106"/>
      <c r="I55" s="106"/>
      <c r="J55" s="106"/>
      <c r="K55" s="106"/>
      <c r="L55" s="139">
        <f>L21+L53</f>
        <v>0</v>
      </c>
      <c r="M55" s="139">
        <f>M21+M53</f>
        <v>0</v>
      </c>
      <c r="N55" s="139">
        <f>N21+N53</f>
        <v>17.84</v>
      </c>
      <c r="O55" s="140">
        <f>O21+O53</f>
        <v>17.84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84"/>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85"/>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02" t="s">
        <v>117</v>
      </c>
      <c r="B58" s="72"/>
      <c r="C58" s="72"/>
      <c r="D58" s="102"/>
      <c r="E58" s="72"/>
      <c r="F58" s="72"/>
      <c r="G58" s="72"/>
      <c r="H58" s="72"/>
      <c r="I58" s="72"/>
      <c r="J58" s="72"/>
      <c r="K58" s="72"/>
      <c r="L58" s="72"/>
      <c r="M58" s="72"/>
      <c r="N58" s="72"/>
      <c r="O58" s="95">
        <f>IF($C$15&lt;=0,MIN(O19,O55), O19)</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85"/>
      <c r="B59" s="102"/>
      <c r="C59" s="102"/>
      <c r="D59" s="102"/>
      <c r="E59" s="102"/>
      <c r="F59" s="102"/>
      <c r="G59" s="102"/>
      <c r="H59" s="102"/>
      <c r="I59" s="72"/>
      <c r="J59" s="72"/>
      <c r="K59" s="72"/>
      <c r="L59" s="72"/>
      <c r="M59" s="72"/>
      <c r="N59" s="72"/>
      <c r="O59" s="72"/>
      <c r="P59" s="72"/>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69" t="s">
        <v>118</v>
      </c>
      <c r="B60" s="72"/>
      <c r="C60" s="72"/>
      <c r="D60" s="72"/>
      <c r="E60" s="72"/>
      <c r="F60" s="72"/>
      <c r="G60" s="72"/>
      <c r="H60" s="72"/>
      <c r="I60" s="72"/>
      <c r="J60" s="72"/>
      <c r="K60" s="72"/>
      <c r="L60" s="72"/>
      <c r="M60" s="72"/>
      <c r="N60" s="72"/>
      <c r="O60" s="141">
        <f>IF($C$15&lt;0,O55,IF(O55&gt;O58,O55,O58))</f>
        <v>17.84</v>
      </c>
      <c r="P60" s="84"/>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85"/>
    </row>
    <row r="62" spans="1:221" x14ac:dyDescent="0.25">
      <c r="A62" s="185"/>
      <c r="I62" s="102" t="s">
        <v>119</v>
      </c>
      <c r="J62" s="102"/>
      <c r="K62" s="102"/>
      <c r="L62" s="143"/>
      <c r="M62" s="143"/>
      <c r="N62" s="143"/>
      <c r="O62" s="143">
        <f>ROUND(IF($C$15&lt;1,0,O55/($C$15*100)*10000),2)</f>
        <v>0</v>
      </c>
      <c r="P62" s="144" t="s">
        <v>120</v>
      </c>
    </row>
    <row r="63" spans="1:221" x14ac:dyDescent="0.25">
      <c r="A63" s="185"/>
      <c r="I63" s="146" t="s">
        <v>121</v>
      </c>
      <c r="J63" s="72"/>
      <c r="K63" s="72"/>
      <c r="L63" s="72"/>
      <c r="M63" s="72"/>
      <c r="N63" s="72"/>
      <c r="O63" s="147">
        <f>ROUND(IF($C$15&lt;1,0,(L55)/($C$15*100)*10000),2)</f>
        <v>0</v>
      </c>
      <c r="P63" s="59" t="s">
        <v>120</v>
      </c>
    </row>
    <row r="64" spans="1:221" x14ac:dyDescent="0.25">
      <c r="A64" s="185"/>
    </row>
    <row r="65" spans="1:1" x14ac:dyDescent="0.25">
      <c r="A65" s="185"/>
    </row>
    <row r="66" spans="1:1" x14ac:dyDescent="0.25">
      <c r="A66" s="185"/>
    </row>
    <row r="67" spans="1:1" x14ac:dyDescent="0.25">
      <c r="A67" s="185"/>
    </row>
    <row r="68" spans="1:1" x14ac:dyDescent="0.25">
      <c r="A68" s="185"/>
    </row>
    <row r="69" spans="1:1" x14ac:dyDescent="0.25">
      <c r="A69" s="185"/>
    </row>
    <row r="70" spans="1:1" x14ac:dyDescent="0.25">
      <c r="A70" s="185"/>
    </row>
  </sheetData>
  <sheetProtection algorithmName="SHA-512" hashValue="2LwarWAfmV9IG+dz+UrjcEbf7+UeiYhWGjNEb8itJzW77ytBH32yG7L+WzedPePvVMyOQDyntT0fftbOPgvn7A==" saltValue="ySzTwa0n3T7Er8hz4YtqP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411480</xdr:colOff>
                    <xdr:row>78</xdr:row>
                    <xdr:rowOff>30480</xdr:rowOff>
                  </from>
                  <to>
                    <xdr:col>14</xdr:col>
                    <xdr:colOff>754380</xdr:colOff>
                    <xdr:row>79</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4"/>
  <sheetViews>
    <sheetView showGridLines="0" topLeftCell="A25" zoomScale="80" zoomScaleNormal="80" workbookViewId="0">
      <selection activeCell="B22" sqref="B2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3" t="s">
        <v>52</v>
      </c>
      <c r="B1" s="433"/>
      <c r="C1" s="433"/>
      <c r="D1" s="433"/>
      <c r="E1" s="433"/>
      <c r="F1" s="433"/>
      <c r="G1" s="433"/>
      <c r="H1" s="433"/>
      <c r="I1" s="433"/>
      <c r="J1" s="433"/>
      <c r="K1" s="433"/>
      <c r="L1" s="433"/>
      <c r="M1" s="433"/>
      <c r="N1" s="433"/>
      <c r="O1" s="433"/>
      <c r="P1" s="433"/>
      <c r="Q1" s="52"/>
    </row>
    <row r="2" spans="1:59" ht="18" customHeight="1" x14ac:dyDescent="0.25">
      <c r="A2" s="434" t="s">
        <v>161</v>
      </c>
      <c r="B2" s="434"/>
      <c r="C2" s="434"/>
      <c r="D2" s="434"/>
      <c r="E2" s="434"/>
      <c r="F2" s="434"/>
      <c r="G2" s="434"/>
      <c r="H2" s="434"/>
      <c r="I2" s="434"/>
      <c r="J2" s="434"/>
      <c r="K2" s="434"/>
      <c r="L2" s="434"/>
      <c r="M2" s="434"/>
      <c r="N2" s="434"/>
      <c r="O2" s="434"/>
      <c r="P2" s="434"/>
    </row>
    <row r="3" spans="1:59" ht="17.399999999999999" x14ac:dyDescent="0.3">
      <c r="A3" s="434"/>
      <c r="B3" s="434"/>
      <c r="C3" s="434"/>
      <c r="D3" s="434"/>
      <c r="E3" s="434"/>
      <c r="F3" s="434"/>
      <c r="G3" s="434"/>
      <c r="H3" s="434"/>
      <c r="I3" s="434"/>
      <c r="J3" s="434"/>
      <c r="K3" s="434"/>
      <c r="L3" s="434"/>
      <c r="M3" s="434"/>
      <c r="N3" s="434"/>
      <c r="O3" s="434"/>
      <c r="P3" s="434"/>
      <c r="Q3" s="53"/>
    </row>
    <row r="4" spans="1:59" ht="15.6" x14ac:dyDescent="0.3">
      <c r="A4" s="435" t="str">
        <f>'Customer Info'!$B$12</f>
        <v>Breakdown of Charges Based on Entered Information</v>
      </c>
      <c r="B4" s="435"/>
      <c r="C4" s="435"/>
      <c r="D4" s="435"/>
      <c r="E4" s="435"/>
      <c r="F4" s="435"/>
      <c r="G4" s="435"/>
      <c r="H4" s="435"/>
      <c r="I4" s="435"/>
      <c r="J4" s="435"/>
      <c r="K4" s="435"/>
      <c r="L4" s="435"/>
      <c r="M4" s="435"/>
      <c r="N4" s="435"/>
      <c r="O4" s="435"/>
      <c r="P4" s="435"/>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45656</v>
      </c>
      <c r="B6" s="436" t="s">
        <v>162</v>
      </c>
      <c r="C6" s="436"/>
      <c r="D6" s="436"/>
      <c r="E6" s="436"/>
      <c r="F6" s="436"/>
      <c r="G6" s="436"/>
      <c r="H6" s="436"/>
      <c r="I6" s="436"/>
      <c r="J6" s="436"/>
      <c r="K6" s="436"/>
      <c r="L6" s="436"/>
      <c r="M6" s="436"/>
      <c r="N6" s="436"/>
      <c r="O6" s="436"/>
    </row>
    <row r="7" spans="1:59" x14ac:dyDescent="0.25">
      <c r="A7" s="437" t="s">
        <v>2</v>
      </c>
      <c r="B7" s="437"/>
      <c r="C7" s="437"/>
      <c r="D7" s="437"/>
      <c r="E7" s="437"/>
      <c r="F7" s="437"/>
      <c r="G7" s="437"/>
      <c r="H7" s="437"/>
      <c r="I7" s="437"/>
      <c r="J7" s="437"/>
      <c r="K7" s="437"/>
    </row>
    <row r="9" spans="1:59" ht="15" x14ac:dyDescent="0.25">
      <c r="A9" s="57" t="s">
        <v>5</v>
      </c>
      <c r="B9" s="58"/>
      <c r="C9" s="59">
        <f>'Customer Info'!B7</f>
        <v>0</v>
      </c>
      <c r="I9" s="60"/>
    </row>
    <row r="10" spans="1:59" ht="15" x14ac:dyDescent="0.25">
      <c r="A10" s="61" t="s">
        <v>55</v>
      </c>
      <c r="B10" s="58"/>
      <c r="C10" s="59">
        <f>'Customer Info'!B8</f>
        <v>0</v>
      </c>
    </row>
    <row r="11" spans="1:59" x14ac:dyDescent="0.25">
      <c r="A11" s="57" t="s">
        <v>56</v>
      </c>
      <c r="B11" s="62">
        <f>'Customer Info'!B9</f>
        <v>1</v>
      </c>
      <c r="C11" s="63" t="str">
        <f>LOOKUP($B$11,$S$11:$AD$11,S12:AD12)</f>
        <v>January</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57</v>
      </c>
      <c r="S12" s="68" t="s">
        <v>58</v>
      </c>
      <c r="T12" s="68" t="s">
        <v>59</v>
      </c>
      <c r="U12" s="68" t="s">
        <v>60</v>
      </c>
      <c r="V12" s="68" t="s">
        <v>61</v>
      </c>
      <c r="W12" s="68" t="s">
        <v>62</v>
      </c>
      <c r="X12" s="68" t="s">
        <v>63</v>
      </c>
      <c r="Y12" s="68" t="s">
        <v>64</v>
      </c>
      <c r="Z12" s="68" t="s">
        <v>65</v>
      </c>
      <c r="AA12" s="68" t="s">
        <v>66</v>
      </c>
      <c r="AB12" s="68" t="s">
        <v>67</v>
      </c>
      <c r="AC12" s="68" t="s">
        <v>68</v>
      </c>
      <c r="AD12" s="68" t="s">
        <v>69</v>
      </c>
    </row>
    <row r="13" spans="1:59" ht="15" x14ac:dyDescent="0.25">
      <c r="A13" s="69" t="s">
        <v>70</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5">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71</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163</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72</v>
      </c>
      <c r="B23" s="72"/>
      <c r="C23" s="72"/>
      <c r="D23" s="72"/>
      <c r="E23" s="72"/>
      <c r="F23" s="72"/>
      <c r="G23" s="438" t="s">
        <v>73</v>
      </c>
      <c r="H23" s="439"/>
      <c r="I23" s="439"/>
      <c r="J23" s="440"/>
      <c r="K23" s="83"/>
      <c r="L23" s="441" t="s">
        <v>74</v>
      </c>
      <c r="M23" s="442"/>
      <c r="N23" s="442"/>
      <c r="O23" s="443"/>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75</v>
      </c>
      <c r="H24" s="85" t="s">
        <v>76</v>
      </c>
      <c r="I24" s="85" t="s">
        <v>77</v>
      </c>
      <c r="J24" s="85" t="s">
        <v>78</v>
      </c>
      <c r="K24" s="72"/>
      <c r="L24" s="86" t="s">
        <v>75</v>
      </c>
      <c r="M24" s="86" t="s">
        <v>76</v>
      </c>
      <c r="N24" s="86" t="s">
        <v>77</v>
      </c>
      <c r="O24" s="86" t="s">
        <v>78</v>
      </c>
      <c r="P24" s="87" t="s">
        <v>79</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80</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81</v>
      </c>
      <c r="B26" s="72"/>
      <c r="C26" s="72"/>
      <c r="D26" s="4">
        <f>MAX($D$17,0)</f>
        <v>0</v>
      </c>
      <c r="E26" s="97" t="s">
        <v>19</v>
      </c>
      <c r="F26" s="84" t="s">
        <v>82</v>
      </c>
      <c r="G26" s="98"/>
      <c r="H26" s="89"/>
      <c r="I26" s="99">
        <v>1.3156299999999999E-2</v>
      </c>
      <c r="J26" s="100">
        <f>SUM(G26:I26)</f>
        <v>1.3156299999999999E-2</v>
      </c>
      <c r="K26" s="94" t="s">
        <v>83</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76" t="s">
        <v>164</v>
      </c>
      <c r="B27" s="72"/>
      <c r="C27" s="72"/>
      <c r="D27" s="4">
        <f>D18</f>
        <v>0</v>
      </c>
      <c r="E27" s="97" t="s">
        <v>13</v>
      </c>
      <c r="F27" s="126" t="s">
        <v>82</v>
      </c>
      <c r="G27" s="98"/>
      <c r="H27" s="89"/>
      <c r="I27" s="99">
        <v>2.14</v>
      </c>
      <c r="J27" s="100">
        <f>SUM(G27:I27)</f>
        <v>2.14</v>
      </c>
      <c r="K27" s="94" t="s">
        <v>165</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2" t="s">
        <v>84</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5">
      <c r="A30" s="69" t="s">
        <v>85</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86</v>
      </c>
      <c r="B32" s="110"/>
      <c r="C32" s="110"/>
      <c r="D32" s="111">
        <f>IF($D$17&lt;0,0,IF($D$17&gt;833000,833000,$D$17))</f>
        <v>0</v>
      </c>
      <c r="E32" s="97" t="s">
        <v>19</v>
      </c>
      <c r="F32" s="84" t="s">
        <v>82</v>
      </c>
      <c r="G32" s="100"/>
      <c r="H32" s="100"/>
      <c r="I32" s="100">
        <f>'Rider Rates'!$B$4</f>
        <v>4.6278999999999999E-3</v>
      </c>
      <c r="J32" s="100">
        <f t="shared" ref="J32:J38" si="0">SUM(G32:I32)</f>
        <v>4.6278999999999999E-3</v>
      </c>
      <c r="K32" s="94" t="s">
        <v>87</v>
      </c>
      <c r="L32" s="89"/>
      <c r="M32" s="89"/>
      <c r="N32" s="89">
        <f t="shared" ref="N32:N37" si="1">ROUND(D32*I32,2)</f>
        <v>0</v>
      </c>
      <c r="O32" s="91">
        <f t="shared" ref="O32:O54"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88</v>
      </c>
      <c r="B33" s="72"/>
      <c r="C33" s="72"/>
      <c r="D33" s="4">
        <f>IF($D$17&gt;833000,$D$17-833000,0)</f>
        <v>0</v>
      </c>
      <c r="E33" s="97" t="s">
        <v>19</v>
      </c>
      <c r="F33" s="84" t="s">
        <v>82</v>
      </c>
      <c r="G33" s="100"/>
      <c r="H33" s="100"/>
      <c r="I33" s="100">
        <f>'Rider Rates'!$B$5</f>
        <v>1.7560000000000001E-4</v>
      </c>
      <c r="J33" s="100">
        <f t="shared" si="0"/>
        <v>1.7560000000000001E-4</v>
      </c>
      <c r="K33" s="94" t="s">
        <v>87</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89</v>
      </c>
      <c r="B34" s="72"/>
      <c r="C34" s="72"/>
      <c r="D34" s="111">
        <f>IF($D$17&lt;0,0,IF($D$17&gt;2000,2000,$D$17))</f>
        <v>0</v>
      </c>
      <c r="E34" s="97" t="s">
        <v>19</v>
      </c>
      <c r="F34" s="84" t="s">
        <v>82</v>
      </c>
      <c r="G34" s="100"/>
      <c r="H34" s="100"/>
      <c r="I34" s="112">
        <f>'Rider Rates'!$B$8</f>
        <v>4.6499999999999996E-3</v>
      </c>
      <c r="J34" s="112">
        <f t="shared" si="0"/>
        <v>4.6499999999999996E-3</v>
      </c>
      <c r="K34" s="94" t="s">
        <v>87</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90</v>
      </c>
      <c r="B35" s="72"/>
      <c r="C35" s="72"/>
      <c r="D35" s="111">
        <f>IF($D$17&lt;=2000,0,IF($D$17=0,0,IF($D$17-2000&gt;13000,13000,$D$17-2000)))</f>
        <v>0</v>
      </c>
      <c r="E35" s="97" t="s">
        <v>19</v>
      </c>
      <c r="F35" s="84" t="s">
        <v>82</v>
      </c>
      <c r="G35" s="100"/>
      <c r="H35" s="100"/>
      <c r="I35" s="112">
        <f>'Rider Rates'!$B$9</f>
        <v>4.1900000000000001E-3</v>
      </c>
      <c r="J35" s="112">
        <f t="shared" si="0"/>
        <v>4.1900000000000001E-3</v>
      </c>
      <c r="K35" s="94" t="s">
        <v>87</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91</v>
      </c>
      <c r="B36" s="72"/>
      <c r="C36" s="72"/>
      <c r="D36" s="111">
        <f>IF($D$17=0,0,IF($D$17-15000&gt;=0,$D$17-15000,0))</f>
        <v>0</v>
      </c>
      <c r="E36" s="97" t="s">
        <v>19</v>
      </c>
      <c r="F36" s="84" t="s">
        <v>82</v>
      </c>
      <c r="G36" s="100"/>
      <c r="H36" s="100"/>
      <c r="I36" s="112">
        <f>'Rider Rates'!$B$10</f>
        <v>3.63E-3</v>
      </c>
      <c r="J36" s="112">
        <f t="shared" si="0"/>
        <v>3.63E-3</v>
      </c>
      <c r="K36" s="94" t="s">
        <v>87</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92</v>
      </c>
      <c r="B37" s="72"/>
      <c r="C37" s="72"/>
      <c r="D37" s="111">
        <f>IF($D$17&lt;0,0,$D$17)</f>
        <v>0</v>
      </c>
      <c r="E37" s="97" t="s">
        <v>19</v>
      </c>
      <c r="F37" s="84" t="s">
        <v>82</v>
      </c>
      <c r="G37" s="100"/>
      <c r="H37" s="100"/>
      <c r="I37" s="100">
        <f>'Rider Rates'!B15</f>
        <v>0</v>
      </c>
      <c r="J37" s="100">
        <f t="shared" si="0"/>
        <v>0</v>
      </c>
      <c r="K37" s="94" t="s">
        <v>87</v>
      </c>
      <c r="L37" s="89"/>
      <c r="M37" s="89"/>
      <c r="N37" s="89">
        <f t="shared" si="1"/>
        <v>0</v>
      </c>
      <c r="O37" s="89">
        <f t="shared" ref="O37:O43" si="3">SUM(L37:N37)</f>
        <v>0</v>
      </c>
      <c r="P37" s="92">
        <f>'Rider Rates'!$D$15</f>
        <v>45505</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93</v>
      </c>
      <c r="B38" s="72"/>
      <c r="C38" s="72"/>
      <c r="D38" s="113">
        <f>$N$28</f>
        <v>10</v>
      </c>
      <c r="E38" s="97" t="s">
        <v>94</v>
      </c>
      <c r="F38" s="84" t="s">
        <v>82</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95</v>
      </c>
      <c r="B39" s="72"/>
      <c r="C39" s="72"/>
      <c r="D39" s="111">
        <f>'Customer Info'!$B$22+'Customer Info'!$B$23-'Customer Info'!$B$24</f>
        <v>0</v>
      </c>
      <c r="E39" s="97" t="s">
        <v>19</v>
      </c>
      <c r="F39" s="84" t="s">
        <v>82</v>
      </c>
      <c r="G39" s="100">
        <f>'Rider Rates'!$B$21</f>
        <v>7.0209999999999995E-2</v>
      </c>
      <c r="H39" s="100"/>
      <c r="I39" s="100"/>
      <c r="J39" s="115">
        <f>SUM(G39:H39)</f>
        <v>7.0209999999999995E-2</v>
      </c>
      <c r="K39" s="94" t="s">
        <v>87</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96</v>
      </c>
      <c r="B40" s="72"/>
      <c r="C40" s="72"/>
      <c r="D40" s="111">
        <f>'Customer Info'!$B$22+'Customer Info'!$B$23-'Customer Info'!$B$24</f>
        <v>0</v>
      </c>
      <c r="E40" s="97" t="s">
        <v>19</v>
      </c>
      <c r="F40" s="84" t="s">
        <v>82</v>
      </c>
      <c r="G40" s="100">
        <f>'Rider Rates'!$B$28</f>
        <v>3.2000000000000002E-3</v>
      </c>
      <c r="H40" s="100"/>
      <c r="I40" s="100"/>
      <c r="J40" s="115">
        <f>SUM(G40:H40)</f>
        <v>3.2000000000000002E-3</v>
      </c>
      <c r="K40" s="94" t="s">
        <v>87</v>
      </c>
      <c r="L40" s="90">
        <f>ROUND($D$40*$G$40,2)</f>
        <v>0</v>
      </c>
      <c r="M40" s="89"/>
      <c r="N40" s="89"/>
      <c r="O40" s="89">
        <f>SUM(L40:N40)</f>
        <v>0</v>
      </c>
      <c r="P40" s="92">
        <f>'Rider Rates'!$D$28</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97</v>
      </c>
      <c r="B41" s="72"/>
      <c r="C41" s="72"/>
      <c r="D41" s="111">
        <f>'Customer Info'!$B$22+'Customer Info'!$B$23-'Customer Info'!$B$24</f>
        <v>0</v>
      </c>
      <c r="E41" s="97" t="s">
        <v>19</v>
      </c>
      <c r="F41" s="84" t="s">
        <v>82</v>
      </c>
      <c r="G41" s="100">
        <f>'Rider Rates'!$B$49</f>
        <v>4.5009999999999999E-4</v>
      </c>
      <c r="H41" s="100"/>
      <c r="I41" s="100"/>
      <c r="J41" s="115">
        <f>SUM(G41:H41)</f>
        <v>4.5009999999999999E-4</v>
      </c>
      <c r="K41" s="94" t="s">
        <v>87</v>
      </c>
      <c r="L41" s="89">
        <f>ROUND(D41*G41,2)</f>
        <v>0</v>
      </c>
      <c r="M41" s="89"/>
      <c r="N41" s="89"/>
      <c r="O41" s="89">
        <f t="shared" si="3"/>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98</v>
      </c>
      <c r="B42" s="72"/>
      <c r="C42" s="72"/>
      <c r="D42" s="111"/>
      <c r="E42" s="97" t="s">
        <v>57</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99</v>
      </c>
      <c r="B43" s="72"/>
      <c r="C43" s="72"/>
      <c r="D43" s="111">
        <f>IF($D$17&lt;0,0,$D$17)</f>
        <v>0</v>
      </c>
      <c r="E43" s="97" t="s">
        <v>19</v>
      </c>
      <c r="F43" s="84" t="s">
        <v>82</v>
      </c>
      <c r="G43" s="100"/>
      <c r="H43" s="100">
        <f>'Rider Rates'!$B$59</f>
        <v>4.3837099999999997E-2</v>
      </c>
      <c r="I43" s="100"/>
      <c r="J43" s="100">
        <f t="shared" si="4"/>
        <v>4.3837099999999997E-2</v>
      </c>
      <c r="K43" s="94" t="s">
        <v>87</v>
      </c>
      <c r="L43" s="89"/>
      <c r="M43" s="89">
        <f>ROUND(D43*H43,2)</f>
        <v>0</v>
      </c>
      <c r="N43" s="116"/>
      <c r="O43" s="89">
        <f t="shared" si="3"/>
        <v>0</v>
      </c>
      <c r="P43" s="92">
        <f>'Rider Rates'!$D$59</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100</v>
      </c>
      <c r="B44" s="72"/>
      <c r="C44" s="72"/>
      <c r="D44" s="111">
        <f>IF($D$17&lt;0,0,$D$17)</f>
        <v>0</v>
      </c>
      <c r="E44" s="97" t="s">
        <v>19</v>
      </c>
      <c r="F44" s="84" t="s">
        <v>82</v>
      </c>
      <c r="G44" s="100"/>
      <c r="H44" s="100"/>
      <c r="I44" s="100">
        <f>'Rider Rates'!$B$70</f>
        <v>8.6240000000000004E-4</v>
      </c>
      <c r="J44" s="100">
        <f t="shared" ref="J44" si="5">SUM(G44:I44)</f>
        <v>8.6240000000000004E-4</v>
      </c>
      <c r="K44" s="94" t="s">
        <v>87</v>
      </c>
      <c r="L44" s="89"/>
      <c r="M44" s="89"/>
      <c r="N44" s="89">
        <f>ROUND($D$44*'Rider Rates'!$B$70,2)</f>
        <v>0</v>
      </c>
      <c r="O44" s="91">
        <f t="shared" ref="O44" si="6">SUM(L44:N44)</f>
        <v>0</v>
      </c>
      <c r="P44" s="92">
        <f>'Rider Rates'!$D$70</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101</v>
      </c>
      <c r="B45" s="72"/>
      <c r="C45" s="72"/>
      <c r="D45" s="111">
        <f>IF('Customer Info'!C35=TRUE,0,IF($D$17&lt;0,0,$D$17))</f>
        <v>0</v>
      </c>
      <c r="E45" s="97" t="s">
        <v>19</v>
      </c>
      <c r="F45" s="84" t="s">
        <v>82</v>
      </c>
      <c r="G45" s="100"/>
      <c r="H45" s="100"/>
      <c r="I45" s="100">
        <f>'Rider Rates'!$B$73+'Rider Rates'!$C$73</f>
        <v>0</v>
      </c>
      <c r="J45" s="100">
        <f t="shared" si="4"/>
        <v>0</v>
      </c>
      <c r="K45" s="94" t="s">
        <v>87</v>
      </c>
      <c r="L45" s="89"/>
      <c r="M45" s="89"/>
      <c r="N45" s="89">
        <f>ROUND($D$45*'Rider Rates'!$B$73,2)+ROUND($D$45*'Rider Rates'!$C$73,2)</f>
        <v>0</v>
      </c>
      <c r="O45" s="91">
        <f t="shared" si="2"/>
        <v>0</v>
      </c>
      <c r="P45" s="92">
        <f>'Rider Rates'!$D$73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102</v>
      </c>
      <c r="B46" s="72"/>
      <c r="C46" s="72"/>
      <c r="D46" s="113">
        <f>$N$28</f>
        <v>10</v>
      </c>
      <c r="E46" s="97" t="s">
        <v>94</v>
      </c>
      <c r="F46" s="84" t="s">
        <v>82</v>
      </c>
      <c r="G46" s="117"/>
      <c r="H46" s="118"/>
      <c r="I46" s="119">
        <f>'Rider Rates'!$B$89</f>
        <v>4.94232E-2</v>
      </c>
      <c r="J46" s="119">
        <f t="shared" si="4"/>
        <v>4.94232E-2</v>
      </c>
      <c r="K46" s="94"/>
      <c r="L46" s="89"/>
      <c r="M46" s="89"/>
      <c r="N46" s="89">
        <f>ROUND(D46*I46,2)</f>
        <v>0.49</v>
      </c>
      <c r="O46" s="89">
        <f t="shared" si="2"/>
        <v>0.49</v>
      </c>
      <c r="P46" s="92">
        <f>'Rider Rates'!$D$89</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103</v>
      </c>
      <c r="B47" s="72"/>
      <c r="C47" s="72"/>
      <c r="D47" s="113">
        <f>$N$28</f>
        <v>10</v>
      </c>
      <c r="E47" s="97" t="s">
        <v>94</v>
      </c>
      <c r="F47" s="84" t="s">
        <v>82</v>
      </c>
      <c r="G47" s="120"/>
      <c r="H47" s="85"/>
      <c r="I47" s="119">
        <f>'Rider Rates'!$B$91</f>
        <v>6.6985699999999995E-2</v>
      </c>
      <c r="J47" s="119">
        <f t="shared" si="4"/>
        <v>6.6985699999999995E-2</v>
      </c>
      <c r="K47" s="94"/>
      <c r="L47" s="89"/>
      <c r="M47" s="89"/>
      <c r="N47" s="89">
        <f>ROUND(D47*I47,2)</f>
        <v>0.67</v>
      </c>
      <c r="O47" s="89">
        <f t="shared" si="2"/>
        <v>0.67</v>
      </c>
      <c r="P47" s="92">
        <f>'Rider Rates'!$D$91</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104</v>
      </c>
      <c r="B48" s="72"/>
      <c r="C48" s="72"/>
      <c r="D48" s="113"/>
      <c r="E48" s="97" t="s">
        <v>57</v>
      </c>
      <c r="F48" s="84"/>
      <c r="G48" s="120"/>
      <c r="H48" s="85"/>
      <c r="I48" s="121">
        <f>'Rider Rates'!$B$94</f>
        <v>2.08</v>
      </c>
      <c r="J48" s="121">
        <f t="shared" si="4"/>
        <v>2.08</v>
      </c>
      <c r="K48" s="94"/>
      <c r="L48" s="89"/>
      <c r="M48" s="89"/>
      <c r="N48" s="89">
        <f>I48</f>
        <v>2.08</v>
      </c>
      <c r="O48" s="91">
        <f>SUM(L48:N48)</f>
        <v>2.08</v>
      </c>
      <c r="P48" s="92">
        <f>'Rider Rates'!$D$94</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2" t="s">
        <v>105</v>
      </c>
      <c r="B49" s="72"/>
      <c r="C49" s="72"/>
      <c r="D49" s="111">
        <f>IF($D$17&lt;0,0,$D$17)</f>
        <v>0</v>
      </c>
      <c r="E49" s="97" t="s">
        <v>19</v>
      </c>
      <c r="F49" s="84" t="s">
        <v>82</v>
      </c>
      <c r="G49" s="100"/>
      <c r="H49" s="100"/>
      <c r="I49" s="100"/>
      <c r="J49" s="100">
        <f>'Rider Rates'!$B$98</f>
        <v>0</v>
      </c>
      <c r="K49" s="94" t="s">
        <v>87</v>
      </c>
      <c r="L49" s="89"/>
      <c r="M49" s="89"/>
      <c r="N49" s="89"/>
      <c r="O49" s="89">
        <f>ROUND($D49*('Rider Rates'!B$98),2)</f>
        <v>0</v>
      </c>
      <c r="P49" s="92">
        <f>'Rider Rates'!$D$98</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106</v>
      </c>
      <c r="B50" s="72"/>
      <c r="C50" s="72"/>
      <c r="D50" s="113">
        <f>$N$28</f>
        <v>10</v>
      </c>
      <c r="E50" s="97" t="s">
        <v>94</v>
      </c>
      <c r="F50" s="84" t="s">
        <v>82</v>
      </c>
      <c r="G50" s="120"/>
      <c r="H50" s="85"/>
      <c r="I50" s="119">
        <f>'Rider Rates'!$B$109</f>
        <v>0.2363101</v>
      </c>
      <c r="J50" s="122">
        <f>SUM(G50:I50)</f>
        <v>0.2363101</v>
      </c>
      <c r="K50" s="94"/>
      <c r="L50" s="89"/>
      <c r="M50" s="89"/>
      <c r="N50" s="89">
        <f>ROUND(D50*I50,2)</f>
        <v>2.36</v>
      </c>
      <c r="O50" s="89">
        <f t="shared" si="2"/>
        <v>2.36</v>
      </c>
      <c r="P50" s="92">
        <f>'Rider Rates'!$D$109</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107</v>
      </c>
      <c r="B51" s="72"/>
      <c r="C51" s="72"/>
      <c r="D51" s="113"/>
      <c r="E51" s="97" t="s">
        <v>57</v>
      </c>
      <c r="F51" s="84"/>
      <c r="G51" s="120"/>
      <c r="H51" s="85"/>
      <c r="I51" s="121">
        <f>'Rider Rates'!$B$112</f>
        <v>0</v>
      </c>
      <c r="J51" s="121">
        <f>SUM(G51:I51)</f>
        <v>0</v>
      </c>
      <c r="K51" s="94"/>
      <c r="L51" s="89"/>
      <c r="M51" s="89"/>
      <c r="N51" s="89">
        <f>I51</f>
        <v>0</v>
      </c>
      <c r="O51" s="89">
        <f>SUM(L51:N51)</f>
        <v>0</v>
      </c>
      <c r="P51" s="92">
        <f>'Rider Rates'!$D$112</f>
        <v>44894</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108</v>
      </c>
      <c r="B52" s="72"/>
      <c r="C52" s="72"/>
      <c r="D52" s="113"/>
      <c r="E52" s="97" t="s">
        <v>57</v>
      </c>
      <c r="F52" s="84"/>
      <c r="G52" s="120"/>
      <c r="H52" s="85"/>
      <c r="I52" s="123">
        <f>'Rider Rates'!B125</f>
        <v>0.97</v>
      </c>
      <c r="J52" s="124">
        <f>SUM(G52:I52)</f>
        <v>0.97</v>
      </c>
      <c r="K52" s="94"/>
      <c r="L52" s="89"/>
      <c r="M52" s="89"/>
      <c r="N52" s="125">
        <f>I52</f>
        <v>0.97</v>
      </c>
      <c r="O52" s="89">
        <f>SUM(L52:N52)</f>
        <v>0.97</v>
      </c>
      <c r="P52" s="92">
        <f>'Rider Rates'!D125</f>
        <v>45593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109</v>
      </c>
      <c r="B53" s="72"/>
      <c r="C53" s="72"/>
      <c r="D53" s="111">
        <f>'Customer Info'!$B$22+'Customer Info'!$B$23-'Customer Info'!$B$24</f>
        <v>0</v>
      </c>
      <c r="E53" s="97" t="s">
        <v>19</v>
      </c>
      <c r="F53" s="84" t="s">
        <v>82</v>
      </c>
      <c r="G53" s="100">
        <f>'Rider Rates'!$B$116</f>
        <v>3.8972999999999998E-3</v>
      </c>
      <c r="H53" s="100"/>
      <c r="I53" s="100"/>
      <c r="J53" s="115">
        <f>SUM(G53:H53)</f>
        <v>3.8972999999999998E-3</v>
      </c>
      <c r="K53" s="94" t="s">
        <v>87</v>
      </c>
      <c r="L53" s="89">
        <f>ROUND(D53*G53,2)</f>
        <v>0</v>
      </c>
      <c r="M53" s="89"/>
      <c r="N53" s="89"/>
      <c r="O53" s="89">
        <f t="shared" si="2"/>
        <v>0</v>
      </c>
      <c r="P53" s="92">
        <f>'Rider Rates'!$D$116</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110</v>
      </c>
      <c r="B54" s="72"/>
      <c r="C54" s="72"/>
      <c r="D54" s="111">
        <f>IF($D$17&lt;1,0,$D$17)</f>
        <v>0</v>
      </c>
      <c r="E54" s="97" t="s">
        <v>19</v>
      </c>
      <c r="F54" s="126" t="s">
        <v>82</v>
      </c>
      <c r="G54" s="100"/>
      <c r="H54" s="100"/>
      <c r="I54" s="100">
        <f>'Rider Rates'!$B$121</f>
        <v>0</v>
      </c>
      <c r="J54" s="115">
        <f>SUM(G54:I54)</f>
        <v>0</v>
      </c>
      <c r="K54" s="94" t="s">
        <v>87</v>
      </c>
      <c r="L54" s="89"/>
      <c r="M54" s="89"/>
      <c r="N54" s="89">
        <f>D54*J54</f>
        <v>0</v>
      </c>
      <c r="O54" s="89">
        <f t="shared" si="2"/>
        <v>0</v>
      </c>
      <c r="P54" s="92">
        <f>'Rider Rates'!D121</f>
        <v>45657</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111</v>
      </c>
      <c r="B55" s="72"/>
      <c r="C55" s="72"/>
      <c r="D55" s="111"/>
      <c r="E55" s="97" t="s">
        <v>57</v>
      </c>
      <c r="F55" s="84" t="s">
        <v>82</v>
      </c>
      <c r="G55" s="127"/>
      <c r="H55" s="127"/>
      <c r="I55" s="127">
        <f>'Rider Rates'!$B$129</f>
        <v>0.1</v>
      </c>
      <c r="J55" s="127">
        <f>SUM(G55:I55)</f>
        <v>0.1</v>
      </c>
      <c r="K55" s="94"/>
      <c r="L55" s="128"/>
      <c r="M55" s="128"/>
      <c r="N55" s="128">
        <f>J55</f>
        <v>0.1</v>
      </c>
      <c r="O55" s="128">
        <f>SUM(L55:N55)</f>
        <v>0.1</v>
      </c>
      <c r="P55" s="129">
        <f>'Rider Rates'!E129</f>
        <v>45658</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112</v>
      </c>
      <c r="B56" s="72"/>
      <c r="C56" s="72"/>
      <c r="D56" s="111">
        <f>D17</f>
        <v>0</v>
      </c>
      <c r="E56" s="97" t="s">
        <v>19</v>
      </c>
      <c r="F56" s="126" t="s">
        <v>82</v>
      </c>
      <c r="G56" s="100"/>
      <c r="H56" s="100"/>
      <c r="I56" s="100">
        <f>'Rider Rates'!B134</f>
        <v>0</v>
      </c>
      <c r="J56" s="115">
        <f>SUM(G56:I56)</f>
        <v>0</v>
      </c>
      <c r="K56" s="94" t="s">
        <v>87</v>
      </c>
      <c r="L56" s="89"/>
      <c r="M56" s="89"/>
      <c r="N56" s="89">
        <f>D56*J56</f>
        <v>0</v>
      </c>
      <c r="O56" s="89">
        <f>SUM(L56:N56)</f>
        <v>0</v>
      </c>
      <c r="P56" s="92">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113</v>
      </c>
      <c r="B57" s="72"/>
      <c r="C57" s="72"/>
      <c r="D57" s="111"/>
      <c r="E57" s="97" t="s">
        <v>57</v>
      </c>
      <c r="F57" s="84" t="s">
        <v>82</v>
      </c>
      <c r="G57" s="127"/>
      <c r="H57" s="127"/>
      <c r="I57" s="127">
        <f>'Rider Rates'!$B$141</f>
        <v>0</v>
      </c>
      <c r="J57" s="127">
        <f>SUM(G57:I57)</f>
        <v>0</v>
      </c>
      <c r="K57" s="94"/>
      <c r="L57" s="128"/>
      <c r="M57" s="128"/>
      <c r="N57" s="128">
        <f>J57</f>
        <v>0</v>
      </c>
      <c r="O57" s="128">
        <f>SUM(L57:N57)</f>
        <v>0</v>
      </c>
      <c r="P57" s="129">
        <f>'Rider Rates'!D141</f>
        <v>44531</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114</v>
      </c>
      <c r="B58" s="72"/>
      <c r="C58" s="72"/>
      <c r="D58" s="111"/>
      <c r="E58" s="97"/>
      <c r="F58" s="84"/>
      <c r="G58" s="127"/>
      <c r="H58" s="127"/>
      <c r="I58" s="127"/>
      <c r="J58" s="127"/>
      <c r="K58" s="94"/>
      <c r="L58" s="128"/>
      <c r="M58" s="128"/>
      <c r="N58" s="128"/>
      <c r="O58" s="128"/>
      <c r="P58" s="129"/>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30" t="s">
        <v>115</v>
      </c>
      <c r="B59" s="69"/>
      <c r="C59" s="69"/>
      <c r="D59" s="131"/>
      <c r="E59" s="132"/>
      <c r="F59" s="133"/>
      <c r="G59" s="133"/>
      <c r="H59" s="133"/>
      <c r="I59" s="133"/>
      <c r="J59" s="133"/>
      <c r="K59" s="134"/>
      <c r="L59" s="105">
        <f>SUM(L32:L58)</f>
        <v>0</v>
      </c>
      <c r="M59" s="105">
        <f>SUM(M32:M58)</f>
        <v>0</v>
      </c>
      <c r="N59" s="105">
        <f>SUM(N32:N58)</f>
        <v>7.839999999999999</v>
      </c>
      <c r="O59" s="105">
        <f>SUM(O32:O58)</f>
        <v>7.839999999999999</v>
      </c>
      <c r="P59" s="135"/>
      <c r="Q59" s="84"/>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c r="B60" s="72"/>
      <c r="C60" s="72"/>
      <c r="D60" s="111"/>
      <c r="E60" s="97"/>
      <c r="F60" s="84"/>
      <c r="G60" s="84"/>
      <c r="H60" s="84"/>
      <c r="I60" s="84"/>
      <c r="J60" s="101"/>
      <c r="K60" s="94"/>
      <c r="L60" s="84"/>
      <c r="M60" s="84"/>
      <c r="N60" s="84"/>
      <c r="O60" s="84"/>
      <c r="P60" s="137"/>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38" t="s">
        <v>116</v>
      </c>
      <c r="B61" s="106"/>
      <c r="C61" s="106"/>
      <c r="D61" s="106"/>
      <c r="E61" s="106"/>
      <c r="F61" s="106"/>
      <c r="G61" s="106"/>
      <c r="H61" s="106"/>
      <c r="I61" s="106"/>
      <c r="J61" s="106"/>
      <c r="K61" s="106"/>
      <c r="L61" s="139">
        <f>L28+L59</f>
        <v>0</v>
      </c>
      <c r="M61" s="139">
        <f>M28+M59</f>
        <v>0</v>
      </c>
      <c r="N61" s="139">
        <f>N28+N59</f>
        <v>17.84</v>
      </c>
      <c r="O61" s="140">
        <f>O28+O59</f>
        <v>17.84</v>
      </c>
      <c r="P61" s="140"/>
      <c r="Q61" s="84"/>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72"/>
      <c r="B63" s="72"/>
      <c r="C63" s="72"/>
      <c r="D63" s="72"/>
      <c r="E63" s="72"/>
      <c r="F63" s="72"/>
      <c r="G63" s="72"/>
      <c r="H63" s="72"/>
      <c r="I63" s="72"/>
      <c r="J63" s="72"/>
      <c r="K63" s="72"/>
      <c r="L63" s="72"/>
      <c r="M63" s="72"/>
      <c r="N63" s="72"/>
      <c r="O63" s="72"/>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117</v>
      </c>
      <c r="B64" s="72"/>
      <c r="C64" s="72"/>
      <c r="D64" s="72"/>
      <c r="E64" s="72"/>
      <c r="F64" s="72"/>
      <c r="G64" s="72"/>
      <c r="H64" s="72"/>
      <c r="I64" s="72"/>
      <c r="J64" s="72"/>
      <c r="K64" s="72"/>
      <c r="L64" s="72"/>
      <c r="M64" s="72"/>
      <c r="N64" s="72"/>
      <c r="O64" s="95">
        <f>IF(D17&lt;0,MIN(O25,O61),O25)</f>
        <v>10</v>
      </c>
      <c r="P64" s="72"/>
      <c r="Q64" s="10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102" t="s">
        <v>2</v>
      </c>
      <c r="B65" s="102"/>
      <c r="C65" s="102"/>
      <c r="D65" s="102"/>
      <c r="E65" s="102"/>
      <c r="F65" s="102"/>
      <c r="G65" s="102"/>
      <c r="H65" s="102"/>
      <c r="I65" s="72"/>
      <c r="J65" s="72"/>
      <c r="K65" s="72"/>
      <c r="L65" s="72"/>
      <c r="M65" s="72"/>
      <c r="N65" s="72"/>
      <c r="O65" s="72"/>
      <c r="P65" s="72"/>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t="s">
        <v>118</v>
      </c>
      <c r="B66" s="72"/>
      <c r="C66" s="72"/>
      <c r="D66" s="72"/>
      <c r="E66" s="72"/>
      <c r="F66" s="72"/>
      <c r="G66" s="72"/>
      <c r="H66" s="72"/>
      <c r="I66" s="72"/>
      <c r="J66" s="72"/>
      <c r="K66" s="72"/>
      <c r="L66" s="72"/>
      <c r="M66" s="72"/>
      <c r="N66" s="72"/>
      <c r="O66" s="141">
        <f>IF($D$17&lt;0,O61,IF(O61&gt;O64,O61,O64))</f>
        <v>17.84</v>
      </c>
      <c r="P66" s="84"/>
      <c r="Q66" s="72"/>
      <c r="R66" s="101"/>
      <c r="S66" s="94"/>
      <c r="T66" s="95"/>
      <c r="U66" s="72"/>
      <c r="V66" s="96"/>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72"/>
      <c r="C67" s="72"/>
      <c r="D67" s="72"/>
      <c r="E67" s="72"/>
      <c r="F67" s="72"/>
      <c r="G67" s="72"/>
      <c r="H67" s="72"/>
      <c r="I67" s="72"/>
      <c r="J67" s="72"/>
      <c r="K67" s="72"/>
      <c r="L67" s="72"/>
      <c r="M67" s="72"/>
      <c r="N67" s="72"/>
      <c r="O67" s="142"/>
      <c r="P67" s="84"/>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row>
    <row r="68" spans="1:236" x14ac:dyDescent="0.25">
      <c r="A68" s="69"/>
      <c r="B68" s="102"/>
      <c r="C68" s="102"/>
      <c r="D68" s="102"/>
      <c r="E68" s="102"/>
      <c r="F68" s="102"/>
      <c r="G68" s="102"/>
      <c r="H68" s="102"/>
      <c r="I68" s="102" t="s">
        <v>119</v>
      </c>
      <c r="J68" s="102"/>
      <c r="K68" s="102"/>
      <c r="L68" s="143"/>
      <c r="M68" s="143"/>
      <c r="N68" s="143"/>
      <c r="O68" s="143">
        <f>ROUND(IF($D$17&lt;1,0,O61/($D$17*100)*10000),2)</f>
        <v>0</v>
      </c>
      <c r="P68" s="144" t="s">
        <v>120</v>
      </c>
      <c r="Q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row>
    <row r="69" spans="1:236" x14ac:dyDescent="0.25">
      <c r="A69" s="144"/>
      <c r="B69" s="72"/>
      <c r="C69" s="72"/>
      <c r="D69" s="72"/>
      <c r="E69" s="72"/>
      <c r="F69" s="72"/>
      <c r="G69" s="72"/>
      <c r="H69" s="145"/>
      <c r="I69" s="146" t="s">
        <v>121</v>
      </c>
      <c r="J69" s="72"/>
      <c r="K69" s="72"/>
      <c r="L69" s="72"/>
      <c r="M69" s="72"/>
      <c r="N69" s="72"/>
      <c r="O69" s="147">
        <f>ROUND(IF($D$17&lt;1,0,(L61)/($D$17*100)*10000),2)</f>
        <v>0</v>
      </c>
      <c r="P69" s="59" t="s">
        <v>120</v>
      </c>
      <c r="Q69" s="72"/>
      <c r="AE69" s="72"/>
      <c r="AF69" s="72"/>
      <c r="AG69" s="72"/>
      <c r="AH69" s="72"/>
      <c r="AI69" s="72"/>
      <c r="AJ69" s="72"/>
      <c r="AK69" s="72"/>
      <c r="AL69" s="72"/>
      <c r="AM69" s="72"/>
      <c r="AN69" s="72"/>
      <c r="AO69" s="72"/>
      <c r="AP69" s="72"/>
      <c r="AQ69" s="72"/>
      <c r="AR69" s="72"/>
      <c r="AS69" s="72"/>
      <c r="AT69" s="72"/>
      <c r="HE69" s="72"/>
      <c r="HF69" s="72"/>
      <c r="HG69" s="72"/>
      <c r="HH69" s="72"/>
      <c r="HI69" s="72"/>
      <c r="HJ69" s="72"/>
      <c r="HK69" s="72"/>
      <c r="HL69" s="72"/>
      <c r="HM69" s="72"/>
      <c r="HN69" s="72"/>
    </row>
    <row r="70" spans="1:236" x14ac:dyDescent="0.25">
      <c r="A70" s="76"/>
      <c r="B70" s="72"/>
      <c r="C70" s="72"/>
      <c r="D70" s="111"/>
      <c r="E70" s="97"/>
      <c r="F70" s="84"/>
      <c r="G70" s="64"/>
      <c r="H70" s="148"/>
      <c r="I70" s="64"/>
      <c r="J70" s="59"/>
      <c r="K70" s="59"/>
      <c r="L70" s="149"/>
      <c r="M70" s="149"/>
      <c r="N70" s="149"/>
      <c r="O70" s="150"/>
      <c r="Q70" s="151"/>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6"/>
      <c r="B71" s="72"/>
      <c r="C71" s="72"/>
      <c r="D71" s="111"/>
      <c r="E71" s="97"/>
      <c r="F71" s="84"/>
      <c r="Q71" s="151"/>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row>
    <row r="72" spans="1:236" x14ac:dyDescent="0.25">
      <c r="A72" s="72"/>
      <c r="D72" s="4"/>
      <c r="E72" s="152"/>
      <c r="F72" s="84"/>
      <c r="Q72" s="151"/>
    </row>
    <row r="73" spans="1:236" x14ac:dyDescent="0.25">
      <c r="A73" s="153"/>
      <c r="D73" s="4"/>
      <c r="E73" s="152"/>
      <c r="F73" s="1"/>
      <c r="Q73" s="154"/>
    </row>
    <row r="74" spans="1:236" x14ac:dyDescent="0.25">
      <c r="A74" s="153"/>
      <c r="D74" s="4"/>
      <c r="E74" s="152"/>
      <c r="F74" s="1"/>
      <c r="Q74" s="154"/>
    </row>
    <row r="75" spans="1:236" x14ac:dyDescent="0.25">
      <c r="A75" s="155"/>
      <c r="B75" s="144"/>
      <c r="C75" s="144"/>
      <c r="D75" s="144"/>
      <c r="E75" s="144"/>
      <c r="F75" s="144"/>
    </row>
    <row r="76" spans="1:236" x14ac:dyDescent="0.25">
      <c r="B76" s="144"/>
      <c r="C76" s="144"/>
      <c r="D76" s="144"/>
      <c r="E76" s="144"/>
      <c r="F76" s="144"/>
      <c r="P76" s="144"/>
      <c r="Q76" s="144"/>
    </row>
    <row r="77" spans="1:236" x14ac:dyDescent="0.25">
      <c r="B77" s="144"/>
      <c r="C77" s="144"/>
      <c r="D77" s="144"/>
      <c r="E77" s="144"/>
      <c r="F77" s="144"/>
      <c r="P77" s="59"/>
      <c r="Q77" s="59"/>
    </row>
    <row r="80" spans="1:236" x14ac:dyDescent="0.25">
      <c r="A80" s="432"/>
    </row>
    <row r="81" spans="1:1" x14ac:dyDescent="0.25">
      <c r="A81" s="432"/>
    </row>
    <row r="82" spans="1:1" x14ac:dyDescent="0.25">
      <c r="A82" s="432"/>
    </row>
    <row r="83" spans="1:1" x14ac:dyDescent="0.25">
      <c r="A83" s="432"/>
    </row>
    <row r="84" spans="1:1" x14ac:dyDescent="0.25">
      <c r="A84" s="432"/>
    </row>
    <row r="85" spans="1:1" x14ac:dyDescent="0.25">
      <c r="A85" s="432"/>
    </row>
    <row r="86" spans="1:1" x14ac:dyDescent="0.25">
      <c r="A86" s="432"/>
    </row>
    <row r="87" spans="1:1" x14ac:dyDescent="0.25">
      <c r="A87" s="432"/>
    </row>
    <row r="88" spans="1:1" x14ac:dyDescent="0.25">
      <c r="A88" s="432"/>
    </row>
    <row r="89" spans="1:1" x14ac:dyDescent="0.25">
      <c r="A89" s="432"/>
    </row>
    <row r="90" spans="1:1" x14ac:dyDescent="0.25">
      <c r="A90" s="432"/>
    </row>
    <row r="91" spans="1:1" x14ac:dyDescent="0.25">
      <c r="A91" s="432"/>
    </row>
    <row r="92" spans="1:1" x14ac:dyDescent="0.25">
      <c r="A92" s="432"/>
    </row>
    <row r="93" spans="1:1" x14ac:dyDescent="0.25">
      <c r="A93" s="432"/>
    </row>
    <row r="94" spans="1:1" x14ac:dyDescent="0.25">
      <c r="A94" s="432"/>
    </row>
  </sheetData>
  <sheetProtection algorithmName="SHA-512" hashValue="JEji5ZzcoTDSSUt3KNEfIJGYbtVRaQSfMT3ewGld+LFVtoAmZDD/qcuZhqgrK+U1URwquBxcu+3rOrAeClR/eg==" saltValue="IBW2PtcCIL2zpD5wcraiNQ=="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69EB0E2F-1CB6-44BB-B56E-3E8B4A3B0FC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Kimete Seferi</cp:lastModifiedBy>
  <dcterms:created xsi:type="dcterms:W3CDTF">2024-12-30T21:30:48Z</dcterms:created>
  <dcterms:modified xsi:type="dcterms:W3CDTF">2024-12-30T22:14:59Z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