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6.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7.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2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drawings/drawing22.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23.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24.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drawings/drawing25.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6.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27.xml" ContentType="application/vnd.openxmlformats-officedocument.drawing+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drawings/drawing28.xml" ContentType="application/vnd.openxmlformats-officedocument.drawing+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30.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drawings/drawing31.xml" ContentType="application/vnd.openxmlformats-officedocument.drawing+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drawings/drawing32.xml" ContentType="application/vnd.openxmlformats-officedocument.drawing+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A:\internal\RP&amp;A\Rate Changes &amp; Tariff Book Files\Rate Change\Rate Calc\2024\November\"/>
    </mc:Choice>
  </mc:AlternateContent>
  <xr:revisionPtr revIDLastSave="0" documentId="13_ncr:1_{666C4B52-4A14-4BE8-8D91-4560823BA3FA}" xr6:coauthVersionLast="47" xr6:coauthVersionMax="47" xr10:uidLastSave="{00000000-0000-0000-0000-000000000000}"/>
  <bookViews>
    <workbookView xWindow="-108" yWindow="-108" windowWidth="23256" windowHeight="12456" tabRatio="965" xr2:uid="{00000000-000D-0000-FFFF-FFFF00000000}"/>
  </bookViews>
  <sheets>
    <sheet name="Customer Info" sheetId="1" r:id="rId1"/>
    <sheet name="Rider Def" sheetId="146" r:id="rId2"/>
    <sheet name="RR Bundled" sheetId="34" r:id="rId3"/>
    <sheet name="RLM Bundled" sheetId="143" r:id="rId4"/>
    <sheet name="RSDM Bundled" sheetId="100" r:id="rId5"/>
    <sheet name="RS TOU Bundled" sheetId="127" r:id="rId6"/>
    <sheet name="RS PEV " sheetId="149" r:id="rId7"/>
    <sheet name="RS TOD Bundled" sheetId="126" r:id="rId8"/>
    <sheet name="RR Pilot PEV" sheetId="140" r:id="rId9"/>
    <sheet name="GS-1 Bundled" sheetId="37" r:id="rId10"/>
    <sheet name="GS-TOU Bundled" sheetId="128" r:id="rId11"/>
    <sheet name="GS TOD Bundled" sheetId="119" r:id="rId12"/>
    <sheet name="GS-Pilot PEV" sheetId="147" r:id="rId13"/>
    <sheet name="GS FAIR - SEC" sheetId="138" r:id="rId14"/>
    <sheet name="GS FAIR - PRI" sheetId="139" r:id="rId15"/>
    <sheet name="Bus PEV - Sec" sheetId="150" r:id="rId16"/>
    <sheet name="Bus PEV - Primary" sheetId="151" r:id="rId17"/>
    <sheet name="Bus PEV - Trans" sheetId="152" r:id="rId18"/>
    <sheet name="GS SEC" sheetId="145" r:id="rId19"/>
    <sheet name="GS PRI" sheetId="129" r:id="rId20"/>
    <sheet name="GS TRANS" sheetId="130" r:id="rId21"/>
    <sheet name="RR Open Access" sheetId="131" r:id="rId22"/>
    <sheet name="RS PEV  OAD" sheetId="156" r:id="rId23"/>
    <sheet name="RSDM Open" sheetId="132" r:id="rId24"/>
    <sheet name="GS-1 Open" sheetId="133" r:id="rId25"/>
    <sheet name="GS-PEV Pilot OAD" sheetId="148" r:id="rId26"/>
    <sheet name="GS SEC OAD" sheetId="141" r:id="rId27"/>
    <sheet name="GS PRI OAD" sheetId="142" r:id="rId28"/>
    <sheet name="GS TRANS - OAD" sheetId="136" r:id="rId29"/>
    <sheet name="Bus PEV - Sec OAD" sheetId="153" r:id="rId30"/>
    <sheet name="Bus PEV - Primary OAD" sheetId="154" r:id="rId31"/>
    <sheet name="Bus PEV - Trans OAD" sheetId="155" r:id="rId32"/>
    <sheet name="Rider Rates" sheetId="120" r:id="rId33"/>
    <sheet name="Riders" sheetId="61" state="hidden" r:id="rId34"/>
  </sheets>
  <definedNames>
    <definedName name="_xlnm.Print_Area" localSheetId="0">'Customer Info'!$A$1:$F$38</definedName>
    <definedName name="_xlnm.Print_Area" localSheetId="14">'GS FAIR - PRI'!$A$1:$P$72</definedName>
    <definedName name="_xlnm.Print_Area" localSheetId="13">'GS FAIR - SEC'!$A$1:$P$72</definedName>
    <definedName name="_xlnm.Print_Area" localSheetId="19">'GS PRI'!$A$1:$P$79</definedName>
    <definedName name="_xlnm.Print_Area" localSheetId="27">'GS PRI OAD'!$A$1:$P$73</definedName>
    <definedName name="_xlnm.Print_Area" localSheetId="18">'GS SEC'!$A$1:$P$79</definedName>
    <definedName name="_xlnm.Print_Area" localSheetId="26">'GS SEC OAD'!$A$1:$P$73</definedName>
    <definedName name="_xlnm.Print_Area" localSheetId="11">'GS TOD Bundled'!$A$1:$P$64</definedName>
    <definedName name="_xlnm.Print_Area" localSheetId="20">'GS TRANS'!$A$1:$P$78</definedName>
    <definedName name="_xlnm.Print_Area" localSheetId="28">'GS TRANS - OAD'!$A$1:$P$72</definedName>
    <definedName name="_xlnm.Print_Area" localSheetId="9">'GS-1 Bundled'!$A$1:$P$65</definedName>
    <definedName name="_xlnm.Print_Area" localSheetId="24">'GS-1 Open'!$A$1:$P$61</definedName>
    <definedName name="_xlnm.Print_Area" localSheetId="25">'GS-PEV Pilot OAD'!$A$1:$P$66</definedName>
    <definedName name="_xlnm.Print_Area" localSheetId="12">'GS-Pilot PEV'!$A$1:$P$66</definedName>
    <definedName name="_xlnm.Print_Area" localSheetId="10">'GS-TOU Bundled'!$A$1:$P$66</definedName>
    <definedName name="_xlnm.Print_Area" localSheetId="1">'Rider Def'!$A$1:$A$36</definedName>
    <definedName name="_xlnm.Print_Area" localSheetId="32">'Rider Rates'!$A$1:$G$144</definedName>
    <definedName name="_xlnm.Print_Area" localSheetId="3">'RLM Bundled'!$A$1:$P$62</definedName>
    <definedName name="_xlnm.Print_Area" localSheetId="2">'RR Bundled'!$A$1:$P$68</definedName>
    <definedName name="_xlnm.Print_Area" localSheetId="21">'RR Open Access'!$A$1:$P$64</definedName>
    <definedName name="_xlnm.Print_Area" localSheetId="8">'RR Pilot PEV'!$A$1:$P$69</definedName>
    <definedName name="_xlnm.Print_Area" localSheetId="6">'RS PEV '!$A$1:$P$68</definedName>
    <definedName name="_xlnm.Print_Area" localSheetId="22">'RS PEV  OAD'!$A$1:$P$68</definedName>
    <definedName name="_xlnm.Print_Area" localSheetId="7">'RS TOD Bundled'!$A$1:$P$63</definedName>
    <definedName name="_xlnm.Print_Area" localSheetId="5">'RS TOU Bundled'!$A$1:$P$69</definedName>
    <definedName name="_xlnm.Print_Area" localSheetId="4">'RSDM Bundled'!$A$1:$P$61</definedName>
    <definedName name="_xlnm.Print_Area" localSheetId="23">'RSDM Open'!$A$1:$P$57</definedName>
    <definedName name="_xlnm.Print_Titles" localSheetId="32">'Rider Rates'!$1:$2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132" l="1"/>
  <c r="I35" i="132"/>
  <c r="J35" i="132"/>
  <c r="P44" i="156"/>
  <c r="I44" i="156"/>
  <c r="J44" i="156" s="1"/>
  <c r="P41" i="131"/>
  <c r="I44" i="140"/>
  <c r="I37" i="100"/>
  <c r="I38" i="143"/>
  <c r="I41" i="131"/>
  <c r="J41" i="131" s="1"/>
  <c r="P38" i="126" l="1"/>
  <c r="P44" i="149"/>
  <c r="P44" i="127"/>
  <c r="P37" i="100"/>
  <c r="P44" i="140"/>
  <c r="J44" i="140"/>
  <c r="P52" i="149"/>
  <c r="I52" i="149"/>
  <c r="I38" i="126"/>
  <c r="J38" i="126"/>
  <c r="I44" i="149"/>
  <c r="J44" i="149" s="1"/>
  <c r="I44" i="127"/>
  <c r="J44" i="127" s="1"/>
  <c r="J37" i="100"/>
  <c r="C14" i="143"/>
  <c r="P38" i="143"/>
  <c r="J38" i="143"/>
  <c r="I43" i="34"/>
  <c r="P43" i="34"/>
  <c r="J43" i="34"/>
  <c r="D38" i="143" l="1"/>
  <c r="N38" i="143" s="1"/>
  <c r="O38" i="143" s="1"/>
  <c r="P57" i="156"/>
  <c r="I57" i="156"/>
  <c r="J57" i="156" s="1"/>
  <c r="N57" i="156" s="1"/>
  <c r="O57" i="156" s="1"/>
  <c r="P56" i="156"/>
  <c r="I56" i="156"/>
  <c r="J56" i="156" s="1"/>
  <c r="D56" i="156"/>
  <c r="P55" i="156"/>
  <c r="I55" i="156"/>
  <c r="J55" i="156" s="1"/>
  <c r="N55" i="156" s="1"/>
  <c r="O55" i="156" s="1"/>
  <c r="P54" i="156"/>
  <c r="I54" i="156"/>
  <c r="J54" i="156" s="1"/>
  <c r="P53" i="156"/>
  <c r="J53" i="156"/>
  <c r="D53" i="156"/>
  <c r="L53" i="156" s="1"/>
  <c r="O53" i="156" s="1"/>
  <c r="P52" i="156"/>
  <c r="I52" i="156"/>
  <c r="N52" i="156" s="1"/>
  <c r="O52" i="156" s="1"/>
  <c r="P51" i="156"/>
  <c r="I51" i="156"/>
  <c r="J51" i="156" s="1"/>
  <c r="P50" i="156"/>
  <c r="I50" i="156"/>
  <c r="J50" i="156" s="1"/>
  <c r="P49" i="156"/>
  <c r="J49" i="156"/>
  <c r="P48" i="156"/>
  <c r="I48" i="156"/>
  <c r="J48" i="156" s="1"/>
  <c r="P47" i="156"/>
  <c r="I47" i="156"/>
  <c r="J47" i="156" s="1"/>
  <c r="P46" i="156"/>
  <c r="I46" i="156"/>
  <c r="J46" i="156" s="1"/>
  <c r="P45" i="156"/>
  <c r="I45" i="156"/>
  <c r="J45" i="156" s="1"/>
  <c r="P43" i="156"/>
  <c r="H43" i="156"/>
  <c r="J43" i="156" s="1"/>
  <c r="P42" i="156"/>
  <c r="P41" i="156"/>
  <c r="J41" i="156"/>
  <c r="D41" i="156"/>
  <c r="L41" i="156" s="1"/>
  <c r="O41" i="156" s="1"/>
  <c r="P40" i="156"/>
  <c r="J40" i="156"/>
  <c r="D40" i="156"/>
  <c r="L40" i="156" s="1"/>
  <c r="O40" i="156" s="1"/>
  <c r="P39" i="156"/>
  <c r="J39" i="156"/>
  <c r="D39" i="156"/>
  <c r="L39" i="156" s="1"/>
  <c r="P38" i="156"/>
  <c r="I38" i="156"/>
  <c r="J38" i="156" s="1"/>
  <c r="P37" i="156"/>
  <c r="I37" i="156"/>
  <c r="J37" i="156" s="1"/>
  <c r="P36" i="156"/>
  <c r="I36" i="156"/>
  <c r="J36" i="156" s="1"/>
  <c r="P35" i="156"/>
  <c r="I35" i="156"/>
  <c r="J35" i="156" s="1"/>
  <c r="P34" i="156"/>
  <c r="I34" i="156"/>
  <c r="J34" i="156" s="1"/>
  <c r="P33" i="156"/>
  <c r="I33" i="156"/>
  <c r="J33" i="156" s="1"/>
  <c r="P32" i="156"/>
  <c r="I32" i="156"/>
  <c r="J32" i="156" s="1"/>
  <c r="P27" i="156"/>
  <c r="I27" i="156"/>
  <c r="P26" i="156"/>
  <c r="I26" i="156"/>
  <c r="I25" i="156"/>
  <c r="N25" i="156" s="1"/>
  <c r="O25" i="156" s="1"/>
  <c r="D18" i="156"/>
  <c r="D27" i="156" s="1"/>
  <c r="D17" i="156"/>
  <c r="D26" i="156" s="1"/>
  <c r="AD15" i="156"/>
  <c r="AC15" i="156"/>
  <c r="AB15" i="156"/>
  <c r="AA15" i="156"/>
  <c r="Z15" i="156"/>
  <c r="Y15" i="156"/>
  <c r="X15" i="156"/>
  <c r="W15" i="156"/>
  <c r="V15" i="156"/>
  <c r="U15" i="156"/>
  <c r="T15" i="156"/>
  <c r="S15" i="156"/>
  <c r="AD14" i="156"/>
  <c r="AC14" i="156"/>
  <c r="AB14" i="156"/>
  <c r="AA14" i="156"/>
  <c r="Z14" i="156"/>
  <c r="Y14" i="156"/>
  <c r="X14" i="156"/>
  <c r="W14" i="156"/>
  <c r="V14" i="156"/>
  <c r="U14" i="156"/>
  <c r="T14" i="156"/>
  <c r="S14" i="156"/>
  <c r="AD13" i="156"/>
  <c r="AC13" i="156"/>
  <c r="AB13" i="156"/>
  <c r="AA13" i="156"/>
  <c r="Z13" i="156"/>
  <c r="Y13" i="156"/>
  <c r="X13" i="156"/>
  <c r="W13" i="156"/>
  <c r="V13" i="156"/>
  <c r="U13" i="156"/>
  <c r="T13" i="156"/>
  <c r="S13" i="156"/>
  <c r="D11" i="156"/>
  <c r="B11" i="156"/>
  <c r="C11" i="156" s="1"/>
  <c r="C10" i="156"/>
  <c r="C9" i="156"/>
  <c r="A6" i="156"/>
  <c r="A4" i="156"/>
  <c r="P54" i="155"/>
  <c r="I54" i="155"/>
  <c r="J54" i="155" s="1"/>
  <c r="N54" i="155" s="1"/>
  <c r="O54" i="155" s="1"/>
  <c r="P53" i="155"/>
  <c r="I53" i="155"/>
  <c r="J53" i="155" s="1"/>
  <c r="P52" i="155"/>
  <c r="I52" i="155"/>
  <c r="J52" i="155" s="1"/>
  <c r="P51" i="155"/>
  <c r="I51" i="155"/>
  <c r="J51" i="155" s="1"/>
  <c r="P50" i="155"/>
  <c r="I50" i="155"/>
  <c r="J50" i="155" s="1"/>
  <c r="P49" i="155"/>
  <c r="J49" i="155"/>
  <c r="P48" i="155"/>
  <c r="I48" i="155"/>
  <c r="N48" i="155" s="1"/>
  <c r="O48" i="155" s="1"/>
  <c r="P47" i="155"/>
  <c r="I47" i="155"/>
  <c r="N47" i="155" s="1"/>
  <c r="O47" i="155" s="1"/>
  <c r="P46" i="155"/>
  <c r="I46" i="155"/>
  <c r="J46" i="155" s="1"/>
  <c r="P45" i="155"/>
  <c r="J45" i="155"/>
  <c r="P44" i="155"/>
  <c r="I44" i="155"/>
  <c r="N44" i="155" s="1"/>
  <c r="O44" i="155" s="1"/>
  <c r="P43" i="155"/>
  <c r="I43" i="155"/>
  <c r="J43" i="155" s="1"/>
  <c r="P42" i="155"/>
  <c r="I42" i="155"/>
  <c r="J42" i="155" s="1"/>
  <c r="I41" i="155"/>
  <c r="J41" i="155" s="1"/>
  <c r="N41" i="155" s="1"/>
  <c r="O41" i="155" s="1"/>
  <c r="P40" i="155"/>
  <c r="I40" i="155"/>
  <c r="J40" i="155" s="1"/>
  <c r="P39" i="155"/>
  <c r="H39" i="155"/>
  <c r="J39" i="155" s="1"/>
  <c r="P38" i="155"/>
  <c r="P37" i="155"/>
  <c r="J37" i="155"/>
  <c r="P36" i="155"/>
  <c r="J36" i="155"/>
  <c r="P35" i="155"/>
  <c r="J35" i="155"/>
  <c r="P34" i="155"/>
  <c r="J34" i="155"/>
  <c r="P33" i="155"/>
  <c r="I33" i="155"/>
  <c r="J33" i="155" s="1"/>
  <c r="P32" i="155"/>
  <c r="I32" i="155"/>
  <c r="J32" i="155" s="1"/>
  <c r="P31" i="155"/>
  <c r="I31" i="155"/>
  <c r="J31" i="155" s="1"/>
  <c r="P30" i="155"/>
  <c r="I30" i="155"/>
  <c r="J30" i="155" s="1"/>
  <c r="P29" i="155"/>
  <c r="I29" i="155"/>
  <c r="J29" i="155" s="1"/>
  <c r="P28" i="155"/>
  <c r="I28" i="155"/>
  <c r="J28" i="155" s="1"/>
  <c r="P27" i="155"/>
  <c r="I27" i="155"/>
  <c r="J27" i="155" s="1"/>
  <c r="P22" i="155"/>
  <c r="I22" i="155"/>
  <c r="J22" i="155" s="1"/>
  <c r="I21" i="155"/>
  <c r="N21" i="155" s="1"/>
  <c r="C17" i="155"/>
  <c r="D36" i="155" s="1"/>
  <c r="L36" i="155" s="1"/>
  <c r="O36" i="155" s="1"/>
  <c r="C16" i="155"/>
  <c r="D35" i="155" s="1"/>
  <c r="L35" i="155" s="1"/>
  <c r="O35" i="155" s="1"/>
  <c r="C15" i="155"/>
  <c r="D28" i="155" s="1"/>
  <c r="AD13" i="155"/>
  <c r="AC13" i="155"/>
  <c r="AB13" i="155"/>
  <c r="AA13" i="155"/>
  <c r="Z13" i="155"/>
  <c r="Y13" i="155"/>
  <c r="X13" i="155"/>
  <c r="W13" i="155"/>
  <c r="V13" i="155"/>
  <c r="U13" i="155"/>
  <c r="T13" i="155"/>
  <c r="S13" i="155"/>
  <c r="D11" i="155"/>
  <c r="B11" i="155"/>
  <c r="C11" i="155" s="1"/>
  <c r="C10" i="155"/>
  <c r="C9" i="155"/>
  <c r="A6" i="155"/>
  <c r="A4" i="155"/>
  <c r="G49" i="152"/>
  <c r="G36" i="152"/>
  <c r="G35" i="152"/>
  <c r="G34" i="152"/>
  <c r="P54" i="154"/>
  <c r="I54" i="154"/>
  <c r="J54" i="154" s="1"/>
  <c r="N54" i="154" s="1"/>
  <c r="O54" i="154" s="1"/>
  <c r="P53" i="154"/>
  <c r="I53" i="154"/>
  <c r="J53" i="154" s="1"/>
  <c r="P52" i="154"/>
  <c r="I52" i="154"/>
  <c r="J52" i="154" s="1"/>
  <c r="P51" i="154"/>
  <c r="I51" i="154"/>
  <c r="J51" i="154" s="1"/>
  <c r="P50" i="154"/>
  <c r="I50" i="154"/>
  <c r="J50" i="154" s="1"/>
  <c r="P49" i="154"/>
  <c r="J49" i="154"/>
  <c r="P48" i="154"/>
  <c r="I48" i="154"/>
  <c r="N48" i="154" s="1"/>
  <c r="O48" i="154" s="1"/>
  <c r="P47" i="154"/>
  <c r="I47" i="154"/>
  <c r="N47" i="154" s="1"/>
  <c r="O47" i="154" s="1"/>
  <c r="P46" i="154"/>
  <c r="I46" i="154"/>
  <c r="J46" i="154" s="1"/>
  <c r="P45" i="154"/>
  <c r="J45" i="154"/>
  <c r="P44" i="154"/>
  <c r="I44" i="154"/>
  <c r="N44" i="154" s="1"/>
  <c r="O44" i="154" s="1"/>
  <c r="P43" i="154"/>
  <c r="I43" i="154"/>
  <c r="J43" i="154" s="1"/>
  <c r="P42" i="154"/>
  <c r="I42" i="154"/>
  <c r="J42" i="154" s="1"/>
  <c r="I41" i="154"/>
  <c r="J41" i="154" s="1"/>
  <c r="N41" i="154" s="1"/>
  <c r="O41" i="154" s="1"/>
  <c r="P40" i="154"/>
  <c r="I40" i="154"/>
  <c r="J40" i="154" s="1"/>
  <c r="P39" i="154"/>
  <c r="H39" i="154"/>
  <c r="J39" i="154" s="1"/>
  <c r="P38" i="154"/>
  <c r="P37" i="154"/>
  <c r="J37" i="154"/>
  <c r="P36" i="154"/>
  <c r="J36" i="154"/>
  <c r="P35" i="154"/>
  <c r="J35" i="154"/>
  <c r="P34" i="154"/>
  <c r="J34" i="154"/>
  <c r="P33" i="154"/>
  <c r="I33" i="154"/>
  <c r="J33" i="154" s="1"/>
  <c r="P32" i="154"/>
  <c r="I32" i="154"/>
  <c r="J32" i="154" s="1"/>
  <c r="P31" i="154"/>
  <c r="I31" i="154"/>
  <c r="J31" i="154" s="1"/>
  <c r="P30" i="154"/>
  <c r="I30" i="154"/>
  <c r="J30" i="154" s="1"/>
  <c r="P29" i="154"/>
  <c r="I29" i="154"/>
  <c r="J29" i="154" s="1"/>
  <c r="P28" i="154"/>
  <c r="I28" i="154"/>
  <c r="J28" i="154" s="1"/>
  <c r="P27" i="154"/>
  <c r="I27" i="154"/>
  <c r="J27" i="154" s="1"/>
  <c r="P22" i="154"/>
  <c r="I22" i="154"/>
  <c r="J22" i="154" s="1"/>
  <c r="I21" i="154"/>
  <c r="N21" i="154" s="1"/>
  <c r="C17" i="154"/>
  <c r="D36" i="154" s="1"/>
  <c r="L36" i="154" s="1"/>
  <c r="O36" i="154" s="1"/>
  <c r="C16" i="154"/>
  <c r="D35" i="154" s="1"/>
  <c r="L35" i="154" s="1"/>
  <c r="O35" i="154" s="1"/>
  <c r="C15" i="154"/>
  <c r="D39" i="154" s="1"/>
  <c r="AD13" i="154"/>
  <c r="AC13" i="154"/>
  <c r="AB13" i="154"/>
  <c r="AA13" i="154"/>
  <c r="Z13" i="154"/>
  <c r="Y13" i="154"/>
  <c r="X13" i="154"/>
  <c r="W13" i="154"/>
  <c r="V13" i="154"/>
  <c r="U13" i="154"/>
  <c r="T13" i="154"/>
  <c r="S13" i="154"/>
  <c r="D11" i="154"/>
  <c r="B11" i="154"/>
  <c r="C11" i="154" s="1"/>
  <c r="C10" i="154"/>
  <c r="C9" i="154"/>
  <c r="A6" i="154"/>
  <c r="A4" i="154"/>
  <c r="G49" i="151"/>
  <c r="G34" i="151"/>
  <c r="P54" i="153"/>
  <c r="I54" i="153"/>
  <c r="J54" i="153" s="1"/>
  <c r="N54" i="153" s="1"/>
  <c r="O54" i="153" s="1"/>
  <c r="P53" i="153"/>
  <c r="I53" i="153"/>
  <c r="J53" i="153" s="1"/>
  <c r="P52" i="153"/>
  <c r="I52" i="153"/>
  <c r="J52" i="153" s="1"/>
  <c r="P51" i="153"/>
  <c r="I51" i="153"/>
  <c r="J51" i="153" s="1"/>
  <c r="P50" i="153"/>
  <c r="I50" i="153"/>
  <c r="J50" i="153" s="1"/>
  <c r="P49" i="153"/>
  <c r="J49" i="153"/>
  <c r="P48" i="153"/>
  <c r="I48" i="153"/>
  <c r="J48" i="153" s="1"/>
  <c r="P47" i="153"/>
  <c r="I47" i="153"/>
  <c r="N47" i="153" s="1"/>
  <c r="O47" i="153" s="1"/>
  <c r="P46" i="153"/>
  <c r="I46" i="153"/>
  <c r="J46" i="153" s="1"/>
  <c r="P45" i="153"/>
  <c r="J45" i="153"/>
  <c r="P44" i="153"/>
  <c r="I44" i="153"/>
  <c r="N44" i="153" s="1"/>
  <c r="O44" i="153" s="1"/>
  <c r="P43" i="153"/>
  <c r="I43" i="153"/>
  <c r="J43" i="153" s="1"/>
  <c r="P42" i="153"/>
  <c r="I42" i="153"/>
  <c r="J42" i="153" s="1"/>
  <c r="I41" i="153"/>
  <c r="J41" i="153" s="1"/>
  <c r="N41" i="153" s="1"/>
  <c r="O41" i="153" s="1"/>
  <c r="P40" i="153"/>
  <c r="I40" i="153"/>
  <c r="J40" i="153" s="1"/>
  <c r="P39" i="153"/>
  <c r="H39" i="153"/>
  <c r="J39" i="153" s="1"/>
  <c r="P38" i="153"/>
  <c r="P37" i="153"/>
  <c r="J37" i="153"/>
  <c r="P36" i="153"/>
  <c r="J36" i="153"/>
  <c r="P35" i="153"/>
  <c r="J35" i="153"/>
  <c r="P34" i="153"/>
  <c r="J34" i="153"/>
  <c r="D34" i="153"/>
  <c r="L34" i="153" s="1"/>
  <c r="P33" i="153"/>
  <c r="I33" i="153"/>
  <c r="J33" i="153" s="1"/>
  <c r="P32" i="153"/>
  <c r="I32" i="153"/>
  <c r="J32" i="153" s="1"/>
  <c r="P31" i="153"/>
  <c r="I31" i="153"/>
  <c r="J31" i="153" s="1"/>
  <c r="P30" i="153"/>
  <c r="I30" i="153"/>
  <c r="J30" i="153" s="1"/>
  <c r="P29" i="153"/>
  <c r="I29" i="153"/>
  <c r="J29" i="153" s="1"/>
  <c r="P28" i="153"/>
  <c r="I28" i="153"/>
  <c r="J28" i="153" s="1"/>
  <c r="P27" i="153"/>
  <c r="I27" i="153"/>
  <c r="J27" i="153" s="1"/>
  <c r="P22" i="153"/>
  <c r="I22" i="153"/>
  <c r="J22" i="153" s="1"/>
  <c r="I21" i="153"/>
  <c r="N21" i="153" s="1"/>
  <c r="C17" i="153"/>
  <c r="D36" i="153" s="1"/>
  <c r="L36" i="153" s="1"/>
  <c r="O36" i="153" s="1"/>
  <c r="C16" i="153"/>
  <c r="D35" i="153" s="1"/>
  <c r="L35" i="153" s="1"/>
  <c r="O35" i="153" s="1"/>
  <c r="C15" i="153"/>
  <c r="AD13" i="153"/>
  <c r="AC13" i="153"/>
  <c r="AB13" i="153"/>
  <c r="AA13" i="153"/>
  <c r="Z13" i="153"/>
  <c r="Y13" i="153"/>
  <c r="X13" i="153"/>
  <c r="W13" i="153"/>
  <c r="V13" i="153"/>
  <c r="U13" i="153"/>
  <c r="T13" i="153"/>
  <c r="S13" i="153"/>
  <c r="D11" i="153"/>
  <c r="B11" i="153"/>
  <c r="C11" i="153" s="1"/>
  <c r="C10" i="153"/>
  <c r="C9" i="153"/>
  <c r="A6" i="153"/>
  <c r="A4" i="153"/>
  <c r="G36" i="151"/>
  <c r="G35" i="151"/>
  <c r="G36" i="150"/>
  <c r="G35" i="150"/>
  <c r="D34" i="150"/>
  <c r="D40" i="149"/>
  <c r="G40" i="149"/>
  <c r="N56" i="156" l="1"/>
  <c r="O56" i="156" s="1"/>
  <c r="J21" i="155"/>
  <c r="N48" i="156"/>
  <c r="O48" i="156" s="1"/>
  <c r="N28" i="155"/>
  <c r="O28" i="155" s="1"/>
  <c r="N26" i="156"/>
  <c r="O26" i="156" s="1"/>
  <c r="D49" i="155"/>
  <c r="L49" i="155" s="1"/>
  <c r="O49" i="155" s="1"/>
  <c r="N51" i="156"/>
  <c r="O51" i="156" s="1"/>
  <c r="N48" i="153"/>
  <c r="O48" i="153" s="1"/>
  <c r="J48" i="155"/>
  <c r="J25" i="156"/>
  <c r="M39" i="154"/>
  <c r="O39" i="154" s="1"/>
  <c r="D32" i="154"/>
  <c r="N32" i="154" s="1"/>
  <c r="O32" i="154" s="1"/>
  <c r="J47" i="153"/>
  <c r="J44" i="155"/>
  <c r="J47" i="155"/>
  <c r="D28" i="154"/>
  <c r="N28" i="154" s="1"/>
  <c r="O28" i="154" s="1"/>
  <c r="J47" i="154"/>
  <c r="D31" i="154"/>
  <c r="N31" i="154" s="1"/>
  <c r="O31" i="154" s="1"/>
  <c r="D22" i="154"/>
  <c r="N22" i="154" s="1"/>
  <c r="O22" i="154" s="1"/>
  <c r="D50" i="154"/>
  <c r="N50" i="154" s="1"/>
  <c r="O50" i="154" s="1"/>
  <c r="D32" i="155"/>
  <c r="N32" i="155" s="1"/>
  <c r="O32" i="155" s="1"/>
  <c r="D53" i="155"/>
  <c r="N53" i="155" s="1"/>
  <c r="O53" i="155" s="1"/>
  <c r="D29" i="154"/>
  <c r="N29" i="154" s="1"/>
  <c r="O29" i="154" s="1"/>
  <c r="D40" i="154"/>
  <c r="N40" i="154" s="1"/>
  <c r="O40" i="154" s="1"/>
  <c r="D27" i="154"/>
  <c r="N27" i="154" s="1"/>
  <c r="O27" i="154" s="1"/>
  <c r="D49" i="154"/>
  <c r="L49" i="154" s="1"/>
  <c r="O49" i="154" s="1"/>
  <c r="D40" i="155"/>
  <c r="N40" i="155" s="1"/>
  <c r="O40" i="155" s="1"/>
  <c r="N27" i="156"/>
  <c r="O27" i="156" s="1"/>
  <c r="L59" i="156"/>
  <c r="L61" i="156" s="1"/>
  <c r="O39" i="156"/>
  <c r="J52" i="156"/>
  <c r="O64" i="156"/>
  <c r="D19" i="156"/>
  <c r="D44" i="156" s="1"/>
  <c r="D29" i="155"/>
  <c r="N29" i="155" s="1"/>
  <c r="O29" i="155" s="1"/>
  <c r="D37" i="155"/>
  <c r="L37" i="155" s="1"/>
  <c r="O37" i="155" s="1"/>
  <c r="O21" i="155"/>
  <c r="D52" i="155"/>
  <c r="N52" i="155" s="1"/>
  <c r="O52" i="155" s="1"/>
  <c r="D22" i="155"/>
  <c r="N22" i="155" s="1"/>
  <c r="D27" i="155"/>
  <c r="N27" i="155" s="1"/>
  <c r="D31" i="155"/>
  <c r="N31" i="155" s="1"/>
  <c r="O31" i="155" s="1"/>
  <c r="D39" i="155"/>
  <c r="M39" i="155" s="1"/>
  <c r="D45" i="155"/>
  <c r="O45" i="155" s="1"/>
  <c r="D51" i="155"/>
  <c r="N51" i="155" s="1"/>
  <c r="O51" i="155" s="1"/>
  <c r="D30" i="155"/>
  <c r="N30" i="155" s="1"/>
  <c r="O30" i="155" s="1"/>
  <c r="D34" i="155"/>
  <c r="L34" i="155" s="1"/>
  <c r="D38" i="155"/>
  <c r="D50" i="155"/>
  <c r="N50" i="155" s="1"/>
  <c r="O50" i="155" s="1"/>
  <c r="O21" i="154"/>
  <c r="D37" i="154"/>
  <c r="L37" i="154" s="1"/>
  <c r="O37" i="154" s="1"/>
  <c r="J21" i="154"/>
  <c r="J44" i="154"/>
  <c r="D53" i="154"/>
  <c r="N53" i="154" s="1"/>
  <c r="O53" i="154" s="1"/>
  <c r="D52" i="154"/>
  <c r="N52" i="154" s="1"/>
  <c r="O52" i="154" s="1"/>
  <c r="D45" i="154"/>
  <c r="O45" i="154" s="1"/>
  <c r="J48" i="154"/>
  <c r="D51" i="154"/>
  <c r="N51" i="154" s="1"/>
  <c r="O51" i="154" s="1"/>
  <c r="D30" i="154"/>
  <c r="N30" i="154" s="1"/>
  <c r="O30" i="154" s="1"/>
  <c r="D34" i="154"/>
  <c r="L34" i="154" s="1"/>
  <c r="D38" i="154"/>
  <c r="O21" i="153"/>
  <c r="O34" i="153"/>
  <c r="D37" i="153"/>
  <c r="L37" i="153" s="1"/>
  <c r="O37" i="153" s="1"/>
  <c r="J21" i="153"/>
  <c r="J44" i="153"/>
  <c r="D49" i="153"/>
  <c r="L49" i="153" s="1"/>
  <c r="O49" i="153" s="1"/>
  <c r="D53" i="153"/>
  <c r="N53" i="153" s="1"/>
  <c r="O53" i="153" s="1"/>
  <c r="D45" i="153"/>
  <c r="O45" i="153" s="1"/>
  <c r="D29" i="153"/>
  <c r="N29" i="153" s="1"/>
  <c r="O29" i="153" s="1"/>
  <c r="D28" i="153"/>
  <c r="N28" i="153" s="1"/>
  <c r="O28" i="153" s="1"/>
  <c r="D32" i="153"/>
  <c r="N32" i="153" s="1"/>
  <c r="O32" i="153" s="1"/>
  <c r="D40" i="153"/>
  <c r="N40" i="153" s="1"/>
  <c r="O40" i="153" s="1"/>
  <c r="D30" i="153"/>
  <c r="N30" i="153" s="1"/>
  <c r="O30" i="153" s="1"/>
  <c r="D52" i="153"/>
  <c r="N52" i="153" s="1"/>
  <c r="O52" i="153" s="1"/>
  <c r="D22" i="153"/>
  <c r="N22" i="153" s="1"/>
  <c r="O22" i="153" s="1"/>
  <c r="D27" i="153"/>
  <c r="N27" i="153" s="1"/>
  <c r="D31" i="153"/>
  <c r="N31" i="153" s="1"/>
  <c r="O31" i="153" s="1"/>
  <c r="D39" i="153"/>
  <c r="M39" i="153" s="1"/>
  <c r="D51" i="153"/>
  <c r="N51" i="153" s="1"/>
  <c r="O51" i="153" s="1"/>
  <c r="D38" i="153"/>
  <c r="D50" i="153"/>
  <c r="N50" i="153" s="1"/>
  <c r="O50" i="153" s="1"/>
  <c r="N44" i="156" l="1"/>
  <c r="O44" i="156" s="1"/>
  <c r="M56" i="154"/>
  <c r="M58" i="154" s="1"/>
  <c r="O28" i="156"/>
  <c r="N23" i="154"/>
  <c r="D33" i="154" s="1"/>
  <c r="N33" i="154" s="1"/>
  <c r="O33" i="154" s="1"/>
  <c r="N28" i="156"/>
  <c r="D46" i="156" s="1"/>
  <c r="N46" i="156" s="1"/>
  <c r="O46" i="156" s="1"/>
  <c r="O69" i="156"/>
  <c r="D43" i="156"/>
  <c r="M43" i="156" s="1"/>
  <c r="D54" i="156"/>
  <c r="N54" i="156" s="1"/>
  <c r="O54" i="156" s="1"/>
  <c r="D36" i="156"/>
  <c r="N36" i="156" s="1"/>
  <c r="O36" i="156" s="1"/>
  <c r="D32" i="156"/>
  <c r="N32" i="156" s="1"/>
  <c r="D34" i="156"/>
  <c r="N34" i="156" s="1"/>
  <c r="O34" i="156" s="1"/>
  <c r="D45" i="156"/>
  <c r="N45" i="156" s="1"/>
  <c r="O45" i="156" s="1"/>
  <c r="D49" i="156"/>
  <c r="O49" i="156" s="1"/>
  <c r="D37" i="156"/>
  <c r="N37" i="156" s="1"/>
  <c r="O37" i="156" s="1"/>
  <c r="D33" i="156"/>
  <c r="N33" i="156" s="1"/>
  <c r="O33" i="156" s="1"/>
  <c r="D35" i="156"/>
  <c r="N35" i="156" s="1"/>
  <c r="O35" i="156" s="1"/>
  <c r="O22" i="155"/>
  <c r="O23" i="155" s="1"/>
  <c r="N23" i="155"/>
  <c r="O27" i="155"/>
  <c r="L56" i="155"/>
  <c r="L58" i="155" s="1"/>
  <c r="O66" i="155" s="1"/>
  <c r="O34" i="155"/>
  <c r="M56" i="155"/>
  <c r="M58" i="155" s="1"/>
  <c r="O39" i="155"/>
  <c r="L56" i="154"/>
  <c r="L58" i="154" s="1"/>
  <c r="O66" i="154" s="1"/>
  <c r="O34" i="154"/>
  <c r="O23" i="154"/>
  <c r="O23" i="153"/>
  <c r="L56" i="153"/>
  <c r="L58" i="153" s="1"/>
  <c r="O66" i="153" s="1"/>
  <c r="M56" i="153"/>
  <c r="M58" i="153" s="1"/>
  <c r="O39" i="153"/>
  <c r="O27" i="153"/>
  <c r="N23" i="153"/>
  <c r="D46" i="154" l="1"/>
  <c r="N46" i="154" s="1"/>
  <c r="O46" i="154" s="1"/>
  <c r="D43" i="154"/>
  <c r="N43" i="154" s="1"/>
  <c r="O43" i="154" s="1"/>
  <c r="D42" i="154"/>
  <c r="N42" i="154" s="1"/>
  <c r="O42" i="154" s="1"/>
  <c r="D38" i="156"/>
  <c r="N38" i="156" s="1"/>
  <c r="O38" i="156" s="1"/>
  <c r="D50" i="156"/>
  <c r="N50" i="156" s="1"/>
  <c r="O50" i="156" s="1"/>
  <c r="D47" i="156"/>
  <c r="N47" i="156" s="1"/>
  <c r="O47" i="156" s="1"/>
  <c r="M59" i="156"/>
  <c r="M61" i="156" s="1"/>
  <c r="O43" i="156"/>
  <c r="O32" i="156"/>
  <c r="D43" i="155"/>
  <c r="N43" i="155" s="1"/>
  <c r="O43" i="155" s="1"/>
  <c r="D42" i="155"/>
  <c r="N42" i="155" s="1"/>
  <c r="O42" i="155" s="1"/>
  <c r="D46" i="155"/>
  <c r="N46" i="155" s="1"/>
  <c r="O46" i="155" s="1"/>
  <c r="D33" i="155"/>
  <c r="N33" i="155" s="1"/>
  <c r="D42" i="153"/>
  <c r="N42" i="153" s="1"/>
  <c r="O42" i="153" s="1"/>
  <c r="D33" i="153"/>
  <c r="N33" i="153" s="1"/>
  <c r="D43" i="153"/>
  <c r="N43" i="153" s="1"/>
  <c r="O43" i="153" s="1"/>
  <c r="D46" i="153"/>
  <c r="N46" i="153" s="1"/>
  <c r="O46" i="153" s="1"/>
  <c r="O33" i="155" l="1"/>
  <c r="O33" i="153"/>
  <c r="P22" i="152" l="1"/>
  <c r="P22" i="151"/>
  <c r="P22" i="150"/>
  <c r="I27" i="149"/>
  <c r="P26" i="149"/>
  <c r="C15" i="152"/>
  <c r="D34" i="152" s="1"/>
  <c r="I22" i="152"/>
  <c r="I21" i="152"/>
  <c r="N21" i="152" s="1"/>
  <c r="O21" i="152" s="1"/>
  <c r="P54" i="152"/>
  <c r="I54" i="152"/>
  <c r="J54" i="152" s="1"/>
  <c r="N54" i="152" s="1"/>
  <c r="O54" i="152" s="1"/>
  <c r="P53" i="152"/>
  <c r="I53" i="152"/>
  <c r="J53" i="152" s="1"/>
  <c r="P52" i="152"/>
  <c r="I52" i="152"/>
  <c r="J52" i="152" s="1"/>
  <c r="P51" i="152"/>
  <c r="I51" i="152"/>
  <c r="J51" i="152" s="1"/>
  <c r="P50" i="152"/>
  <c r="I50" i="152"/>
  <c r="J50" i="152" s="1"/>
  <c r="P49" i="152"/>
  <c r="J49" i="152"/>
  <c r="P48" i="152"/>
  <c r="I48" i="152"/>
  <c r="N48" i="152" s="1"/>
  <c r="O48" i="152" s="1"/>
  <c r="P47" i="152"/>
  <c r="I47" i="152"/>
  <c r="N47" i="152" s="1"/>
  <c r="O47" i="152" s="1"/>
  <c r="P46" i="152"/>
  <c r="I46" i="152"/>
  <c r="J46" i="152" s="1"/>
  <c r="P45" i="152"/>
  <c r="J45" i="152"/>
  <c r="P44" i="152"/>
  <c r="I44" i="152"/>
  <c r="N44" i="152" s="1"/>
  <c r="O44" i="152" s="1"/>
  <c r="P43" i="152"/>
  <c r="I43" i="152"/>
  <c r="J43" i="152" s="1"/>
  <c r="P42" i="152"/>
  <c r="I42" i="152"/>
  <c r="J42" i="152" s="1"/>
  <c r="I41" i="152"/>
  <c r="J41" i="152" s="1"/>
  <c r="N41" i="152" s="1"/>
  <c r="O41" i="152" s="1"/>
  <c r="P40" i="152"/>
  <c r="I40" i="152"/>
  <c r="J40" i="152" s="1"/>
  <c r="P39" i="152"/>
  <c r="H39" i="152"/>
  <c r="J39" i="152" s="1"/>
  <c r="P38" i="152"/>
  <c r="P37" i="152"/>
  <c r="G37" i="152"/>
  <c r="J37" i="152" s="1"/>
  <c r="P36" i="152"/>
  <c r="J36" i="152"/>
  <c r="P35" i="152"/>
  <c r="J35" i="152"/>
  <c r="P34" i="152"/>
  <c r="J34" i="152"/>
  <c r="P33" i="152"/>
  <c r="I33" i="152"/>
  <c r="J33" i="152" s="1"/>
  <c r="P32" i="152"/>
  <c r="I32" i="152"/>
  <c r="J32" i="152" s="1"/>
  <c r="P31" i="152"/>
  <c r="I31" i="152"/>
  <c r="J31" i="152" s="1"/>
  <c r="P30" i="152"/>
  <c r="I30" i="152"/>
  <c r="J30" i="152" s="1"/>
  <c r="P29" i="152"/>
  <c r="I29" i="152"/>
  <c r="J29" i="152" s="1"/>
  <c r="P28" i="152"/>
  <c r="I28" i="152"/>
  <c r="J28" i="152" s="1"/>
  <c r="P27" i="152"/>
  <c r="I27" i="152"/>
  <c r="J27" i="152" s="1"/>
  <c r="C17" i="152"/>
  <c r="D36" i="152" s="1"/>
  <c r="C16" i="152"/>
  <c r="D35" i="152" s="1"/>
  <c r="AD13" i="152"/>
  <c r="AC13" i="152"/>
  <c r="AB13" i="152"/>
  <c r="AA13" i="152"/>
  <c r="Z13" i="152"/>
  <c r="Y13" i="152"/>
  <c r="X13" i="152"/>
  <c r="W13" i="152"/>
  <c r="V13" i="152"/>
  <c r="U13" i="152"/>
  <c r="T13" i="152"/>
  <c r="S13" i="152"/>
  <c r="D11" i="152"/>
  <c r="B11" i="152"/>
  <c r="C11" i="152" s="1"/>
  <c r="C10" i="152"/>
  <c r="C9" i="152"/>
  <c r="A6" i="152"/>
  <c r="A4" i="152"/>
  <c r="I22" i="151"/>
  <c r="I21" i="151"/>
  <c r="N21" i="151" s="1"/>
  <c r="P54" i="151"/>
  <c r="I54" i="151"/>
  <c r="J54" i="151" s="1"/>
  <c r="N54" i="151" s="1"/>
  <c r="O54" i="151" s="1"/>
  <c r="P53" i="151"/>
  <c r="I53" i="151"/>
  <c r="J53" i="151" s="1"/>
  <c r="P52" i="151"/>
  <c r="I52" i="151"/>
  <c r="J52" i="151" s="1"/>
  <c r="P51" i="151"/>
  <c r="I51" i="151"/>
  <c r="J51" i="151" s="1"/>
  <c r="P50" i="151"/>
  <c r="I50" i="151"/>
  <c r="J50" i="151" s="1"/>
  <c r="P49" i="151"/>
  <c r="J49" i="151"/>
  <c r="P48" i="151"/>
  <c r="I48" i="151"/>
  <c r="J48" i="151" s="1"/>
  <c r="P47" i="151"/>
  <c r="I47" i="151"/>
  <c r="N47" i="151" s="1"/>
  <c r="O47" i="151" s="1"/>
  <c r="P46" i="151"/>
  <c r="I46" i="151"/>
  <c r="J46" i="151" s="1"/>
  <c r="P45" i="151"/>
  <c r="J45" i="151"/>
  <c r="P44" i="151"/>
  <c r="I44" i="151"/>
  <c r="N44" i="151" s="1"/>
  <c r="O44" i="151" s="1"/>
  <c r="P43" i="151"/>
  <c r="I43" i="151"/>
  <c r="J43" i="151" s="1"/>
  <c r="P42" i="151"/>
  <c r="I42" i="151"/>
  <c r="J42" i="151" s="1"/>
  <c r="I41" i="151"/>
  <c r="J41" i="151" s="1"/>
  <c r="N41" i="151" s="1"/>
  <c r="O41" i="151" s="1"/>
  <c r="P40" i="151"/>
  <c r="I40" i="151"/>
  <c r="J40" i="151" s="1"/>
  <c r="P39" i="151"/>
  <c r="H39" i="151"/>
  <c r="J39" i="151" s="1"/>
  <c r="P38" i="151"/>
  <c r="P37" i="151"/>
  <c r="G37" i="151"/>
  <c r="J37" i="151" s="1"/>
  <c r="P36" i="151"/>
  <c r="J36" i="151"/>
  <c r="P35" i="151"/>
  <c r="J35" i="151"/>
  <c r="P34" i="151"/>
  <c r="J34" i="151"/>
  <c r="P33" i="151"/>
  <c r="I33" i="151"/>
  <c r="J33" i="151" s="1"/>
  <c r="P32" i="151"/>
  <c r="I32" i="151"/>
  <c r="J32" i="151" s="1"/>
  <c r="P31" i="151"/>
  <c r="I31" i="151"/>
  <c r="J31" i="151" s="1"/>
  <c r="P30" i="151"/>
  <c r="I30" i="151"/>
  <c r="J30" i="151" s="1"/>
  <c r="P29" i="151"/>
  <c r="I29" i="151"/>
  <c r="J29" i="151" s="1"/>
  <c r="P28" i="151"/>
  <c r="I28" i="151"/>
  <c r="J28" i="151" s="1"/>
  <c r="P27" i="151"/>
  <c r="I27" i="151"/>
  <c r="J27" i="151" s="1"/>
  <c r="J22" i="151"/>
  <c r="C17" i="151"/>
  <c r="D36" i="151" s="1"/>
  <c r="C16" i="151"/>
  <c r="D35" i="151" s="1"/>
  <c r="C15" i="151"/>
  <c r="D34" i="151" s="1"/>
  <c r="AD13" i="151"/>
  <c r="AC13" i="151"/>
  <c r="AB13" i="151"/>
  <c r="AA13" i="151"/>
  <c r="Z13" i="151"/>
  <c r="Y13" i="151"/>
  <c r="X13" i="151"/>
  <c r="W13" i="151"/>
  <c r="V13" i="151"/>
  <c r="U13" i="151"/>
  <c r="T13" i="151"/>
  <c r="S13" i="151"/>
  <c r="D11" i="151"/>
  <c r="B11" i="151"/>
  <c r="C11" i="151" s="1"/>
  <c r="C10" i="151"/>
  <c r="C9" i="151"/>
  <c r="A6" i="151"/>
  <c r="A4" i="151"/>
  <c r="I22" i="150"/>
  <c r="J22" i="150" s="1"/>
  <c r="I21" i="150"/>
  <c r="N21" i="150" s="1"/>
  <c r="O21" i="150" s="1"/>
  <c r="P54" i="150"/>
  <c r="I54" i="150"/>
  <c r="J54" i="150" s="1"/>
  <c r="N54" i="150" s="1"/>
  <c r="O54" i="150" s="1"/>
  <c r="P53" i="150"/>
  <c r="I53" i="150"/>
  <c r="J53" i="150" s="1"/>
  <c r="P52" i="150"/>
  <c r="I52" i="150"/>
  <c r="J52" i="150" s="1"/>
  <c r="P51" i="150"/>
  <c r="I51" i="150"/>
  <c r="J51" i="150" s="1"/>
  <c r="P50" i="150"/>
  <c r="I50" i="150"/>
  <c r="J50" i="150" s="1"/>
  <c r="P49" i="150"/>
  <c r="G49" i="150"/>
  <c r="J49" i="150" s="1"/>
  <c r="P48" i="150"/>
  <c r="I48" i="150"/>
  <c r="J48" i="150" s="1"/>
  <c r="P47" i="150"/>
  <c r="I47" i="150"/>
  <c r="N47" i="150" s="1"/>
  <c r="O47" i="150" s="1"/>
  <c r="P46" i="150"/>
  <c r="I46" i="150"/>
  <c r="J46" i="150" s="1"/>
  <c r="P45" i="150"/>
  <c r="J45" i="150"/>
  <c r="P44" i="150"/>
  <c r="I44" i="150"/>
  <c r="N44" i="150" s="1"/>
  <c r="O44" i="150" s="1"/>
  <c r="P43" i="150"/>
  <c r="I43" i="150"/>
  <c r="J43" i="150" s="1"/>
  <c r="P42" i="150"/>
  <c r="I42" i="150"/>
  <c r="J42" i="150" s="1"/>
  <c r="I41" i="150"/>
  <c r="J41" i="150" s="1"/>
  <c r="N41" i="150" s="1"/>
  <c r="O41" i="150" s="1"/>
  <c r="P40" i="150"/>
  <c r="I40" i="150"/>
  <c r="J40" i="150" s="1"/>
  <c r="P39" i="150"/>
  <c r="H39" i="150"/>
  <c r="J39" i="150" s="1"/>
  <c r="P38" i="150"/>
  <c r="P37" i="150"/>
  <c r="G37" i="150"/>
  <c r="J37" i="150" s="1"/>
  <c r="P36" i="150"/>
  <c r="J36" i="150"/>
  <c r="P35" i="150"/>
  <c r="J35" i="150"/>
  <c r="P34" i="150"/>
  <c r="G34" i="150"/>
  <c r="J34" i="150" s="1"/>
  <c r="P33" i="150"/>
  <c r="I33" i="150"/>
  <c r="J33" i="150" s="1"/>
  <c r="P32" i="150"/>
  <c r="I32" i="150"/>
  <c r="J32" i="150" s="1"/>
  <c r="P31" i="150"/>
  <c r="I31" i="150"/>
  <c r="J31" i="150" s="1"/>
  <c r="P30" i="150"/>
  <c r="I30" i="150"/>
  <c r="J30" i="150" s="1"/>
  <c r="P29" i="150"/>
  <c r="I29" i="150"/>
  <c r="J29" i="150" s="1"/>
  <c r="P28" i="150"/>
  <c r="I28" i="150"/>
  <c r="J28" i="150" s="1"/>
  <c r="P27" i="150"/>
  <c r="I27" i="150"/>
  <c r="J27" i="150" s="1"/>
  <c r="C17" i="150"/>
  <c r="D36" i="150" s="1"/>
  <c r="C16" i="150"/>
  <c r="D35" i="150" s="1"/>
  <c r="C15" i="150"/>
  <c r="AD13" i="150"/>
  <c r="AC13" i="150"/>
  <c r="AB13" i="150"/>
  <c r="AA13" i="150"/>
  <c r="Z13" i="150"/>
  <c r="Y13" i="150"/>
  <c r="X13" i="150"/>
  <c r="W13" i="150"/>
  <c r="V13" i="150"/>
  <c r="U13" i="150"/>
  <c r="T13" i="150"/>
  <c r="S13" i="150"/>
  <c r="D11" i="150"/>
  <c r="B11" i="150"/>
  <c r="C11" i="150" s="1"/>
  <c r="C10" i="150"/>
  <c r="C9" i="150"/>
  <c r="A6" i="150"/>
  <c r="A4" i="150"/>
  <c r="P27" i="149"/>
  <c r="I26" i="149"/>
  <c r="I25" i="149"/>
  <c r="I32" i="149"/>
  <c r="J32" i="149" s="1"/>
  <c r="P32" i="149"/>
  <c r="I33" i="149"/>
  <c r="J33" i="149" s="1"/>
  <c r="P33" i="149"/>
  <c r="I34" i="149"/>
  <c r="J34" i="149" s="1"/>
  <c r="P34" i="149"/>
  <c r="I35" i="149"/>
  <c r="J35" i="149" s="1"/>
  <c r="P35" i="149"/>
  <c r="I36" i="149"/>
  <c r="J36" i="149" s="1"/>
  <c r="P36" i="149"/>
  <c r="I37" i="149"/>
  <c r="J37" i="149" s="1"/>
  <c r="P37" i="149"/>
  <c r="I38" i="149"/>
  <c r="J38" i="149" s="1"/>
  <c r="P38" i="149"/>
  <c r="D39" i="149"/>
  <c r="G39" i="149"/>
  <c r="J39" i="149" s="1"/>
  <c r="P39" i="149"/>
  <c r="J40" i="149"/>
  <c r="P40" i="149"/>
  <c r="D41" i="149"/>
  <c r="G41" i="149"/>
  <c r="J41" i="149" s="1"/>
  <c r="P41" i="149"/>
  <c r="P42" i="149"/>
  <c r="H43" i="149"/>
  <c r="J43" i="149" s="1"/>
  <c r="P43" i="149"/>
  <c r="I45" i="149"/>
  <c r="J45" i="149" s="1"/>
  <c r="P45" i="149"/>
  <c r="I46" i="149"/>
  <c r="J46" i="149" s="1"/>
  <c r="P46" i="149"/>
  <c r="I47" i="149"/>
  <c r="J47" i="149" s="1"/>
  <c r="P47" i="149"/>
  <c r="I48" i="149"/>
  <c r="N48" i="149" s="1"/>
  <c r="O48" i="149" s="1"/>
  <c r="P48" i="149"/>
  <c r="J49" i="149"/>
  <c r="P49" i="149"/>
  <c r="I50" i="149"/>
  <c r="J50" i="149" s="1"/>
  <c r="P50" i="149"/>
  <c r="I51" i="149"/>
  <c r="J51" i="149" s="1"/>
  <c r="P51" i="149"/>
  <c r="J52" i="149"/>
  <c r="D53" i="149"/>
  <c r="G53" i="149"/>
  <c r="J53" i="149" s="1"/>
  <c r="P53" i="149"/>
  <c r="I54" i="149"/>
  <c r="J54" i="149" s="1"/>
  <c r="P54" i="149"/>
  <c r="I55" i="149"/>
  <c r="J55" i="149" s="1"/>
  <c r="N55" i="149" s="1"/>
  <c r="O55" i="149" s="1"/>
  <c r="P55" i="149"/>
  <c r="D56" i="149"/>
  <c r="I56" i="149"/>
  <c r="J56" i="149" s="1"/>
  <c r="P56" i="149"/>
  <c r="I57" i="149"/>
  <c r="J57" i="149" s="1"/>
  <c r="N57" i="149" s="1"/>
  <c r="O57" i="149" s="1"/>
  <c r="P57" i="149"/>
  <c r="D18" i="149"/>
  <c r="D27" i="149" s="1"/>
  <c r="D17" i="149"/>
  <c r="J21" i="150" l="1"/>
  <c r="N48" i="151"/>
  <c r="O48" i="151" s="1"/>
  <c r="J48" i="149"/>
  <c r="L39" i="149"/>
  <c r="O39" i="149" s="1"/>
  <c r="N52" i="149"/>
  <c r="O52" i="149" s="1"/>
  <c r="N56" i="149"/>
  <c r="O56" i="149" s="1"/>
  <c r="L53" i="149"/>
  <c r="O53" i="149" s="1"/>
  <c r="N51" i="149"/>
  <c r="O51" i="149" s="1"/>
  <c r="L41" i="149"/>
  <c r="O41" i="149" s="1"/>
  <c r="D19" i="149"/>
  <c r="L40" i="149"/>
  <c r="O40" i="149" s="1"/>
  <c r="L36" i="152"/>
  <c r="O36" i="152" s="1"/>
  <c r="L36" i="150"/>
  <c r="O36" i="150" s="1"/>
  <c r="L35" i="151"/>
  <c r="O35" i="151" s="1"/>
  <c r="L34" i="151"/>
  <c r="O34" i="151" s="1"/>
  <c r="L34" i="150"/>
  <c r="O34" i="150" s="1"/>
  <c r="L35" i="152"/>
  <c r="O35" i="152" s="1"/>
  <c r="L34" i="152"/>
  <c r="O34" i="152" s="1"/>
  <c r="D31" i="152"/>
  <c r="N31" i="152" s="1"/>
  <c r="O31" i="152" s="1"/>
  <c r="D37" i="150"/>
  <c r="L37" i="150" s="1"/>
  <c r="O37" i="150" s="1"/>
  <c r="D26" i="149"/>
  <c r="N26" i="149" s="1"/>
  <c r="O26" i="149" s="1"/>
  <c r="D27" i="152"/>
  <c r="N27" i="152" s="1"/>
  <c r="O27" i="152" s="1"/>
  <c r="D39" i="152"/>
  <c r="M39" i="152" s="1"/>
  <c r="J47" i="152"/>
  <c r="J47" i="151"/>
  <c r="D37" i="151"/>
  <c r="L37" i="151" s="1"/>
  <c r="O37" i="151" s="1"/>
  <c r="N27" i="149"/>
  <c r="O27" i="149" s="1"/>
  <c r="N48" i="150"/>
  <c r="O48" i="150" s="1"/>
  <c r="D53" i="151"/>
  <c r="N53" i="151" s="1"/>
  <c r="O53" i="151" s="1"/>
  <c r="D22" i="152"/>
  <c r="N22" i="152" s="1"/>
  <c r="O22" i="152" s="1"/>
  <c r="O23" i="152" s="1"/>
  <c r="D22" i="150"/>
  <c r="N22" i="150" s="1"/>
  <c r="D29" i="151"/>
  <c r="N29" i="151" s="1"/>
  <c r="O29" i="151" s="1"/>
  <c r="D52" i="151"/>
  <c r="N52" i="151" s="1"/>
  <c r="O52" i="151" s="1"/>
  <c r="D52" i="152"/>
  <c r="N52" i="152" s="1"/>
  <c r="O52" i="152" s="1"/>
  <c r="D29" i="152"/>
  <c r="N29" i="152" s="1"/>
  <c r="O29" i="152" s="1"/>
  <c r="J22" i="152"/>
  <c r="J21" i="152"/>
  <c r="J44" i="152"/>
  <c r="D49" i="152"/>
  <c r="L49" i="152" s="1"/>
  <c r="O49" i="152" s="1"/>
  <c r="D53" i="152"/>
  <c r="N53" i="152" s="1"/>
  <c r="O53" i="152" s="1"/>
  <c r="D37" i="152"/>
  <c r="L37" i="152" s="1"/>
  <c r="O37" i="152" s="1"/>
  <c r="D28" i="152"/>
  <c r="N28" i="152" s="1"/>
  <c r="O28" i="152" s="1"/>
  <c r="D32" i="152"/>
  <c r="N32" i="152" s="1"/>
  <c r="O32" i="152" s="1"/>
  <c r="D40" i="152"/>
  <c r="N40" i="152" s="1"/>
  <c r="O40" i="152" s="1"/>
  <c r="D45" i="152"/>
  <c r="O45" i="152" s="1"/>
  <c r="J48" i="152"/>
  <c r="D51" i="152"/>
  <c r="N51" i="152" s="1"/>
  <c r="O51" i="152" s="1"/>
  <c r="D30" i="152"/>
  <c r="N30" i="152" s="1"/>
  <c r="O30" i="152" s="1"/>
  <c r="D38" i="152"/>
  <c r="D50" i="152"/>
  <c r="N50" i="152" s="1"/>
  <c r="O50" i="152" s="1"/>
  <c r="O21" i="151"/>
  <c r="J44" i="151"/>
  <c r="D49" i="151"/>
  <c r="L49" i="151" s="1"/>
  <c r="O49" i="151" s="1"/>
  <c r="J21" i="151"/>
  <c r="D28" i="151"/>
  <c r="N28" i="151" s="1"/>
  <c r="O28" i="151" s="1"/>
  <c r="D32" i="151"/>
  <c r="N32" i="151" s="1"/>
  <c r="O32" i="151" s="1"/>
  <c r="L36" i="151"/>
  <c r="O36" i="151" s="1"/>
  <c r="D40" i="151"/>
  <c r="N40" i="151" s="1"/>
  <c r="O40" i="151" s="1"/>
  <c r="D27" i="151"/>
  <c r="N27" i="151" s="1"/>
  <c r="D31" i="151"/>
  <c r="N31" i="151" s="1"/>
  <c r="O31" i="151" s="1"/>
  <c r="D39" i="151"/>
  <c r="M39" i="151" s="1"/>
  <c r="D22" i="151"/>
  <c r="N22" i="151" s="1"/>
  <c r="O22" i="151" s="1"/>
  <c r="D45" i="151"/>
  <c r="O45" i="151" s="1"/>
  <c r="D51" i="151"/>
  <c r="N51" i="151" s="1"/>
  <c r="O51" i="151" s="1"/>
  <c r="D30" i="151"/>
  <c r="N30" i="151" s="1"/>
  <c r="O30" i="151" s="1"/>
  <c r="D38" i="151"/>
  <c r="D50" i="151"/>
  <c r="N50" i="151" s="1"/>
  <c r="O50" i="151" s="1"/>
  <c r="D29" i="150"/>
  <c r="N29" i="150" s="1"/>
  <c r="O29" i="150" s="1"/>
  <c r="J47" i="150"/>
  <c r="J44" i="150"/>
  <c r="D49" i="150"/>
  <c r="L49" i="150" s="1"/>
  <c r="O49" i="150" s="1"/>
  <c r="D53" i="150"/>
  <c r="N53" i="150" s="1"/>
  <c r="O53" i="150" s="1"/>
  <c r="D28" i="150"/>
  <c r="N28" i="150" s="1"/>
  <c r="O28" i="150" s="1"/>
  <c r="D32" i="150"/>
  <c r="N32" i="150" s="1"/>
  <c r="O32" i="150" s="1"/>
  <c r="D40" i="150"/>
  <c r="N40" i="150" s="1"/>
  <c r="O40" i="150" s="1"/>
  <c r="D52" i="150"/>
  <c r="N52" i="150" s="1"/>
  <c r="O52" i="150" s="1"/>
  <c r="D27" i="150"/>
  <c r="N27" i="150" s="1"/>
  <c r="D31" i="150"/>
  <c r="N31" i="150" s="1"/>
  <c r="O31" i="150" s="1"/>
  <c r="L35" i="150"/>
  <c r="O35" i="150" s="1"/>
  <c r="D39" i="150"/>
  <c r="M39" i="150" s="1"/>
  <c r="D45" i="150"/>
  <c r="O45" i="150" s="1"/>
  <c r="D51" i="150"/>
  <c r="N51" i="150" s="1"/>
  <c r="O51" i="150" s="1"/>
  <c r="D30" i="150"/>
  <c r="N30" i="150" s="1"/>
  <c r="O30" i="150" s="1"/>
  <c r="D38" i="150"/>
  <c r="D50" i="150"/>
  <c r="N50" i="150" s="1"/>
  <c r="O50" i="150" s="1"/>
  <c r="N25" i="149"/>
  <c r="J25" i="149"/>
  <c r="AD15" i="149"/>
  <c r="AC15" i="149"/>
  <c r="AB15" i="149"/>
  <c r="AA15" i="149"/>
  <c r="Z15" i="149"/>
  <c r="Y15" i="149"/>
  <c r="X15" i="149"/>
  <c r="W15" i="149"/>
  <c r="V15" i="149"/>
  <c r="U15" i="149"/>
  <c r="T15" i="149"/>
  <c r="S15" i="149"/>
  <c r="AD14" i="149"/>
  <c r="AC14" i="149"/>
  <c r="AB14" i="149"/>
  <c r="AA14" i="149"/>
  <c r="Z14" i="149"/>
  <c r="Y14" i="149"/>
  <c r="X14" i="149"/>
  <c r="W14" i="149"/>
  <c r="V14" i="149"/>
  <c r="U14" i="149"/>
  <c r="T14" i="149"/>
  <c r="S14" i="149"/>
  <c r="AD13" i="149"/>
  <c r="AC13" i="149"/>
  <c r="AB13" i="149"/>
  <c r="AA13" i="149"/>
  <c r="Z13" i="149"/>
  <c r="Y13" i="149"/>
  <c r="X13" i="149"/>
  <c r="W13" i="149"/>
  <c r="V13" i="149"/>
  <c r="U13" i="149"/>
  <c r="T13" i="149"/>
  <c r="S13" i="149"/>
  <c r="D11" i="149"/>
  <c r="B11" i="149"/>
  <c r="C11" i="149" s="1"/>
  <c r="C10" i="149"/>
  <c r="C9" i="149"/>
  <c r="A6" i="149"/>
  <c r="A4" i="149"/>
  <c r="D44" i="149" l="1"/>
  <c r="N44" i="149" s="1"/>
  <c r="O44" i="149" s="1"/>
  <c r="D32" i="149"/>
  <c r="N32" i="149" s="1"/>
  <c r="O32" i="149" s="1"/>
  <c r="D34" i="149"/>
  <c r="N34" i="149" s="1"/>
  <c r="O34" i="149" s="1"/>
  <c r="D35" i="149"/>
  <c r="N35" i="149" s="1"/>
  <c r="O35" i="149" s="1"/>
  <c r="D54" i="149"/>
  <c r="N54" i="149" s="1"/>
  <c r="O54" i="149" s="1"/>
  <c r="D37" i="149"/>
  <c r="N37" i="149" s="1"/>
  <c r="O37" i="149" s="1"/>
  <c r="D33" i="149"/>
  <c r="N33" i="149" s="1"/>
  <c r="O33" i="149" s="1"/>
  <c r="D36" i="149"/>
  <c r="N36" i="149" s="1"/>
  <c r="O36" i="149" s="1"/>
  <c r="D49" i="149"/>
  <c r="O49" i="149" s="1"/>
  <c r="D43" i="149"/>
  <c r="M43" i="149" s="1"/>
  <c r="O43" i="149" s="1"/>
  <c r="D45" i="149"/>
  <c r="N45" i="149" s="1"/>
  <c r="O45" i="149" s="1"/>
  <c r="L59" i="149"/>
  <c r="L61" i="149" s="1"/>
  <c r="O69" i="149" s="1"/>
  <c r="M56" i="152"/>
  <c r="M58" i="152" s="1"/>
  <c r="O39" i="152"/>
  <c r="N23" i="152"/>
  <c r="D42" i="152" s="1"/>
  <c r="N42" i="152" s="1"/>
  <c r="O42" i="152" s="1"/>
  <c r="L56" i="150"/>
  <c r="L58" i="150" s="1"/>
  <c r="O66" i="150" s="1"/>
  <c r="N23" i="151"/>
  <c r="D43" i="151" s="1"/>
  <c r="N43" i="151" s="1"/>
  <c r="O43" i="151" s="1"/>
  <c r="L56" i="152"/>
  <c r="L58" i="152" s="1"/>
  <c r="O66" i="152" s="1"/>
  <c r="O23" i="151"/>
  <c r="M56" i="151"/>
  <c r="M58" i="151" s="1"/>
  <c r="O39" i="151"/>
  <c r="L56" i="151"/>
  <c r="L58" i="151" s="1"/>
  <c r="O66" i="151" s="1"/>
  <c r="O27" i="151"/>
  <c r="O22" i="150"/>
  <c r="O23" i="150" s="1"/>
  <c r="N23" i="150"/>
  <c r="O27" i="150"/>
  <c r="M56" i="150"/>
  <c r="M58" i="150" s="1"/>
  <c r="O39" i="150"/>
  <c r="N28" i="149"/>
  <c r="O25" i="149"/>
  <c r="O28" i="149" s="1"/>
  <c r="M59" i="149" l="1"/>
  <c r="M61" i="149" s="1"/>
  <c r="D33" i="152"/>
  <c r="N33" i="152" s="1"/>
  <c r="O33" i="152" s="1"/>
  <c r="D46" i="151"/>
  <c r="N46" i="151" s="1"/>
  <c r="O46" i="151" s="1"/>
  <c r="D46" i="152"/>
  <c r="N46" i="152" s="1"/>
  <c r="O46" i="152" s="1"/>
  <c r="D43" i="152"/>
  <c r="N43" i="152" s="1"/>
  <c r="O43" i="152" s="1"/>
  <c r="D42" i="151"/>
  <c r="N42" i="151" s="1"/>
  <c r="O42" i="151" s="1"/>
  <c r="D33" i="151"/>
  <c r="N33" i="151" s="1"/>
  <c r="O33" i="151" s="1"/>
  <c r="D42" i="150"/>
  <c r="N42" i="150" s="1"/>
  <c r="O42" i="150" s="1"/>
  <c r="D43" i="150"/>
  <c r="N43" i="150" s="1"/>
  <c r="O43" i="150" s="1"/>
  <c r="D46" i="150"/>
  <c r="N46" i="150" s="1"/>
  <c r="O46" i="150" s="1"/>
  <c r="D33" i="150"/>
  <c r="N33" i="150" s="1"/>
  <c r="O64" i="149"/>
  <c r="D50" i="149"/>
  <c r="N50" i="149" s="1"/>
  <c r="O50" i="149" s="1"/>
  <c r="D47" i="149"/>
  <c r="N47" i="149" s="1"/>
  <c r="O47" i="149" s="1"/>
  <c r="D38" i="149"/>
  <c r="N38" i="149" s="1"/>
  <c r="D46" i="149"/>
  <c r="N46" i="149" s="1"/>
  <c r="O46" i="149" s="1"/>
  <c r="O33" i="150" l="1"/>
  <c r="O38" i="149"/>
  <c r="P54" i="148" l="1"/>
  <c r="I54" i="148"/>
  <c r="J54" i="148" s="1"/>
  <c r="N54" i="148" s="1"/>
  <c r="O54" i="148" s="1"/>
  <c r="P53" i="148"/>
  <c r="I53" i="148"/>
  <c r="J53" i="148" s="1"/>
  <c r="P52" i="148"/>
  <c r="I52" i="148"/>
  <c r="J52" i="148" s="1"/>
  <c r="P51" i="148"/>
  <c r="I51" i="148"/>
  <c r="J51" i="148" s="1"/>
  <c r="P50" i="148"/>
  <c r="I50" i="148"/>
  <c r="J50" i="148" s="1"/>
  <c r="P49" i="148"/>
  <c r="J49" i="148"/>
  <c r="P48" i="148"/>
  <c r="I48" i="148"/>
  <c r="N48" i="148" s="1"/>
  <c r="O48" i="148" s="1"/>
  <c r="P47" i="148"/>
  <c r="I47" i="148"/>
  <c r="J47" i="148" s="1"/>
  <c r="P46" i="148"/>
  <c r="I46" i="148"/>
  <c r="J46" i="148" s="1"/>
  <c r="P45" i="148"/>
  <c r="J45" i="148"/>
  <c r="P44" i="148"/>
  <c r="I44" i="148"/>
  <c r="N44" i="148" s="1"/>
  <c r="O44" i="148" s="1"/>
  <c r="P43" i="148"/>
  <c r="I43" i="148"/>
  <c r="J43" i="148" s="1"/>
  <c r="P42" i="148"/>
  <c r="I42" i="148"/>
  <c r="J42" i="148" s="1"/>
  <c r="I41" i="148"/>
  <c r="J41" i="148" s="1"/>
  <c r="N41" i="148" s="1"/>
  <c r="O41" i="148" s="1"/>
  <c r="P40" i="148"/>
  <c r="I40" i="148"/>
  <c r="J40" i="148" s="1"/>
  <c r="P39" i="148"/>
  <c r="H39" i="148"/>
  <c r="J39" i="148" s="1"/>
  <c r="P38" i="148"/>
  <c r="P37" i="148"/>
  <c r="J37" i="148"/>
  <c r="P36" i="148"/>
  <c r="J36" i="148"/>
  <c r="P35" i="148"/>
  <c r="J35" i="148"/>
  <c r="P34" i="148"/>
  <c r="J34" i="148"/>
  <c r="P33" i="148"/>
  <c r="I33" i="148"/>
  <c r="J33" i="148" s="1"/>
  <c r="P32" i="148"/>
  <c r="I32" i="148"/>
  <c r="J32" i="148" s="1"/>
  <c r="P31" i="148"/>
  <c r="I31" i="148"/>
  <c r="J31" i="148" s="1"/>
  <c r="P30" i="148"/>
  <c r="I30" i="148"/>
  <c r="J30" i="148" s="1"/>
  <c r="P29" i="148"/>
  <c r="I29" i="148"/>
  <c r="J29" i="148" s="1"/>
  <c r="P28" i="148"/>
  <c r="I28" i="148"/>
  <c r="J28" i="148" s="1"/>
  <c r="P27" i="148"/>
  <c r="I27" i="148"/>
  <c r="J27" i="148" s="1"/>
  <c r="J22" i="148"/>
  <c r="N21" i="148"/>
  <c r="O21" i="148" s="1"/>
  <c r="J21" i="148"/>
  <c r="C17" i="148"/>
  <c r="D36" i="148" s="1"/>
  <c r="O36" i="148" s="1"/>
  <c r="C16" i="148"/>
  <c r="C15" i="148"/>
  <c r="D39" i="148" s="1"/>
  <c r="AD13" i="148"/>
  <c r="AC13" i="148"/>
  <c r="AB13" i="148"/>
  <c r="AA13" i="148"/>
  <c r="Z13" i="148"/>
  <c r="Y13" i="148"/>
  <c r="X13" i="148"/>
  <c r="W13" i="148"/>
  <c r="V13" i="148"/>
  <c r="U13" i="148"/>
  <c r="T13" i="148"/>
  <c r="S13" i="148"/>
  <c r="D11" i="148"/>
  <c r="B11" i="148"/>
  <c r="C11" i="148" s="1"/>
  <c r="C10" i="148"/>
  <c r="C9" i="148"/>
  <c r="A6" i="148"/>
  <c r="A4" i="148"/>
  <c r="P54" i="147"/>
  <c r="I54" i="147"/>
  <c r="J54" i="147" s="1"/>
  <c r="N54" i="147" s="1"/>
  <c r="O54" i="147" s="1"/>
  <c r="P53" i="147"/>
  <c r="I53" i="147"/>
  <c r="J53" i="147" s="1"/>
  <c r="P52" i="147"/>
  <c r="I52" i="147"/>
  <c r="J52" i="147" s="1"/>
  <c r="P51" i="147"/>
  <c r="I51" i="147"/>
  <c r="J51" i="147" s="1"/>
  <c r="P50" i="147"/>
  <c r="I50" i="147"/>
  <c r="J50" i="147" s="1"/>
  <c r="P49" i="147"/>
  <c r="G49" i="147"/>
  <c r="J49" i="147" s="1"/>
  <c r="P48" i="147"/>
  <c r="I48" i="147"/>
  <c r="N48" i="147" s="1"/>
  <c r="O48" i="147" s="1"/>
  <c r="P47" i="147"/>
  <c r="I47" i="147"/>
  <c r="N47" i="147" s="1"/>
  <c r="O47" i="147" s="1"/>
  <c r="P46" i="147"/>
  <c r="I46" i="147"/>
  <c r="J46" i="147" s="1"/>
  <c r="P45" i="147"/>
  <c r="J45" i="147"/>
  <c r="P44" i="147"/>
  <c r="I44" i="147"/>
  <c r="N44" i="147" s="1"/>
  <c r="O44" i="147" s="1"/>
  <c r="P43" i="147"/>
  <c r="I43" i="147"/>
  <c r="J43" i="147" s="1"/>
  <c r="P42" i="147"/>
  <c r="I42" i="147"/>
  <c r="J42" i="147" s="1"/>
  <c r="I41" i="147"/>
  <c r="J41" i="147" s="1"/>
  <c r="N41" i="147" s="1"/>
  <c r="O41" i="147" s="1"/>
  <c r="P40" i="147"/>
  <c r="I40" i="147"/>
  <c r="J40" i="147" s="1"/>
  <c r="P39" i="147"/>
  <c r="H39" i="147"/>
  <c r="J39" i="147" s="1"/>
  <c r="P38" i="147"/>
  <c r="P37" i="147"/>
  <c r="G37" i="147"/>
  <c r="J37" i="147" s="1"/>
  <c r="P36" i="147"/>
  <c r="G36" i="147"/>
  <c r="J36" i="147" s="1"/>
  <c r="P35" i="147"/>
  <c r="G35" i="147"/>
  <c r="J35" i="147" s="1"/>
  <c r="P34" i="147"/>
  <c r="G34" i="147"/>
  <c r="J34" i="147" s="1"/>
  <c r="P33" i="147"/>
  <c r="I33" i="147"/>
  <c r="J33" i="147" s="1"/>
  <c r="P32" i="147"/>
  <c r="I32" i="147"/>
  <c r="J32" i="147" s="1"/>
  <c r="P31" i="147"/>
  <c r="I31" i="147"/>
  <c r="J31" i="147" s="1"/>
  <c r="P30" i="147"/>
  <c r="I30" i="147"/>
  <c r="J30" i="147" s="1"/>
  <c r="P29" i="147"/>
  <c r="I29" i="147"/>
  <c r="J29" i="147" s="1"/>
  <c r="P28" i="147"/>
  <c r="I28" i="147"/>
  <c r="J28" i="147" s="1"/>
  <c r="P27" i="147"/>
  <c r="I27" i="147"/>
  <c r="J27" i="147" s="1"/>
  <c r="J22" i="147"/>
  <c r="N21" i="147"/>
  <c r="O21" i="147" s="1"/>
  <c r="J21" i="147"/>
  <c r="C17" i="147"/>
  <c r="D36" i="147" s="1"/>
  <c r="C16" i="147"/>
  <c r="D35" i="147" s="1"/>
  <c r="C15" i="147"/>
  <c r="AD13" i="147"/>
  <c r="AC13" i="147"/>
  <c r="AB13" i="147"/>
  <c r="AA13" i="147"/>
  <c r="Z13" i="147"/>
  <c r="Y13" i="147"/>
  <c r="X13" i="147"/>
  <c r="W13" i="147"/>
  <c r="V13" i="147"/>
  <c r="U13" i="147"/>
  <c r="T13" i="147"/>
  <c r="S13" i="147"/>
  <c r="D11" i="147"/>
  <c r="B11" i="147"/>
  <c r="C11" i="147" s="1"/>
  <c r="C10" i="147"/>
  <c r="C9" i="147"/>
  <c r="A6" i="147"/>
  <c r="A4" i="147"/>
  <c r="D53" i="120"/>
  <c r="AC12" i="136"/>
  <c r="AC12" i="142"/>
  <c r="T12" i="138"/>
  <c r="AB13" i="133"/>
  <c r="T19" i="132"/>
  <c r="G40" i="129"/>
  <c r="J40" i="129" s="1"/>
  <c r="AA12" i="141"/>
  <c r="G31" i="119"/>
  <c r="J31" i="119" s="1"/>
  <c r="X15" i="126"/>
  <c r="AD18" i="132"/>
  <c r="AD17" i="132"/>
  <c r="AB16" i="132"/>
  <c r="Y16" i="100"/>
  <c r="P61" i="145"/>
  <c r="P60" i="145"/>
  <c r="P59" i="145"/>
  <c r="P58" i="145"/>
  <c r="P57" i="145"/>
  <c r="P56" i="145"/>
  <c r="P55" i="145"/>
  <c r="P54" i="145"/>
  <c r="P53" i="145"/>
  <c r="P52" i="145"/>
  <c r="P51" i="145"/>
  <c r="P50" i="145"/>
  <c r="P49" i="145"/>
  <c r="P48" i="145"/>
  <c r="P47" i="145"/>
  <c r="P46" i="145"/>
  <c r="P45" i="145"/>
  <c r="P44" i="145"/>
  <c r="P43" i="145"/>
  <c r="P42" i="145"/>
  <c r="P41" i="145"/>
  <c r="P40" i="145"/>
  <c r="P39" i="145"/>
  <c r="P38" i="145"/>
  <c r="P37" i="145"/>
  <c r="P36" i="145"/>
  <c r="P35" i="145"/>
  <c r="P34" i="145"/>
  <c r="G41" i="130"/>
  <c r="H39" i="139"/>
  <c r="J39" i="139" s="1"/>
  <c r="H40" i="136"/>
  <c r="J40" i="136" s="1"/>
  <c r="H41" i="142"/>
  <c r="J41" i="142" s="1"/>
  <c r="D52" i="120"/>
  <c r="I42" i="156" s="1"/>
  <c r="J42" i="156" s="1"/>
  <c r="N42" i="156" s="1"/>
  <c r="D67" i="136"/>
  <c r="L56" i="136"/>
  <c r="L58" i="136" s="1"/>
  <c r="P54" i="136"/>
  <c r="I54" i="136"/>
  <c r="J54" i="136" s="1"/>
  <c r="N54" i="136" s="1"/>
  <c r="O54" i="136" s="1"/>
  <c r="P53" i="136"/>
  <c r="I53" i="136"/>
  <c r="J53" i="136" s="1"/>
  <c r="P52" i="136"/>
  <c r="I52" i="136"/>
  <c r="J52" i="136" s="1"/>
  <c r="P51" i="136"/>
  <c r="I51" i="136"/>
  <c r="J51" i="136" s="1"/>
  <c r="P50" i="136"/>
  <c r="I50" i="136"/>
  <c r="J50" i="136" s="1"/>
  <c r="P49" i="136"/>
  <c r="I49" i="136"/>
  <c r="N49" i="136" s="1"/>
  <c r="O49" i="136" s="1"/>
  <c r="P48" i="136"/>
  <c r="I48" i="136"/>
  <c r="P47" i="136"/>
  <c r="I47" i="136"/>
  <c r="J47" i="136" s="1"/>
  <c r="P46" i="136"/>
  <c r="I46" i="136"/>
  <c r="N46" i="136" s="1"/>
  <c r="O46" i="136" s="1"/>
  <c r="P45" i="136"/>
  <c r="I45" i="136"/>
  <c r="J45" i="136" s="1"/>
  <c r="P44" i="136"/>
  <c r="I44" i="136"/>
  <c r="I43" i="136"/>
  <c r="J43" i="136" s="1"/>
  <c r="P42" i="136"/>
  <c r="I42" i="136"/>
  <c r="J42" i="136" s="1"/>
  <c r="P41" i="136"/>
  <c r="H41" i="136"/>
  <c r="P40" i="136"/>
  <c r="P39" i="136"/>
  <c r="P38" i="136"/>
  <c r="I38" i="136"/>
  <c r="J38" i="136" s="1"/>
  <c r="P37" i="136"/>
  <c r="I37" i="136"/>
  <c r="J37" i="136" s="1"/>
  <c r="P36" i="136"/>
  <c r="I36" i="136"/>
  <c r="J36" i="136" s="1"/>
  <c r="P35" i="136"/>
  <c r="I35" i="136"/>
  <c r="J35" i="136" s="1"/>
  <c r="P34" i="136"/>
  <c r="I34" i="136"/>
  <c r="J34" i="136" s="1"/>
  <c r="P33" i="136"/>
  <c r="I33" i="136"/>
  <c r="J33" i="136" s="1"/>
  <c r="J28" i="136"/>
  <c r="J27" i="136"/>
  <c r="C17" i="136"/>
  <c r="C16" i="136"/>
  <c r="D39" i="136" s="1"/>
  <c r="C15" i="136"/>
  <c r="C14" i="136"/>
  <c r="AD12" i="136"/>
  <c r="AA12" i="136"/>
  <c r="Z12" i="136"/>
  <c r="W12" i="136"/>
  <c r="V12" i="136"/>
  <c r="S12" i="136"/>
  <c r="D10" i="136"/>
  <c r="B10" i="136"/>
  <c r="C10" i="136" s="1"/>
  <c r="C9" i="136"/>
  <c r="C8" i="136"/>
  <c r="A6" i="136"/>
  <c r="A4" i="136"/>
  <c r="D68" i="142"/>
  <c r="L57" i="142"/>
  <c r="L59" i="142" s="1"/>
  <c r="P55" i="142"/>
  <c r="I55" i="142"/>
  <c r="J55" i="142" s="1"/>
  <c r="N55" i="142" s="1"/>
  <c r="O55" i="142" s="1"/>
  <c r="P54" i="142"/>
  <c r="I54" i="142"/>
  <c r="J54" i="142" s="1"/>
  <c r="P53" i="142"/>
  <c r="I53" i="142"/>
  <c r="J53" i="142" s="1"/>
  <c r="P52" i="142"/>
  <c r="I52" i="142"/>
  <c r="J52" i="142" s="1"/>
  <c r="P51" i="142"/>
  <c r="I51" i="142"/>
  <c r="J51" i="142" s="1"/>
  <c r="P50" i="142"/>
  <c r="I50" i="142"/>
  <c r="N50" i="142" s="1"/>
  <c r="O50" i="142" s="1"/>
  <c r="P49" i="142"/>
  <c r="I49" i="142"/>
  <c r="J49" i="142" s="1"/>
  <c r="P48" i="142"/>
  <c r="I48" i="142"/>
  <c r="J48" i="142" s="1"/>
  <c r="P47" i="142"/>
  <c r="I47" i="142"/>
  <c r="J47" i="142" s="1"/>
  <c r="P46" i="142"/>
  <c r="I46" i="142"/>
  <c r="P45" i="142"/>
  <c r="I45" i="142"/>
  <c r="J45" i="142" s="1"/>
  <c r="P44" i="142"/>
  <c r="I44" i="142"/>
  <c r="J44" i="142" s="1"/>
  <c r="P43" i="142"/>
  <c r="I43" i="142"/>
  <c r="J43" i="142" s="1"/>
  <c r="P42" i="142"/>
  <c r="H42" i="142"/>
  <c r="J42" i="142" s="1"/>
  <c r="P41" i="142"/>
  <c r="P40" i="142"/>
  <c r="P39" i="142"/>
  <c r="I39" i="142"/>
  <c r="J39" i="142" s="1"/>
  <c r="P38" i="142"/>
  <c r="I38" i="142"/>
  <c r="J38" i="142" s="1"/>
  <c r="P37" i="142"/>
  <c r="I37" i="142"/>
  <c r="J37" i="142" s="1"/>
  <c r="P36" i="142"/>
  <c r="I36" i="142"/>
  <c r="J36" i="142" s="1"/>
  <c r="P35" i="142"/>
  <c r="I35" i="142"/>
  <c r="J35" i="142" s="1"/>
  <c r="P34" i="142"/>
  <c r="I34" i="142"/>
  <c r="J34" i="142" s="1"/>
  <c r="J29" i="142"/>
  <c r="J28" i="142"/>
  <c r="N26" i="142"/>
  <c r="O26" i="142" s="1"/>
  <c r="J26" i="142"/>
  <c r="C17" i="142"/>
  <c r="D17" i="142" s="1"/>
  <c r="C16" i="142"/>
  <c r="D53" i="142" s="1"/>
  <c r="C15" i="142"/>
  <c r="C14" i="142"/>
  <c r="AD12" i="142"/>
  <c r="W12" i="142"/>
  <c r="S12" i="142"/>
  <c r="D10" i="142"/>
  <c r="B10" i="142"/>
  <c r="C10" i="142" s="1"/>
  <c r="C9" i="142"/>
  <c r="C8" i="142"/>
  <c r="A6" i="142"/>
  <c r="A4" i="142"/>
  <c r="D68" i="141"/>
  <c r="L57" i="141"/>
  <c r="L59" i="141" s="1"/>
  <c r="P55" i="141"/>
  <c r="I55" i="141"/>
  <c r="J55" i="141" s="1"/>
  <c r="N55" i="141" s="1"/>
  <c r="O55" i="141" s="1"/>
  <c r="P54" i="141"/>
  <c r="I54" i="141"/>
  <c r="J54" i="141" s="1"/>
  <c r="P53" i="141"/>
  <c r="I53" i="141"/>
  <c r="J53" i="141" s="1"/>
  <c r="P52" i="141"/>
  <c r="I52" i="141"/>
  <c r="J52" i="141" s="1"/>
  <c r="P51" i="141"/>
  <c r="I51" i="141"/>
  <c r="J51" i="141" s="1"/>
  <c r="P50" i="141"/>
  <c r="I50" i="141"/>
  <c r="P49" i="141"/>
  <c r="I49" i="141"/>
  <c r="N49" i="141" s="1"/>
  <c r="O49" i="141" s="1"/>
  <c r="P48" i="141"/>
  <c r="I48" i="141"/>
  <c r="J48" i="141" s="1"/>
  <c r="P47" i="141"/>
  <c r="I47" i="141"/>
  <c r="N47" i="141" s="1"/>
  <c r="O47" i="141" s="1"/>
  <c r="P46" i="141"/>
  <c r="I46" i="141"/>
  <c r="J46" i="141" s="1"/>
  <c r="P45" i="141"/>
  <c r="I45" i="141"/>
  <c r="J45" i="141" s="1"/>
  <c r="P44" i="141"/>
  <c r="I44" i="141"/>
  <c r="J44" i="141" s="1"/>
  <c r="P43" i="141"/>
  <c r="I43" i="141"/>
  <c r="J43" i="141" s="1"/>
  <c r="P42" i="141"/>
  <c r="H42" i="141"/>
  <c r="J42" i="141" s="1"/>
  <c r="P41" i="141"/>
  <c r="H41" i="141"/>
  <c r="J41" i="141" s="1"/>
  <c r="P40" i="141"/>
  <c r="P39" i="141"/>
  <c r="I39" i="141"/>
  <c r="J39" i="141" s="1"/>
  <c r="P38" i="141"/>
  <c r="I38" i="141"/>
  <c r="J38" i="141" s="1"/>
  <c r="P37" i="141"/>
  <c r="I37" i="141"/>
  <c r="J37" i="141" s="1"/>
  <c r="P36" i="141"/>
  <c r="I36" i="141"/>
  <c r="J36" i="141" s="1"/>
  <c r="P35" i="141"/>
  <c r="I35" i="141"/>
  <c r="J35" i="141" s="1"/>
  <c r="P34" i="141"/>
  <c r="I34" i="141"/>
  <c r="J34" i="141" s="1"/>
  <c r="J29" i="141"/>
  <c r="J28" i="141"/>
  <c r="N26" i="141"/>
  <c r="O26" i="141" s="1"/>
  <c r="J26" i="141"/>
  <c r="C17" i="141"/>
  <c r="C16" i="141"/>
  <c r="D51" i="141" s="1"/>
  <c r="C15" i="141"/>
  <c r="C14" i="141"/>
  <c r="AD12" i="141"/>
  <c r="AC12" i="141"/>
  <c r="AB12" i="141"/>
  <c r="Z12" i="141"/>
  <c r="Y12" i="141"/>
  <c r="W12" i="141"/>
  <c r="U12" i="141"/>
  <c r="T12" i="141"/>
  <c r="S12" i="141"/>
  <c r="D10" i="141"/>
  <c r="B10" i="141"/>
  <c r="C10" i="141" s="1"/>
  <c r="C9" i="141"/>
  <c r="C8" i="141"/>
  <c r="A6" i="141"/>
  <c r="A4" i="141"/>
  <c r="L51" i="133"/>
  <c r="L53" i="133" s="1"/>
  <c r="P49" i="133"/>
  <c r="I49" i="133"/>
  <c r="J49" i="133" s="1"/>
  <c r="N49" i="133" s="1"/>
  <c r="O49" i="133" s="1"/>
  <c r="P48" i="133"/>
  <c r="I48" i="133"/>
  <c r="J48" i="133" s="1"/>
  <c r="P47" i="133"/>
  <c r="I47" i="133"/>
  <c r="J47" i="133" s="1"/>
  <c r="P46" i="133"/>
  <c r="I46" i="133"/>
  <c r="J46" i="133" s="1"/>
  <c r="P45" i="133"/>
  <c r="I45" i="133"/>
  <c r="J45" i="133" s="1"/>
  <c r="P44" i="133"/>
  <c r="I44" i="133"/>
  <c r="N44" i="133" s="1"/>
  <c r="O44" i="133" s="1"/>
  <c r="P43" i="133"/>
  <c r="I43" i="133"/>
  <c r="N43" i="133" s="1"/>
  <c r="O43" i="133" s="1"/>
  <c r="P42" i="133"/>
  <c r="I42" i="133"/>
  <c r="J42" i="133" s="1"/>
  <c r="P41" i="133"/>
  <c r="I41" i="133"/>
  <c r="N41" i="133" s="1"/>
  <c r="O41" i="133" s="1"/>
  <c r="P40" i="133"/>
  <c r="I40" i="133"/>
  <c r="P39" i="133"/>
  <c r="I39" i="133"/>
  <c r="J39" i="133" s="1"/>
  <c r="P38" i="133"/>
  <c r="I38" i="133"/>
  <c r="J38" i="133" s="1"/>
  <c r="N38" i="133" s="1"/>
  <c r="O38" i="133" s="1"/>
  <c r="P37" i="133"/>
  <c r="I37" i="133"/>
  <c r="J37" i="133" s="1"/>
  <c r="P36" i="133"/>
  <c r="H36" i="133"/>
  <c r="J36" i="133" s="1"/>
  <c r="P35" i="133"/>
  <c r="P34" i="133"/>
  <c r="I34" i="133"/>
  <c r="J34" i="133" s="1"/>
  <c r="P33" i="133"/>
  <c r="I33" i="133"/>
  <c r="J33" i="133" s="1"/>
  <c r="P32" i="133"/>
  <c r="I32" i="133"/>
  <c r="J32" i="133" s="1"/>
  <c r="P31" i="133"/>
  <c r="I31" i="133"/>
  <c r="J31" i="133" s="1"/>
  <c r="P30" i="133"/>
  <c r="I30" i="133"/>
  <c r="J30" i="133" s="1"/>
  <c r="P29" i="133"/>
  <c r="I29" i="133"/>
  <c r="J29" i="133" s="1"/>
  <c r="P28" i="133"/>
  <c r="I28" i="133"/>
  <c r="J28" i="133" s="1"/>
  <c r="J23" i="133"/>
  <c r="J22" i="133"/>
  <c r="N21" i="133"/>
  <c r="O21" i="133" s="1"/>
  <c r="J21" i="133"/>
  <c r="C15" i="133"/>
  <c r="D35" i="133" s="1"/>
  <c r="AD13" i="133"/>
  <c r="AC13" i="133"/>
  <c r="X13" i="133"/>
  <c r="U13" i="133"/>
  <c r="T13" i="133"/>
  <c r="S13" i="133"/>
  <c r="D11" i="133"/>
  <c r="B11" i="133"/>
  <c r="C11" i="133" s="1"/>
  <c r="C10" i="133"/>
  <c r="C9" i="133"/>
  <c r="A6" i="133"/>
  <c r="A4" i="133"/>
  <c r="L48" i="132"/>
  <c r="L50" i="132" s="1"/>
  <c r="P46" i="132"/>
  <c r="I46" i="132"/>
  <c r="J46" i="132" s="1"/>
  <c r="N46" i="132" s="1"/>
  <c r="O46" i="132" s="1"/>
  <c r="P45" i="132"/>
  <c r="I45" i="132"/>
  <c r="J45" i="132" s="1"/>
  <c r="P44" i="132"/>
  <c r="I44" i="132"/>
  <c r="J44" i="132" s="1"/>
  <c r="N44" i="132" s="1"/>
  <c r="O44" i="132" s="1"/>
  <c r="P43" i="132"/>
  <c r="I43" i="132"/>
  <c r="J43" i="132" s="1"/>
  <c r="P42" i="132"/>
  <c r="I42" i="132"/>
  <c r="J42" i="132" s="1"/>
  <c r="P41" i="132"/>
  <c r="I41" i="132"/>
  <c r="N41" i="132" s="1"/>
  <c r="O41" i="132" s="1"/>
  <c r="P40" i="132"/>
  <c r="I40" i="132"/>
  <c r="J40" i="132" s="1"/>
  <c r="P39" i="132"/>
  <c r="I39" i="132"/>
  <c r="J39" i="132" s="1"/>
  <c r="P38" i="132"/>
  <c r="I38" i="132"/>
  <c r="J38" i="132" s="1"/>
  <c r="P37" i="132"/>
  <c r="I37" i="132"/>
  <c r="J37" i="132" s="1"/>
  <c r="P36" i="132"/>
  <c r="I36" i="132"/>
  <c r="J36" i="132" s="1"/>
  <c r="P34" i="132"/>
  <c r="P33" i="132"/>
  <c r="P32" i="132"/>
  <c r="I32" i="132"/>
  <c r="J32" i="132" s="1"/>
  <c r="P31" i="132"/>
  <c r="I31" i="132"/>
  <c r="J31" i="132" s="1"/>
  <c r="P30" i="132"/>
  <c r="I30" i="132"/>
  <c r="J30" i="132" s="1"/>
  <c r="P29" i="132"/>
  <c r="I29" i="132"/>
  <c r="J29" i="132" s="1"/>
  <c r="P28" i="132"/>
  <c r="I28" i="132"/>
  <c r="J28" i="132" s="1"/>
  <c r="P27" i="132"/>
  <c r="I27" i="132"/>
  <c r="J27" i="132" s="1"/>
  <c r="P26" i="132"/>
  <c r="I26" i="132"/>
  <c r="J26" i="132" s="1"/>
  <c r="P25" i="132"/>
  <c r="I25" i="132"/>
  <c r="J25" i="132" s="1"/>
  <c r="J20" i="132"/>
  <c r="AD19" i="132"/>
  <c r="AB19" i="132"/>
  <c r="W19" i="132"/>
  <c r="V19" i="132"/>
  <c r="U19" i="132"/>
  <c r="S19" i="132"/>
  <c r="N19" i="132"/>
  <c r="O19" i="132" s="1"/>
  <c r="J19" i="132"/>
  <c r="AA18" i="132"/>
  <c r="Z18" i="132"/>
  <c r="Y18" i="132"/>
  <c r="X18" i="132"/>
  <c r="W18" i="132"/>
  <c r="U18" i="132"/>
  <c r="AA17" i="132"/>
  <c r="Z17" i="132"/>
  <c r="Y17" i="132"/>
  <c r="X17" i="132"/>
  <c r="W17" i="132"/>
  <c r="AC16" i="132"/>
  <c r="Z16" i="132"/>
  <c r="Y16" i="132"/>
  <c r="X16" i="132"/>
  <c r="T16" i="132"/>
  <c r="C15" i="132"/>
  <c r="D20" i="132" s="1"/>
  <c r="C14" i="132"/>
  <c r="D10" i="132"/>
  <c r="B10" i="132"/>
  <c r="C10" i="132" s="1"/>
  <c r="C9" i="132"/>
  <c r="C8" i="132"/>
  <c r="A5" i="132"/>
  <c r="L54" i="131"/>
  <c r="L56" i="131" s="1"/>
  <c r="P52" i="131"/>
  <c r="I52" i="131"/>
  <c r="J52" i="131" s="1"/>
  <c r="N52" i="131" s="1"/>
  <c r="O52" i="131" s="1"/>
  <c r="P51" i="131"/>
  <c r="I51" i="131"/>
  <c r="J51" i="131" s="1"/>
  <c r="P50" i="131"/>
  <c r="I50" i="131"/>
  <c r="J50" i="131" s="1"/>
  <c r="N50" i="131" s="1"/>
  <c r="O50" i="131" s="1"/>
  <c r="P49" i="131"/>
  <c r="I49" i="131"/>
  <c r="J49" i="131" s="1"/>
  <c r="P48" i="131"/>
  <c r="I48" i="131"/>
  <c r="N48" i="131" s="1"/>
  <c r="O48" i="131" s="1"/>
  <c r="P47" i="131"/>
  <c r="I47" i="131"/>
  <c r="J47" i="131" s="1"/>
  <c r="P46" i="131"/>
  <c r="I46" i="131"/>
  <c r="J46" i="131" s="1"/>
  <c r="P45" i="131"/>
  <c r="I45" i="131"/>
  <c r="N45" i="131" s="1"/>
  <c r="O45" i="131" s="1"/>
  <c r="P44" i="131"/>
  <c r="I44" i="131"/>
  <c r="J44" i="131" s="1"/>
  <c r="P43" i="131"/>
  <c r="I43" i="131"/>
  <c r="J43" i="131" s="1"/>
  <c r="P42" i="131"/>
  <c r="I42" i="131"/>
  <c r="J42" i="131" s="1"/>
  <c r="P40" i="131"/>
  <c r="P39" i="131"/>
  <c r="P38" i="131"/>
  <c r="I38" i="131"/>
  <c r="J38" i="131" s="1"/>
  <c r="P37" i="131"/>
  <c r="I37" i="131"/>
  <c r="J37" i="131" s="1"/>
  <c r="P36" i="131"/>
  <c r="I36" i="131"/>
  <c r="J36" i="131" s="1"/>
  <c r="P35" i="131"/>
  <c r="I35" i="131"/>
  <c r="J35" i="131" s="1"/>
  <c r="P34" i="131"/>
  <c r="I34" i="131"/>
  <c r="J34" i="131" s="1"/>
  <c r="P33" i="131"/>
  <c r="I33" i="131"/>
  <c r="J33" i="131" s="1"/>
  <c r="P32" i="131"/>
  <c r="I32" i="131"/>
  <c r="J32" i="131" s="1"/>
  <c r="P31" i="131"/>
  <c r="I31" i="131"/>
  <c r="J31" i="131" s="1"/>
  <c r="J26" i="131"/>
  <c r="N25" i="131"/>
  <c r="O25" i="131" s="1"/>
  <c r="J25" i="131"/>
  <c r="D17" i="131"/>
  <c r="D11" i="131"/>
  <c r="B11" i="131"/>
  <c r="C11" i="131" s="1"/>
  <c r="C10" i="131"/>
  <c r="C9" i="131"/>
  <c r="A6" i="131"/>
  <c r="A4" i="131"/>
  <c r="D73" i="130"/>
  <c r="P60" i="130"/>
  <c r="I60" i="130"/>
  <c r="J60" i="130" s="1"/>
  <c r="N60" i="130" s="1"/>
  <c r="O60" i="130" s="1"/>
  <c r="P59" i="130"/>
  <c r="I59" i="130"/>
  <c r="J59" i="130" s="1"/>
  <c r="P58" i="130"/>
  <c r="I58" i="130"/>
  <c r="J58" i="130" s="1"/>
  <c r="P57" i="130"/>
  <c r="I57" i="130"/>
  <c r="J57" i="130" s="1"/>
  <c r="P56" i="130"/>
  <c r="I56" i="130"/>
  <c r="J56" i="130" s="1"/>
  <c r="P55" i="130"/>
  <c r="G55" i="130"/>
  <c r="J55" i="130" s="1"/>
  <c r="D55" i="130"/>
  <c r="P54" i="130"/>
  <c r="I54" i="130"/>
  <c r="J54" i="130" s="1"/>
  <c r="P53" i="130"/>
  <c r="I53" i="130"/>
  <c r="N53" i="130" s="1"/>
  <c r="O53" i="130" s="1"/>
  <c r="P52" i="130"/>
  <c r="I52" i="130"/>
  <c r="J52" i="130" s="1"/>
  <c r="P51" i="130"/>
  <c r="J51" i="130"/>
  <c r="P50" i="130"/>
  <c r="J50" i="130"/>
  <c r="P49" i="130"/>
  <c r="I49" i="130"/>
  <c r="N49" i="130" s="1"/>
  <c r="O49" i="130" s="1"/>
  <c r="P48" i="130"/>
  <c r="I48" i="130"/>
  <c r="J48" i="130" s="1"/>
  <c r="P47" i="130"/>
  <c r="I47" i="130"/>
  <c r="J47" i="130" s="1"/>
  <c r="I46" i="130"/>
  <c r="J46" i="130" s="1"/>
  <c r="P45" i="130"/>
  <c r="I45" i="130"/>
  <c r="J45" i="130" s="1"/>
  <c r="P44" i="130"/>
  <c r="H44" i="130"/>
  <c r="P43" i="130"/>
  <c r="H43" i="130"/>
  <c r="J43" i="130" s="1"/>
  <c r="P42" i="130"/>
  <c r="P41" i="130"/>
  <c r="D41" i="130"/>
  <c r="P40" i="130"/>
  <c r="G40" i="130"/>
  <c r="J40" i="130" s="1"/>
  <c r="D40" i="130"/>
  <c r="P39" i="130"/>
  <c r="G39" i="130"/>
  <c r="J39" i="130" s="1"/>
  <c r="D39" i="130"/>
  <c r="P38" i="130"/>
  <c r="I38" i="130"/>
  <c r="J38" i="130" s="1"/>
  <c r="P37" i="130"/>
  <c r="I37" i="130"/>
  <c r="J37" i="130" s="1"/>
  <c r="P36" i="130"/>
  <c r="I36" i="130"/>
  <c r="J36" i="130" s="1"/>
  <c r="P35" i="130"/>
  <c r="I35" i="130"/>
  <c r="J35" i="130" s="1"/>
  <c r="P34" i="130"/>
  <c r="I34" i="130"/>
  <c r="J34" i="130" s="1"/>
  <c r="P33" i="130"/>
  <c r="I33" i="130"/>
  <c r="J33" i="130" s="1"/>
  <c r="J28" i="130"/>
  <c r="J27" i="130"/>
  <c r="C17" i="130"/>
  <c r="C16" i="130"/>
  <c r="D43" i="130" s="1"/>
  <c r="C15" i="130"/>
  <c r="C14" i="130"/>
  <c r="AD12" i="130"/>
  <c r="AC12" i="130"/>
  <c r="AB12" i="130"/>
  <c r="AA12" i="130"/>
  <c r="Z12" i="130"/>
  <c r="Y12" i="130"/>
  <c r="X12" i="130"/>
  <c r="W12" i="130"/>
  <c r="V12" i="130"/>
  <c r="U12" i="130"/>
  <c r="T12" i="130"/>
  <c r="S12" i="130"/>
  <c r="D10" i="130"/>
  <c r="B10" i="130"/>
  <c r="C10" i="130" s="1"/>
  <c r="C9" i="130"/>
  <c r="C8" i="130"/>
  <c r="A6" i="130"/>
  <c r="A4" i="130"/>
  <c r="D74" i="129"/>
  <c r="P61" i="129"/>
  <c r="I61" i="129"/>
  <c r="J61" i="129" s="1"/>
  <c r="N61" i="129" s="1"/>
  <c r="O61" i="129" s="1"/>
  <c r="P60" i="129"/>
  <c r="I60" i="129"/>
  <c r="J60" i="129" s="1"/>
  <c r="P59" i="129"/>
  <c r="I59" i="129"/>
  <c r="J59" i="129" s="1"/>
  <c r="P58" i="129"/>
  <c r="I58" i="129"/>
  <c r="J58" i="129" s="1"/>
  <c r="P57" i="129"/>
  <c r="I57" i="129"/>
  <c r="J57" i="129" s="1"/>
  <c r="P56" i="129"/>
  <c r="G56" i="129"/>
  <c r="J56" i="129" s="1"/>
  <c r="D56" i="129"/>
  <c r="P55" i="129"/>
  <c r="I55" i="129"/>
  <c r="P54" i="129"/>
  <c r="I54" i="129"/>
  <c r="J54" i="129" s="1"/>
  <c r="P53" i="129"/>
  <c r="I53" i="129"/>
  <c r="J53" i="129" s="1"/>
  <c r="P52" i="129"/>
  <c r="J52" i="129"/>
  <c r="P51" i="129"/>
  <c r="J51" i="129"/>
  <c r="P50" i="129"/>
  <c r="I50" i="129"/>
  <c r="N50" i="129" s="1"/>
  <c r="O50" i="129" s="1"/>
  <c r="P49" i="129"/>
  <c r="I49" i="129"/>
  <c r="J49" i="129" s="1"/>
  <c r="P48" i="129"/>
  <c r="I48" i="129"/>
  <c r="J48" i="129" s="1"/>
  <c r="P47" i="129"/>
  <c r="I47" i="129"/>
  <c r="J47" i="129" s="1"/>
  <c r="P46" i="129"/>
  <c r="I46" i="129"/>
  <c r="J46" i="129" s="1"/>
  <c r="P45" i="129"/>
  <c r="H45" i="129"/>
  <c r="J45" i="129" s="1"/>
  <c r="P44" i="129"/>
  <c r="P43" i="129"/>
  <c r="P42" i="129"/>
  <c r="D42" i="129"/>
  <c r="P41" i="129"/>
  <c r="G41" i="129"/>
  <c r="J41" i="129" s="1"/>
  <c r="D41" i="129"/>
  <c r="P40" i="129"/>
  <c r="D40" i="129"/>
  <c r="P39" i="129"/>
  <c r="I39" i="129"/>
  <c r="J39" i="129" s="1"/>
  <c r="P38" i="129"/>
  <c r="I38" i="129"/>
  <c r="J38" i="129" s="1"/>
  <c r="P37" i="129"/>
  <c r="I37" i="129"/>
  <c r="J37" i="129" s="1"/>
  <c r="P36" i="129"/>
  <c r="I36" i="129"/>
  <c r="J36" i="129" s="1"/>
  <c r="P35" i="129"/>
  <c r="I35" i="129"/>
  <c r="J35" i="129" s="1"/>
  <c r="P34" i="129"/>
  <c r="I34" i="129"/>
  <c r="J34" i="129" s="1"/>
  <c r="J29" i="129"/>
  <c r="J28" i="129"/>
  <c r="N26" i="129"/>
  <c r="O26" i="129" s="1"/>
  <c r="J26" i="129"/>
  <c r="C17" i="129"/>
  <c r="D17" i="129" s="1"/>
  <c r="C16" i="129"/>
  <c r="D46" i="129" s="1"/>
  <c r="C15" i="129"/>
  <c r="C14" i="129"/>
  <c r="AD12" i="129"/>
  <c r="AB12" i="129"/>
  <c r="AA12" i="129"/>
  <c r="W12" i="129"/>
  <c r="U12" i="129"/>
  <c r="T12" i="129"/>
  <c r="S12" i="129"/>
  <c r="D10" i="129"/>
  <c r="B10" i="129"/>
  <c r="C10" i="129" s="1"/>
  <c r="C9" i="129"/>
  <c r="C8" i="129"/>
  <c r="A6" i="129"/>
  <c r="A4" i="129"/>
  <c r="I61" i="145"/>
  <c r="J61" i="145" s="1"/>
  <c r="N61" i="145" s="1"/>
  <c r="O61" i="145" s="1"/>
  <c r="I60" i="145"/>
  <c r="J60" i="145" s="1"/>
  <c r="I59" i="145"/>
  <c r="J59" i="145" s="1"/>
  <c r="I58" i="145"/>
  <c r="J58" i="145" s="1"/>
  <c r="I57" i="145"/>
  <c r="J57" i="145" s="1"/>
  <c r="G56" i="145"/>
  <c r="J56" i="145" s="1"/>
  <c r="D56" i="145"/>
  <c r="I55" i="145"/>
  <c r="I54" i="145"/>
  <c r="J54" i="145" s="1"/>
  <c r="I53" i="145"/>
  <c r="J53" i="145" s="1"/>
  <c r="I50" i="145"/>
  <c r="J50" i="145" s="1"/>
  <c r="I49" i="145"/>
  <c r="J49" i="145" s="1"/>
  <c r="I48" i="145"/>
  <c r="J48" i="145" s="1"/>
  <c r="I47" i="145"/>
  <c r="J47" i="145" s="1"/>
  <c r="O46" i="145"/>
  <c r="I46" i="145"/>
  <c r="J46" i="145" s="1"/>
  <c r="H45" i="145"/>
  <c r="H44" i="145"/>
  <c r="J44" i="145" s="1"/>
  <c r="G42" i="145"/>
  <c r="J42" i="145" s="1"/>
  <c r="D42" i="145"/>
  <c r="G41" i="145"/>
  <c r="J41" i="145" s="1"/>
  <c r="D41" i="145"/>
  <c r="D40" i="145"/>
  <c r="O39" i="145"/>
  <c r="I39" i="145"/>
  <c r="J39" i="145" s="1"/>
  <c r="I38" i="145"/>
  <c r="J38" i="145" s="1"/>
  <c r="I37" i="145"/>
  <c r="J37" i="145" s="1"/>
  <c r="I36" i="145"/>
  <c r="J36" i="145" s="1"/>
  <c r="I35" i="145"/>
  <c r="J35" i="145" s="1"/>
  <c r="I34" i="145"/>
  <c r="J34" i="145" s="1"/>
  <c r="J29" i="145"/>
  <c r="J28" i="145"/>
  <c r="N26" i="145"/>
  <c r="O26" i="145" s="1"/>
  <c r="J26" i="145"/>
  <c r="C17" i="145"/>
  <c r="C16" i="145"/>
  <c r="D46" i="145" s="1"/>
  <c r="C15" i="145"/>
  <c r="C14" i="145"/>
  <c r="D10" i="145"/>
  <c r="B10" i="145"/>
  <c r="C10" i="145" s="1"/>
  <c r="C9" i="145"/>
  <c r="C8" i="145"/>
  <c r="A6" i="145"/>
  <c r="D67" i="139"/>
  <c r="P54" i="139"/>
  <c r="I54" i="139"/>
  <c r="J54" i="139" s="1"/>
  <c r="N54" i="139" s="1"/>
  <c r="O54" i="139" s="1"/>
  <c r="P53" i="139"/>
  <c r="I53" i="139"/>
  <c r="J53" i="139" s="1"/>
  <c r="P52" i="139"/>
  <c r="I52" i="139"/>
  <c r="J52" i="139" s="1"/>
  <c r="P51" i="139"/>
  <c r="I51" i="139"/>
  <c r="J51" i="139" s="1"/>
  <c r="P50" i="139"/>
  <c r="I50" i="139"/>
  <c r="J50" i="139" s="1"/>
  <c r="P49" i="139"/>
  <c r="G49" i="139"/>
  <c r="J49" i="139" s="1"/>
  <c r="D49" i="139"/>
  <c r="P48" i="139"/>
  <c r="I48" i="139"/>
  <c r="N48" i="139" s="1"/>
  <c r="O48" i="139" s="1"/>
  <c r="P47" i="139"/>
  <c r="I47" i="139"/>
  <c r="N47" i="139" s="1"/>
  <c r="O47" i="139" s="1"/>
  <c r="P46" i="139"/>
  <c r="I46" i="139"/>
  <c r="J46" i="139" s="1"/>
  <c r="P45" i="139"/>
  <c r="J45" i="139"/>
  <c r="P44" i="139"/>
  <c r="J44" i="139"/>
  <c r="P43" i="139"/>
  <c r="I43" i="139"/>
  <c r="J43" i="139" s="1"/>
  <c r="P42" i="139"/>
  <c r="I42" i="139"/>
  <c r="J42" i="139" s="1"/>
  <c r="P41" i="139"/>
  <c r="I41" i="139"/>
  <c r="J41" i="139" s="1"/>
  <c r="P40" i="139"/>
  <c r="I40" i="139"/>
  <c r="J40" i="139" s="1"/>
  <c r="P39" i="139"/>
  <c r="P38" i="139"/>
  <c r="P37" i="139"/>
  <c r="G37" i="139"/>
  <c r="J37" i="139" s="1"/>
  <c r="D37" i="139"/>
  <c r="P36" i="139"/>
  <c r="G36" i="139"/>
  <c r="J36" i="139" s="1"/>
  <c r="D36" i="139"/>
  <c r="P35" i="139"/>
  <c r="D35" i="139"/>
  <c r="P34" i="139"/>
  <c r="I34" i="139"/>
  <c r="J34" i="139" s="1"/>
  <c r="P33" i="139"/>
  <c r="I33" i="139"/>
  <c r="J33" i="139" s="1"/>
  <c r="P32" i="139"/>
  <c r="I32" i="139"/>
  <c r="J32" i="139" s="1"/>
  <c r="P31" i="139"/>
  <c r="I31" i="139"/>
  <c r="J31" i="139" s="1"/>
  <c r="P30" i="139"/>
  <c r="I30" i="139"/>
  <c r="J30" i="139" s="1"/>
  <c r="P29" i="139"/>
  <c r="I29" i="139"/>
  <c r="J29" i="139" s="1"/>
  <c r="J24" i="139"/>
  <c r="N23" i="139"/>
  <c r="O23" i="139" s="1"/>
  <c r="J23" i="139"/>
  <c r="C16" i="139"/>
  <c r="D51" i="139" s="1"/>
  <c r="C15" i="139"/>
  <c r="C14" i="139"/>
  <c r="AD12" i="139"/>
  <c r="AB12" i="139"/>
  <c r="W12" i="139"/>
  <c r="V12" i="139"/>
  <c r="U12" i="139"/>
  <c r="T12" i="139"/>
  <c r="S12" i="139"/>
  <c r="D10" i="139"/>
  <c r="B10" i="139"/>
  <c r="C10" i="139" s="1"/>
  <c r="C9" i="139"/>
  <c r="C8" i="139"/>
  <c r="A6" i="139"/>
  <c r="A4" i="139"/>
  <c r="D67" i="138"/>
  <c r="P54" i="138"/>
  <c r="I54" i="138"/>
  <c r="J54" i="138" s="1"/>
  <c r="N54" i="138" s="1"/>
  <c r="O54" i="138" s="1"/>
  <c r="P53" i="138"/>
  <c r="I53" i="138"/>
  <c r="J53" i="138" s="1"/>
  <c r="P52" i="138"/>
  <c r="I52" i="138"/>
  <c r="J52" i="138" s="1"/>
  <c r="P51" i="138"/>
  <c r="I51" i="138"/>
  <c r="J51" i="138" s="1"/>
  <c r="P50" i="138"/>
  <c r="I50" i="138"/>
  <c r="J50" i="138" s="1"/>
  <c r="P49" i="138"/>
  <c r="G49" i="138"/>
  <c r="J49" i="138" s="1"/>
  <c r="D49" i="138"/>
  <c r="P48" i="138"/>
  <c r="I48" i="138"/>
  <c r="N48" i="138" s="1"/>
  <c r="O48" i="138" s="1"/>
  <c r="P47" i="138"/>
  <c r="I47" i="138"/>
  <c r="J47" i="138" s="1"/>
  <c r="P46" i="138"/>
  <c r="I46" i="138"/>
  <c r="J46" i="138" s="1"/>
  <c r="P45" i="138"/>
  <c r="J45" i="138"/>
  <c r="P44" i="138"/>
  <c r="J44" i="138"/>
  <c r="P43" i="138"/>
  <c r="I43" i="138"/>
  <c r="N43" i="138" s="1"/>
  <c r="O43" i="138" s="1"/>
  <c r="P42" i="138"/>
  <c r="I42" i="138"/>
  <c r="J42" i="138" s="1"/>
  <c r="P41" i="138"/>
  <c r="I41" i="138"/>
  <c r="J41" i="138" s="1"/>
  <c r="P40" i="138"/>
  <c r="I40" i="138"/>
  <c r="J40" i="138" s="1"/>
  <c r="P39" i="138"/>
  <c r="H39" i="138"/>
  <c r="J39" i="138" s="1"/>
  <c r="P38" i="138"/>
  <c r="P37" i="138"/>
  <c r="G37" i="138"/>
  <c r="J37" i="138" s="1"/>
  <c r="D37" i="138"/>
  <c r="P36" i="138"/>
  <c r="G36" i="138"/>
  <c r="J36" i="138" s="1"/>
  <c r="D36" i="138"/>
  <c r="P35" i="138"/>
  <c r="D35" i="138"/>
  <c r="P34" i="138"/>
  <c r="I34" i="138"/>
  <c r="J34" i="138" s="1"/>
  <c r="P33" i="138"/>
  <c r="I33" i="138"/>
  <c r="J33" i="138" s="1"/>
  <c r="P32" i="138"/>
  <c r="I32" i="138"/>
  <c r="J32" i="138" s="1"/>
  <c r="P31" i="138"/>
  <c r="I31" i="138"/>
  <c r="J31" i="138" s="1"/>
  <c r="P30" i="138"/>
  <c r="I30" i="138"/>
  <c r="J30" i="138" s="1"/>
  <c r="P29" i="138"/>
  <c r="I29" i="138"/>
  <c r="J29" i="138" s="1"/>
  <c r="J24" i="138"/>
  <c r="N23" i="138"/>
  <c r="O23" i="138" s="1"/>
  <c r="J23" i="138"/>
  <c r="C16" i="138"/>
  <c r="D51" i="138" s="1"/>
  <c r="C15" i="138"/>
  <c r="C14" i="138"/>
  <c r="AD12" i="138"/>
  <c r="AC12" i="138"/>
  <c r="AA12" i="138"/>
  <c r="W12" i="138"/>
  <c r="V12" i="138"/>
  <c r="U12" i="138"/>
  <c r="S12" i="138"/>
  <c r="D10" i="138"/>
  <c r="B10" i="138"/>
  <c r="C10" i="138" s="1"/>
  <c r="C9" i="138"/>
  <c r="C8" i="138"/>
  <c r="A6" i="138"/>
  <c r="A4" i="138"/>
  <c r="P52" i="119"/>
  <c r="I52" i="119"/>
  <c r="J52" i="119" s="1"/>
  <c r="N52" i="119" s="1"/>
  <c r="O52" i="119" s="1"/>
  <c r="P51" i="119"/>
  <c r="I51" i="119"/>
  <c r="J51" i="119" s="1"/>
  <c r="D51" i="119"/>
  <c r="P50" i="119"/>
  <c r="I50" i="119"/>
  <c r="J50" i="119" s="1"/>
  <c r="P49" i="119"/>
  <c r="I49" i="119"/>
  <c r="J49" i="119" s="1"/>
  <c r="P48" i="119"/>
  <c r="I48" i="119"/>
  <c r="J48" i="119" s="1"/>
  <c r="P47" i="119"/>
  <c r="G47" i="119"/>
  <c r="J47" i="119" s="1"/>
  <c r="D47" i="119"/>
  <c r="P46" i="119"/>
  <c r="N46" i="119"/>
  <c r="O46" i="119" s="1"/>
  <c r="I46" i="119"/>
  <c r="J46" i="119" s="1"/>
  <c r="P45" i="119"/>
  <c r="I45" i="119"/>
  <c r="N45" i="119" s="1"/>
  <c r="O45" i="119" s="1"/>
  <c r="P44" i="119"/>
  <c r="I44" i="119"/>
  <c r="J44" i="119" s="1"/>
  <c r="P43" i="119"/>
  <c r="J43" i="119"/>
  <c r="P42" i="119"/>
  <c r="J42" i="119"/>
  <c r="P41" i="119"/>
  <c r="I41" i="119"/>
  <c r="J41" i="119" s="1"/>
  <c r="P40" i="119"/>
  <c r="I40" i="119"/>
  <c r="J40" i="119" s="1"/>
  <c r="P39" i="119"/>
  <c r="I39" i="119"/>
  <c r="J39" i="119" s="1"/>
  <c r="P38" i="119"/>
  <c r="I38" i="119"/>
  <c r="J38" i="119" s="1"/>
  <c r="N38" i="119" s="1"/>
  <c r="O38" i="119" s="1"/>
  <c r="P37" i="119"/>
  <c r="I37" i="119"/>
  <c r="J37" i="119" s="1"/>
  <c r="P36" i="119"/>
  <c r="H36" i="119"/>
  <c r="J36" i="119" s="1"/>
  <c r="P35" i="119"/>
  <c r="P34" i="119"/>
  <c r="G34" i="119"/>
  <c r="J34" i="119" s="1"/>
  <c r="D34" i="119"/>
  <c r="P33" i="119"/>
  <c r="G33" i="119"/>
  <c r="D33" i="119"/>
  <c r="P32" i="119"/>
  <c r="G32" i="119"/>
  <c r="J32" i="119" s="1"/>
  <c r="D32" i="119"/>
  <c r="P31" i="119"/>
  <c r="D31" i="119"/>
  <c r="P30" i="119"/>
  <c r="I30" i="119"/>
  <c r="J30" i="119" s="1"/>
  <c r="P29" i="119"/>
  <c r="I29" i="119"/>
  <c r="J29" i="119" s="1"/>
  <c r="P28" i="119"/>
  <c r="I28" i="119"/>
  <c r="J28" i="119" s="1"/>
  <c r="P27" i="119"/>
  <c r="I27" i="119"/>
  <c r="J27" i="119" s="1"/>
  <c r="P26" i="119"/>
  <c r="I26" i="119"/>
  <c r="J26" i="119" s="1"/>
  <c r="P25" i="119"/>
  <c r="I25" i="119"/>
  <c r="J25" i="119" s="1"/>
  <c r="J20" i="119"/>
  <c r="N19" i="119"/>
  <c r="O19" i="119" s="1"/>
  <c r="J19" i="119"/>
  <c r="C15" i="119"/>
  <c r="D36" i="119" s="1"/>
  <c r="AD13" i="119"/>
  <c r="AC13" i="119"/>
  <c r="AB13" i="119"/>
  <c r="W13" i="119"/>
  <c r="D11" i="119"/>
  <c r="B11" i="119"/>
  <c r="C11" i="119" s="1"/>
  <c r="C10" i="119"/>
  <c r="C9" i="119"/>
  <c r="A5" i="119"/>
  <c r="A4" i="119"/>
  <c r="P54" i="128"/>
  <c r="I54" i="128"/>
  <c r="J54" i="128" s="1"/>
  <c r="N54" i="128" s="1"/>
  <c r="O54" i="128" s="1"/>
  <c r="P53" i="128"/>
  <c r="I53" i="128"/>
  <c r="J53" i="128" s="1"/>
  <c r="P52" i="128"/>
  <c r="I52" i="128"/>
  <c r="J52" i="128" s="1"/>
  <c r="P51" i="128"/>
  <c r="I51" i="128"/>
  <c r="J51" i="128" s="1"/>
  <c r="P50" i="128"/>
  <c r="I50" i="128"/>
  <c r="J50" i="128" s="1"/>
  <c r="P49" i="128"/>
  <c r="G49" i="128"/>
  <c r="J49" i="128" s="1"/>
  <c r="P48" i="128"/>
  <c r="I48" i="128"/>
  <c r="N48" i="128" s="1"/>
  <c r="O48" i="128" s="1"/>
  <c r="P47" i="128"/>
  <c r="I47" i="128"/>
  <c r="N47" i="128" s="1"/>
  <c r="O47" i="128" s="1"/>
  <c r="P46" i="128"/>
  <c r="I46" i="128"/>
  <c r="J46" i="128" s="1"/>
  <c r="P45" i="128"/>
  <c r="J45" i="128"/>
  <c r="P44" i="128"/>
  <c r="I44" i="128"/>
  <c r="J44" i="128" s="1"/>
  <c r="P43" i="128"/>
  <c r="I43" i="128"/>
  <c r="P42" i="128"/>
  <c r="I42" i="128"/>
  <c r="J42" i="128" s="1"/>
  <c r="I41" i="128"/>
  <c r="J41" i="128" s="1"/>
  <c r="N41" i="128" s="1"/>
  <c r="O41" i="128" s="1"/>
  <c r="P40" i="128"/>
  <c r="I40" i="128"/>
  <c r="J40" i="128" s="1"/>
  <c r="P39" i="128"/>
  <c r="H39" i="128"/>
  <c r="J39" i="128" s="1"/>
  <c r="P38" i="128"/>
  <c r="P37" i="128"/>
  <c r="G37" i="128"/>
  <c r="J37" i="128" s="1"/>
  <c r="P36" i="128"/>
  <c r="G36" i="128"/>
  <c r="J36" i="128" s="1"/>
  <c r="P35" i="128"/>
  <c r="G35" i="128"/>
  <c r="J35" i="128" s="1"/>
  <c r="P34" i="128"/>
  <c r="G34" i="128"/>
  <c r="J34" i="128" s="1"/>
  <c r="P33" i="128"/>
  <c r="I33" i="128"/>
  <c r="J33" i="128" s="1"/>
  <c r="P32" i="128"/>
  <c r="I32" i="128"/>
  <c r="J32" i="128" s="1"/>
  <c r="P31" i="128"/>
  <c r="I31" i="128"/>
  <c r="J31" i="128" s="1"/>
  <c r="P30" i="128"/>
  <c r="I30" i="128"/>
  <c r="J30" i="128" s="1"/>
  <c r="P29" i="128"/>
  <c r="I29" i="128"/>
  <c r="J29" i="128" s="1"/>
  <c r="P28" i="128"/>
  <c r="I28" i="128"/>
  <c r="J28" i="128" s="1"/>
  <c r="P27" i="128"/>
  <c r="I27" i="128"/>
  <c r="J27" i="128" s="1"/>
  <c r="J22" i="128"/>
  <c r="N21" i="128"/>
  <c r="O21" i="128" s="1"/>
  <c r="J21" i="128"/>
  <c r="C17" i="128"/>
  <c r="D36" i="128" s="1"/>
  <c r="C16" i="128"/>
  <c r="C15" i="128"/>
  <c r="D51" i="128" s="1"/>
  <c r="AD13" i="128"/>
  <c r="AC13" i="128"/>
  <c r="AA13" i="128"/>
  <c r="U13" i="128"/>
  <c r="T13" i="128"/>
  <c r="S13" i="128"/>
  <c r="D11" i="128"/>
  <c r="B11" i="128"/>
  <c r="C11" i="128" s="1"/>
  <c r="C10" i="128"/>
  <c r="C9" i="128"/>
  <c r="A6" i="128"/>
  <c r="A4" i="128"/>
  <c r="P53" i="37"/>
  <c r="I53" i="37"/>
  <c r="J53" i="37" s="1"/>
  <c r="N53" i="37" s="1"/>
  <c r="O53" i="37" s="1"/>
  <c r="P52" i="37"/>
  <c r="I52" i="37"/>
  <c r="J52" i="37" s="1"/>
  <c r="P51" i="37"/>
  <c r="I51" i="37"/>
  <c r="J51" i="37" s="1"/>
  <c r="P50" i="37"/>
  <c r="I50" i="37"/>
  <c r="J50" i="37" s="1"/>
  <c r="P49" i="37"/>
  <c r="I49" i="37"/>
  <c r="J49" i="37" s="1"/>
  <c r="P48" i="37"/>
  <c r="G48" i="37"/>
  <c r="J48" i="37" s="1"/>
  <c r="D48" i="37"/>
  <c r="P47" i="37"/>
  <c r="I47" i="37"/>
  <c r="N47" i="37" s="1"/>
  <c r="O47" i="37" s="1"/>
  <c r="P46" i="37"/>
  <c r="I46" i="37"/>
  <c r="J46" i="37" s="1"/>
  <c r="P45" i="37"/>
  <c r="I45" i="37"/>
  <c r="J45" i="37" s="1"/>
  <c r="P44" i="37"/>
  <c r="J44" i="37"/>
  <c r="P43" i="37"/>
  <c r="I43" i="37"/>
  <c r="N43" i="37" s="1"/>
  <c r="O43" i="37" s="1"/>
  <c r="P42" i="37"/>
  <c r="I42" i="37"/>
  <c r="P41" i="37"/>
  <c r="I41" i="37"/>
  <c r="J41" i="37" s="1"/>
  <c r="P40" i="37"/>
  <c r="I40" i="37"/>
  <c r="J40" i="37" s="1"/>
  <c r="N40" i="37" s="1"/>
  <c r="O40" i="37" s="1"/>
  <c r="P39" i="37"/>
  <c r="I39" i="37"/>
  <c r="J39" i="37" s="1"/>
  <c r="P38" i="37"/>
  <c r="H38" i="37"/>
  <c r="J38" i="37" s="1"/>
  <c r="P37" i="37"/>
  <c r="P36" i="37"/>
  <c r="G36" i="37"/>
  <c r="J36" i="37" s="1"/>
  <c r="D36" i="37"/>
  <c r="P35" i="37"/>
  <c r="G35" i="37"/>
  <c r="J35" i="37" s="1"/>
  <c r="D35" i="37"/>
  <c r="P34" i="37"/>
  <c r="D34" i="37"/>
  <c r="P33" i="37"/>
  <c r="I33" i="37"/>
  <c r="J33" i="37" s="1"/>
  <c r="P32" i="37"/>
  <c r="I32" i="37"/>
  <c r="J32" i="37" s="1"/>
  <c r="P31" i="37"/>
  <c r="I31" i="37"/>
  <c r="J31" i="37" s="1"/>
  <c r="P30" i="37"/>
  <c r="I30" i="37"/>
  <c r="J30" i="37" s="1"/>
  <c r="P29" i="37"/>
  <c r="I29" i="37"/>
  <c r="J29" i="37" s="1"/>
  <c r="P28" i="37"/>
  <c r="I28" i="37"/>
  <c r="J28" i="37" s="1"/>
  <c r="P27" i="37"/>
  <c r="I27" i="37"/>
  <c r="J27" i="37" s="1"/>
  <c r="J22" i="37"/>
  <c r="N21" i="37"/>
  <c r="O21" i="37" s="1"/>
  <c r="J21" i="37"/>
  <c r="C15" i="37"/>
  <c r="AA13" i="37"/>
  <c r="Z13" i="37"/>
  <c r="W13" i="37"/>
  <c r="V13" i="37"/>
  <c r="U13" i="37"/>
  <c r="D11" i="37"/>
  <c r="B11" i="37"/>
  <c r="C11" i="37" s="1"/>
  <c r="C10" i="37"/>
  <c r="C9" i="37"/>
  <c r="A6" i="37"/>
  <c r="A4" i="37"/>
  <c r="P57" i="140"/>
  <c r="I57" i="140"/>
  <c r="J57" i="140" s="1"/>
  <c r="N57" i="140" s="1"/>
  <c r="O57" i="140" s="1"/>
  <c r="P56" i="140"/>
  <c r="I56" i="140"/>
  <c r="J56" i="140" s="1"/>
  <c r="P55" i="140"/>
  <c r="I55" i="140"/>
  <c r="J55" i="140" s="1"/>
  <c r="N55" i="140" s="1"/>
  <c r="O55" i="140" s="1"/>
  <c r="P54" i="140"/>
  <c r="I54" i="140"/>
  <c r="J54" i="140" s="1"/>
  <c r="P53" i="140"/>
  <c r="G53" i="140"/>
  <c r="J53" i="140" s="1"/>
  <c r="D53" i="140"/>
  <c r="P52" i="140"/>
  <c r="I52" i="140"/>
  <c r="N52" i="140" s="1"/>
  <c r="O52" i="140" s="1"/>
  <c r="P51" i="140"/>
  <c r="I51" i="140"/>
  <c r="N51" i="140" s="1"/>
  <c r="O51" i="140" s="1"/>
  <c r="P50" i="140"/>
  <c r="I50" i="140"/>
  <c r="J50" i="140" s="1"/>
  <c r="P49" i="140"/>
  <c r="J49" i="140"/>
  <c r="P48" i="140"/>
  <c r="I48" i="140"/>
  <c r="N48" i="140" s="1"/>
  <c r="O48" i="140" s="1"/>
  <c r="P47" i="140"/>
  <c r="I47" i="140"/>
  <c r="P46" i="140"/>
  <c r="I46" i="140"/>
  <c r="J46" i="140" s="1"/>
  <c r="P45" i="140"/>
  <c r="I45" i="140"/>
  <c r="J45" i="140" s="1"/>
  <c r="P43" i="140"/>
  <c r="H43" i="140"/>
  <c r="J43" i="140" s="1"/>
  <c r="P42" i="140"/>
  <c r="P41" i="140"/>
  <c r="G41" i="140"/>
  <c r="J41" i="140" s="1"/>
  <c r="D41" i="140"/>
  <c r="P40" i="140"/>
  <c r="G40" i="140"/>
  <c r="J40" i="140" s="1"/>
  <c r="D40" i="140"/>
  <c r="P39" i="140"/>
  <c r="D39" i="140"/>
  <c r="P38" i="140"/>
  <c r="I38" i="140"/>
  <c r="J38" i="140" s="1"/>
  <c r="P37" i="140"/>
  <c r="I37" i="140"/>
  <c r="J37" i="140" s="1"/>
  <c r="P36" i="140"/>
  <c r="I36" i="140"/>
  <c r="J36" i="140" s="1"/>
  <c r="P35" i="140"/>
  <c r="I35" i="140"/>
  <c r="J35" i="140" s="1"/>
  <c r="P34" i="140"/>
  <c r="I34" i="140"/>
  <c r="J34" i="140" s="1"/>
  <c r="P33" i="140"/>
  <c r="I33" i="140"/>
  <c r="J33" i="140" s="1"/>
  <c r="P32" i="140"/>
  <c r="I32" i="140"/>
  <c r="J32" i="140" s="1"/>
  <c r="J27" i="140"/>
  <c r="J26" i="140"/>
  <c r="N25" i="140"/>
  <c r="O25" i="140" s="1"/>
  <c r="J25" i="140"/>
  <c r="D18" i="140"/>
  <c r="D27" i="140" s="1"/>
  <c r="N27" i="140" s="1"/>
  <c r="O27" i="140" s="1"/>
  <c r="D17" i="140"/>
  <c r="D44" i="140" s="1"/>
  <c r="N44" i="140" s="1"/>
  <c r="D11" i="140"/>
  <c r="B11" i="140"/>
  <c r="C11" i="140" s="1"/>
  <c r="C10" i="140"/>
  <c r="C9" i="140"/>
  <c r="A6" i="140"/>
  <c r="A4" i="140"/>
  <c r="P51" i="126"/>
  <c r="I51" i="126"/>
  <c r="J51" i="126" s="1"/>
  <c r="N51" i="126" s="1"/>
  <c r="O51" i="126" s="1"/>
  <c r="P50" i="126"/>
  <c r="I50" i="126"/>
  <c r="J50" i="126" s="1"/>
  <c r="P49" i="126"/>
  <c r="I49" i="126"/>
  <c r="J49" i="126" s="1"/>
  <c r="N49" i="126" s="1"/>
  <c r="O49" i="126" s="1"/>
  <c r="P48" i="126"/>
  <c r="I48" i="126"/>
  <c r="J48" i="126" s="1"/>
  <c r="P47" i="126"/>
  <c r="G47" i="126"/>
  <c r="J47" i="126" s="1"/>
  <c r="D47" i="126"/>
  <c r="P46" i="126"/>
  <c r="I46" i="126"/>
  <c r="N46" i="126" s="1"/>
  <c r="O46" i="126" s="1"/>
  <c r="P45" i="126"/>
  <c r="I45" i="126"/>
  <c r="N45" i="126" s="1"/>
  <c r="O45" i="126" s="1"/>
  <c r="P44" i="126"/>
  <c r="I44" i="126"/>
  <c r="J44" i="126" s="1"/>
  <c r="P43" i="126"/>
  <c r="J43" i="126"/>
  <c r="P42" i="126"/>
  <c r="I42" i="126"/>
  <c r="J42" i="126" s="1"/>
  <c r="P41" i="126"/>
  <c r="I41" i="126"/>
  <c r="P40" i="126"/>
  <c r="I40" i="126"/>
  <c r="J40" i="126" s="1"/>
  <c r="P39" i="126"/>
  <c r="I39" i="126"/>
  <c r="J39" i="126" s="1"/>
  <c r="P37" i="126"/>
  <c r="H37" i="126"/>
  <c r="J37" i="126" s="1"/>
  <c r="P36" i="126"/>
  <c r="P35" i="126"/>
  <c r="G35" i="126"/>
  <c r="J35" i="126" s="1"/>
  <c r="D35" i="126"/>
  <c r="P34" i="126"/>
  <c r="G34" i="126"/>
  <c r="D34" i="126"/>
  <c r="P33" i="126"/>
  <c r="G33" i="126"/>
  <c r="D33" i="126"/>
  <c r="P32" i="126"/>
  <c r="D32" i="126"/>
  <c r="P31" i="126"/>
  <c r="I31" i="126"/>
  <c r="J31" i="126" s="1"/>
  <c r="P30" i="126"/>
  <c r="I30" i="126"/>
  <c r="J30" i="126" s="1"/>
  <c r="P29" i="126"/>
  <c r="I29" i="126"/>
  <c r="J29" i="126" s="1"/>
  <c r="P28" i="126"/>
  <c r="I28" i="126"/>
  <c r="J28" i="126" s="1"/>
  <c r="P27" i="126"/>
  <c r="I27" i="126"/>
  <c r="J27" i="126" s="1"/>
  <c r="P26" i="126"/>
  <c r="I26" i="126"/>
  <c r="J26" i="126" s="1"/>
  <c r="P25" i="126"/>
  <c r="I25" i="126"/>
  <c r="J25" i="126" s="1"/>
  <c r="J20" i="126"/>
  <c r="N19" i="126"/>
  <c r="O19" i="126" s="1"/>
  <c r="J19" i="126"/>
  <c r="AD15" i="126"/>
  <c r="AC15" i="126"/>
  <c r="AB15" i="126"/>
  <c r="AA15" i="126"/>
  <c r="Y15" i="126"/>
  <c r="W15" i="126"/>
  <c r="V15" i="126"/>
  <c r="U15" i="126"/>
  <c r="T15" i="126"/>
  <c r="S15" i="126"/>
  <c r="C15" i="126"/>
  <c r="D38" i="126" s="1"/>
  <c r="N38" i="126" s="1"/>
  <c r="D11" i="126"/>
  <c r="B11" i="126"/>
  <c r="C11" i="126" s="1"/>
  <c r="C10" i="126"/>
  <c r="C9" i="126"/>
  <c r="A6" i="126"/>
  <c r="A4" i="126"/>
  <c r="P57" i="127"/>
  <c r="I57" i="127"/>
  <c r="J57" i="127" s="1"/>
  <c r="N57" i="127" s="1"/>
  <c r="O57" i="127" s="1"/>
  <c r="P56" i="127"/>
  <c r="I56" i="127"/>
  <c r="J56" i="127" s="1"/>
  <c r="D56" i="127"/>
  <c r="P55" i="127"/>
  <c r="I55" i="127"/>
  <c r="J55" i="127" s="1"/>
  <c r="N55" i="127" s="1"/>
  <c r="O55" i="127" s="1"/>
  <c r="P54" i="127"/>
  <c r="I54" i="127"/>
  <c r="J54" i="127" s="1"/>
  <c r="P53" i="127"/>
  <c r="G53" i="127"/>
  <c r="J53" i="127" s="1"/>
  <c r="D53" i="127"/>
  <c r="P52" i="127"/>
  <c r="I52" i="127"/>
  <c r="N52" i="127" s="1"/>
  <c r="O52" i="127" s="1"/>
  <c r="P51" i="127"/>
  <c r="I51" i="127"/>
  <c r="N51" i="127" s="1"/>
  <c r="O51" i="127" s="1"/>
  <c r="P50" i="127"/>
  <c r="I50" i="127"/>
  <c r="J50" i="127" s="1"/>
  <c r="P49" i="127"/>
  <c r="J49" i="127"/>
  <c r="P48" i="127"/>
  <c r="I48" i="127"/>
  <c r="N48" i="127" s="1"/>
  <c r="O48" i="127" s="1"/>
  <c r="P47" i="127"/>
  <c r="I47" i="127"/>
  <c r="J47" i="127" s="1"/>
  <c r="P46" i="127"/>
  <c r="I46" i="127"/>
  <c r="J46" i="127" s="1"/>
  <c r="P45" i="127"/>
  <c r="I45" i="127"/>
  <c r="J45" i="127" s="1"/>
  <c r="P43" i="127"/>
  <c r="H43" i="127"/>
  <c r="J43" i="127" s="1"/>
  <c r="P42" i="127"/>
  <c r="P41" i="127"/>
  <c r="G41" i="127"/>
  <c r="J41" i="127" s="1"/>
  <c r="D41" i="127"/>
  <c r="P40" i="127"/>
  <c r="G40" i="127"/>
  <c r="J40" i="127" s="1"/>
  <c r="P39" i="127"/>
  <c r="G39" i="127"/>
  <c r="J39" i="127" s="1"/>
  <c r="P38" i="127"/>
  <c r="D38" i="127"/>
  <c r="P37" i="127"/>
  <c r="I37" i="127"/>
  <c r="J37" i="127" s="1"/>
  <c r="P36" i="127"/>
  <c r="I36" i="127"/>
  <c r="J36" i="127" s="1"/>
  <c r="P35" i="127"/>
  <c r="I35" i="127"/>
  <c r="J35" i="127" s="1"/>
  <c r="P34" i="127"/>
  <c r="I34" i="127"/>
  <c r="J34" i="127" s="1"/>
  <c r="P33" i="127"/>
  <c r="I33" i="127"/>
  <c r="J33" i="127" s="1"/>
  <c r="P32" i="127"/>
  <c r="I32" i="127"/>
  <c r="J32" i="127" s="1"/>
  <c r="P31" i="127"/>
  <c r="I31" i="127"/>
  <c r="J31" i="127" s="1"/>
  <c r="J26" i="127"/>
  <c r="N25" i="127"/>
  <c r="O25" i="127" s="1"/>
  <c r="J25" i="127"/>
  <c r="D19" i="127"/>
  <c r="D40" i="127" s="1"/>
  <c r="D18" i="127"/>
  <c r="D39" i="127" s="1"/>
  <c r="D17" i="127"/>
  <c r="D44" i="127" s="1"/>
  <c r="N44" i="127" s="1"/>
  <c r="AD15" i="127"/>
  <c r="AC15" i="127"/>
  <c r="AB15" i="127"/>
  <c r="Z15" i="127"/>
  <c r="W15" i="127"/>
  <c r="V15" i="127"/>
  <c r="U15" i="127"/>
  <c r="T15" i="127"/>
  <c r="S15" i="127"/>
  <c r="AD14" i="127"/>
  <c r="AC14" i="127"/>
  <c r="AB14" i="127"/>
  <c r="AA14" i="127"/>
  <c r="Z14" i="127"/>
  <c r="Y14" i="127"/>
  <c r="X14" i="127"/>
  <c r="W14" i="127"/>
  <c r="V14" i="127"/>
  <c r="U14" i="127"/>
  <c r="T14" i="127"/>
  <c r="S14" i="127"/>
  <c r="AD13" i="127"/>
  <c r="AC13" i="127"/>
  <c r="AB13" i="127"/>
  <c r="AA13" i="127"/>
  <c r="Z13" i="127"/>
  <c r="Y13" i="127"/>
  <c r="X13" i="127"/>
  <c r="W13" i="127"/>
  <c r="V13" i="127"/>
  <c r="U13" i="127"/>
  <c r="T13" i="127"/>
  <c r="S13" i="127"/>
  <c r="D11" i="127"/>
  <c r="B11" i="127"/>
  <c r="C11" i="127" s="1"/>
  <c r="C10" i="127"/>
  <c r="C9" i="127"/>
  <c r="A6" i="127"/>
  <c r="A4" i="127"/>
  <c r="P50" i="100"/>
  <c r="I50" i="100"/>
  <c r="J50" i="100" s="1"/>
  <c r="N50" i="100" s="1"/>
  <c r="O50" i="100" s="1"/>
  <c r="P49" i="100"/>
  <c r="I49" i="100"/>
  <c r="J49" i="100" s="1"/>
  <c r="P48" i="100"/>
  <c r="I48" i="100"/>
  <c r="J48" i="100" s="1"/>
  <c r="N48" i="100" s="1"/>
  <c r="O48" i="100" s="1"/>
  <c r="P47" i="100"/>
  <c r="I47" i="100"/>
  <c r="J47" i="100" s="1"/>
  <c r="P46" i="100"/>
  <c r="G46" i="100"/>
  <c r="J46" i="100" s="1"/>
  <c r="D46" i="100"/>
  <c r="P45" i="100"/>
  <c r="I45" i="100"/>
  <c r="N45" i="100" s="1"/>
  <c r="O45" i="100" s="1"/>
  <c r="P44" i="100"/>
  <c r="I44" i="100"/>
  <c r="N44" i="100" s="1"/>
  <c r="O44" i="100" s="1"/>
  <c r="P43" i="100"/>
  <c r="I43" i="100"/>
  <c r="J43" i="100" s="1"/>
  <c r="P42" i="100"/>
  <c r="J42" i="100"/>
  <c r="P41" i="100"/>
  <c r="I41" i="100"/>
  <c r="N41" i="100" s="1"/>
  <c r="O41" i="100" s="1"/>
  <c r="P40" i="100"/>
  <c r="I40" i="100"/>
  <c r="J40" i="100" s="1"/>
  <c r="P39" i="100"/>
  <c r="I39" i="100"/>
  <c r="J39" i="100" s="1"/>
  <c r="P38" i="100"/>
  <c r="I38" i="100"/>
  <c r="J38" i="100" s="1"/>
  <c r="P36" i="100"/>
  <c r="H36" i="100"/>
  <c r="J36" i="100" s="1"/>
  <c r="P35" i="100"/>
  <c r="P34" i="100"/>
  <c r="G34" i="100"/>
  <c r="J34" i="100" s="1"/>
  <c r="D34" i="100"/>
  <c r="P33" i="100"/>
  <c r="G33" i="100"/>
  <c r="J33" i="100" s="1"/>
  <c r="D33" i="100"/>
  <c r="P32" i="100"/>
  <c r="G32" i="100"/>
  <c r="J32" i="100" s="1"/>
  <c r="D32" i="100"/>
  <c r="P31" i="100"/>
  <c r="I31" i="100"/>
  <c r="J31" i="100" s="1"/>
  <c r="P30" i="100"/>
  <c r="I30" i="100"/>
  <c r="J30" i="100" s="1"/>
  <c r="P29" i="100"/>
  <c r="I29" i="100"/>
  <c r="J29" i="100" s="1"/>
  <c r="P28" i="100"/>
  <c r="I28" i="100"/>
  <c r="J28" i="100" s="1"/>
  <c r="P27" i="100"/>
  <c r="I27" i="100"/>
  <c r="J27" i="100" s="1"/>
  <c r="P26" i="100"/>
  <c r="I26" i="100"/>
  <c r="J26" i="100" s="1"/>
  <c r="P25" i="100"/>
  <c r="I25" i="100"/>
  <c r="J25" i="100" s="1"/>
  <c r="J20" i="100"/>
  <c r="AD19" i="100"/>
  <c r="AC19" i="100"/>
  <c r="AB19" i="100"/>
  <c r="AA19" i="100"/>
  <c r="Y19" i="100"/>
  <c r="W19" i="100"/>
  <c r="V19" i="100"/>
  <c r="U19" i="100"/>
  <c r="T19" i="100"/>
  <c r="S19" i="100"/>
  <c r="N19" i="100"/>
  <c r="O19" i="100" s="1"/>
  <c r="J19" i="100"/>
  <c r="AB18" i="100"/>
  <c r="AA18" i="100"/>
  <c r="Z18" i="100"/>
  <c r="Y18" i="100"/>
  <c r="X18" i="100"/>
  <c r="T18" i="100"/>
  <c r="AD17" i="100"/>
  <c r="AC17" i="100"/>
  <c r="AB17" i="100"/>
  <c r="AA17" i="100"/>
  <c r="Z17" i="100"/>
  <c r="Y17" i="100"/>
  <c r="X17" i="100"/>
  <c r="W17" i="100"/>
  <c r="V17" i="100"/>
  <c r="U17" i="100"/>
  <c r="T17" i="100"/>
  <c r="S17" i="100"/>
  <c r="AD16" i="100"/>
  <c r="AC16" i="100"/>
  <c r="AB16" i="100"/>
  <c r="AA16" i="100"/>
  <c r="Z16" i="100"/>
  <c r="W16" i="100"/>
  <c r="V16" i="100"/>
  <c r="U16" i="100"/>
  <c r="T16" i="100"/>
  <c r="S16" i="100"/>
  <c r="C15" i="100"/>
  <c r="D20" i="100" s="1"/>
  <c r="C14" i="100"/>
  <c r="D37" i="100" s="1"/>
  <c r="N37" i="100" s="1"/>
  <c r="D10" i="100"/>
  <c r="B10" i="100"/>
  <c r="C10" i="100" s="1"/>
  <c r="C9" i="100"/>
  <c r="C8" i="100"/>
  <c r="A5" i="100"/>
  <c r="P51" i="143"/>
  <c r="I51" i="143"/>
  <c r="J51" i="143" s="1"/>
  <c r="N51" i="143" s="1"/>
  <c r="O51" i="143" s="1"/>
  <c r="P50" i="143"/>
  <c r="I50" i="143"/>
  <c r="J50" i="143" s="1"/>
  <c r="P49" i="143"/>
  <c r="I49" i="143"/>
  <c r="J49" i="143" s="1"/>
  <c r="N49" i="143" s="1"/>
  <c r="O49" i="143" s="1"/>
  <c r="P48" i="143"/>
  <c r="I48" i="143"/>
  <c r="J48" i="143" s="1"/>
  <c r="P47" i="143"/>
  <c r="G47" i="143"/>
  <c r="J47" i="143" s="1"/>
  <c r="D47" i="143"/>
  <c r="P46" i="143"/>
  <c r="I46" i="143"/>
  <c r="N46" i="143" s="1"/>
  <c r="O46" i="143" s="1"/>
  <c r="P45" i="143"/>
  <c r="I45" i="143"/>
  <c r="J45" i="143" s="1"/>
  <c r="P44" i="143"/>
  <c r="I44" i="143"/>
  <c r="J44" i="143" s="1"/>
  <c r="P43" i="143"/>
  <c r="J43" i="143"/>
  <c r="P42" i="143"/>
  <c r="I42" i="143"/>
  <c r="N42" i="143" s="1"/>
  <c r="O42" i="143" s="1"/>
  <c r="P41" i="143"/>
  <c r="I41" i="143"/>
  <c r="J41" i="143" s="1"/>
  <c r="P40" i="143"/>
  <c r="I40" i="143"/>
  <c r="J40" i="143" s="1"/>
  <c r="P39" i="143"/>
  <c r="I39" i="143"/>
  <c r="J39" i="143" s="1"/>
  <c r="P37" i="143"/>
  <c r="H37" i="143"/>
  <c r="J37" i="143" s="1"/>
  <c r="P36" i="143"/>
  <c r="P35" i="143"/>
  <c r="G35" i="143"/>
  <c r="D35" i="143"/>
  <c r="P34" i="143"/>
  <c r="P33" i="143"/>
  <c r="P32" i="143"/>
  <c r="D32" i="143"/>
  <c r="P31" i="143"/>
  <c r="D31" i="143"/>
  <c r="P30" i="143"/>
  <c r="I30" i="143"/>
  <c r="J30" i="143" s="1"/>
  <c r="P29" i="143"/>
  <c r="I29" i="143"/>
  <c r="J29" i="143" s="1"/>
  <c r="P28" i="143"/>
  <c r="I28" i="143"/>
  <c r="J28" i="143" s="1"/>
  <c r="P27" i="143"/>
  <c r="I27" i="143"/>
  <c r="J27" i="143" s="1"/>
  <c r="P26" i="143"/>
  <c r="I26" i="143"/>
  <c r="J26" i="143" s="1"/>
  <c r="P25" i="143"/>
  <c r="I25" i="143"/>
  <c r="J25" i="143" s="1"/>
  <c r="P24" i="143"/>
  <c r="I24" i="143"/>
  <c r="J24" i="143" s="1"/>
  <c r="J19" i="143"/>
  <c r="AD18" i="143"/>
  <c r="AC18" i="143"/>
  <c r="AB18" i="143"/>
  <c r="Z18" i="143"/>
  <c r="X18" i="143"/>
  <c r="W18" i="143"/>
  <c r="V18" i="143"/>
  <c r="U18" i="143"/>
  <c r="T18" i="143"/>
  <c r="S18" i="143"/>
  <c r="N18" i="143"/>
  <c r="O18" i="143" s="1"/>
  <c r="J18" i="143"/>
  <c r="AA17" i="143"/>
  <c r="Z17" i="143"/>
  <c r="Y17" i="143"/>
  <c r="X17" i="143"/>
  <c r="W17" i="143"/>
  <c r="S17" i="143"/>
  <c r="AD16" i="143"/>
  <c r="AC16" i="143"/>
  <c r="AB16" i="143"/>
  <c r="AA16" i="143"/>
  <c r="Z16" i="143"/>
  <c r="Y16" i="143"/>
  <c r="X16" i="143"/>
  <c r="W16" i="143"/>
  <c r="V16" i="143"/>
  <c r="U16" i="143"/>
  <c r="T16" i="143"/>
  <c r="S16" i="143"/>
  <c r="AD15" i="143"/>
  <c r="AC15" i="143"/>
  <c r="AB15" i="143"/>
  <c r="W15" i="143"/>
  <c r="V15" i="143"/>
  <c r="U15" i="143"/>
  <c r="T15" i="143"/>
  <c r="S15" i="143"/>
  <c r="D48" i="143"/>
  <c r="D10" i="143"/>
  <c r="B10" i="143"/>
  <c r="C9" i="143"/>
  <c r="C8" i="143"/>
  <c r="A5" i="143"/>
  <c r="P56" i="34"/>
  <c r="I56" i="34"/>
  <c r="J56" i="34" s="1"/>
  <c r="N56" i="34" s="1"/>
  <c r="O56" i="34" s="1"/>
  <c r="P55" i="34"/>
  <c r="I55" i="34"/>
  <c r="J55" i="34" s="1"/>
  <c r="P54" i="34"/>
  <c r="I54" i="34"/>
  <c r="J54" i="34" s="1"/>
  <c r="N54" i="34" s="1"/>
  <c r="O54" i="34" s="1"/>
  <c r="P53" i="34"/>
  <c r="I53" i="34"/>
  <c r="J53" i="34" s="1"/>
  <c r="P52" i="34"/>
  <c r="G52" i="34"/>
  <c r="D52" i="34"/>
  <c r="P51" i="34"/>
  <c r="I51" i="34"/>
  <c r="J51" i="34" s="1"/>
  <c r="P50" i="34"/>
  <c r="I50" i="34"/>
  <c r="N50" i="34" s="1"/>
  <c r="O50" i="34" s="1"/>
  <c r="P49" i="34"/>
  <c r="I49" i="34"/>
  <c r="J49" i="34" s="1"/>
  <c r="P48" i="34"/>
  <c r="J48" i="34"/>
  <c r="P47" i="34"/>
  <c r="I47" i="34"/>
  <c r="N47" i="34" s="1"/>
  <c r="O47" i="34" s="1"/>
  <c r="P46" i="34"/>
  <c r="I46" i="34"/>
  <c r="J46" i="34" s="1"/>
  <c r="P45" i="34"/>
  <c r="I45" i="34"/>
  <c r="J45" i="34" s="1"/>
  <c r="P44" i="34"/>
  <c r="I44" i="34"/>
  <c r="J44" i="34" s="1"/>
  <c r="P42" i="34"/>
  <c r="H42" i="34"/>
  <c r="J42" i="34" s="1"/>
  <c r="P41" i="34"/>
  <c r="P40" i="34"/>
  <c r="G40" i="34"/>
  <c r="J40" i="34" s="1"/>
  <c r="D40" i="34"/>
  <c r="P39" i="34"/>
  <c r="G39" i="34"/>
  <c r="J39" i="34" s="1"/>
  <c r="D39" i="34"/>
  <c r="P38" i="34"/>
  <c r="G38" i="34"/>
  <c r="J38" i="34" s="1"/>
  <c r="D38" i="34"/>
  <c r="P37" i="34"/>
  <c r="I37" i="34"/>
  <c r="J37" i="34" s="1"/>
  <c r="P36" i="34"/>
  <c r="I36" i="34"/>
  <c r="J36" i="34" s="1"/>
  <c r="P35" i="34"/>
  <c r="I35" i="34"/>
  <c r="J35" i="34" s="1"/>
  <c r="P34" i="34"/>
  <c r="I34" i="34"/>
  <c r="J34" i="34" s="1"/>
  <c r="P33" i="34"/>
  <c r="I33" i="34"/>
  <c r="J33" i="34" s="1"/>
  <c r="P32" i="34"/>
  <c r="I32" i="34"/>
  <c r="J32" i="34" s="1"/>
  <c r="P31" i="34"/>
  <c r="I31" i="34"/>
  <c r="J31" i="34" s="1"/>
  <c r="J26" i="34"/>
  <c r="N25" i="34"/>
  <c r="O25" i="34" s="1"/>
  <c r="J25" i="34"/>
  <c r="D17" i="34"/>
  <c r="D43" i="34" s="1"/>
  <c r="N43" i="34" s="1"/>
  <c r="D11" i="34"/>
  <c r="B11" i="34"/>
  <c r="C11" i="34" s="1"/>
  <c r="C10" i="34"/>
  <c r="C9" i="34"/>
  <c r="A6" i="34"/>
  <c r="A4" i="34"/>
  <c r="D30" i="1"/>
  <c r="D31" i="1" s="1"/>
  <c r="E19" i="1"/>
  <c r="D41" i="131" l="1"/>
  <c r="N41" i="131" s="1"/>
  <c r="O41" i="131" s="1"/>
  <c r="D29" i="132"/>
  <c r="D35" i="132"/>
  <c r="N35" i="132" s="1"/>
  <c r="O35" i="132" s="1"/>
  <c r="D37" i="126"/>
  <c r="M37" i="126" s="1"/>
  <c r="M53" i="126" s="1"/>
  <c r="M55" i="126" s="1"/>
  <c r="O38" i="126"/>
  <c r="D30" i="100"/>
  <c r="N30" i="100" s="1"/>
  <c r="O30" i="100" s="1"/>
  <c r="O37" i="100"/>
  <c r="D35" i="140"/>
  <c r="N35" i="140" s="1"/>
  <c r="O35" i="140" s="1"/>
  <c r="O44" i="140"/>
  <c r="D36" i="127"/>
  <c r="N36" i="127" s="1"/>
  <c r="O36" i="127" s="1"/>
  <c r="O44" i="127"/>
  <c r="D33" i="34"/>
  <c r="N33" i="34" s="1"/>
  <c r="O33" i="34" s="1"/>
  <c r="O43" i="34"/>
  <c r="I36" i="143"/>
  <c r="J36" i="143" s="1"/>
  <c r="N36" i="143" s="1"/>
  <c r="O36" i="143" s="1"/>
  <c r="I42" i="127"/>
  <c r="J42" i="127" s="1"/>
  <c r="N42" i="127" s="1"/>
  <c r="O42" i="127" s="1"/>
  <c r="I41" i="34"/>
  <c r="J41" i="34" s="1"/>
  <c r="N41" i="34" s="1"/>
  <c r="O41" i="34" s="1"/>
  <c r="I36" i="126"/>
  <c r="J36" i="126" s="1"/>
  <c r="N36" i="126" s="1"/>
  <c r="O36" i="126" s="1"/>
  <c r="L39" i="130"/>
  <c r="O39" i="130" s="1"/>
  <c r="I42" i="140"/>
  <c r="J42" i="140" s="1"/>
  <c r="N42" i="140" s="1"/>
  <c r="O42" i="140" s="1"/>
  <c r="I33" i="132"/>
  <c r="J33" i="132" s="1"/>
  <c r="N33" i="132" s="1"/>
  <c r="O33" i="132" s="1"/>
  <c r="L36" i="147"/>
  <c r="O36" i="147" s="1"/>
  <c r="J48" i="147"/>
  <c r="J47" i="147"/>
  <c r="L40" i="127"/>
  <c r="O40" i="127" s="1"/>
  <c r="J47" i="37"/>
  <c r="I38" i="153"/>
  <c r="J38" i="153" s="1"/>
  <c r="N38" i="153" s="1"/>
  <c r="I38" i="155"/>
  <c r="J38" i="155" s="1"/>
  <c r="N38" i="155" s="1"/>
  <c r="I38" i="154"/>
  <c r="J38" i="154" s="1"/>
  <c r="N38" i="154" s="1"/>
  <c r="J48" i="138"/>
  <c r="J44" i="133"/>
  <c r="N47" i="131"/>
  <c r="O47" i="131" s="1"/>
  <c r="O42" i="156"/>
  <c r="O59" i="156" s="1"/>
  <c r="O61" i="156" s="1"/>
  <c r="N59" i="156"/>
  <c r="N61" i="156" s="1"/>
  <c r="N54" i="145"/>
  <c r="O54" i="145" s="1"/>
  <c r="J53" i="130"/>
  <c r="N50" i="145"/>
  <c r="O50" i="145" s="1"/>
  <c r="J45" i="100"/>
  <c r="J52" i="127"/>
  <c r="L47" i="126"/>
  <c r="O47" i="126" s="1"/>
  <c r="N46" i="37"/>
  <c r="O46" i="37" s="1"/>
  <c r="N54" i="130"/>
  <c r="O54" i="130" s="1"/>
  <c r="I39" i="136"/>
  <c r="J39" i="136" s="1"/>
  <c r="N39" i="136" s="1"/>
  <c r="O39" i="136" s="1"/>
  <c r="I38" i="151"/>
  <c r="J38" i="151" s="1"/>
  <c r="N38" i="151" s="1"/>
  <c r="I38" i="152"/>
  <c r="J38" i="152" s="1"/>
  <c r="N38" i="152" s="1"/>
  <c r="I38" i="150"/>
  <c r="J38" i="150" s="1"/>
  <c r="N38" i="150" s="1"/>
  <c r="M39" i="148"/>
  <c r="M56" i="148" s="1"/>
  <c r="M58" i="148" s="1"/>
  <c r="I39" i="131"/>
  <c r="J39" i="131" s="1"/>
  <c r="N39" i="131" s="1"/>
  <c r="O39" i="131" s="1"/>
  <c r="I42" i="149"/>
  <c r="J42" i="149" s="1"/>
  <c r="N42" i="149" s="1"/>
  <c r="J45" i="126"/>
  <c r="L36" i="128"/>
  <c r="O36" i="128" s="1"/>
  <c r="J48" i="128"/>
  <c r="L55" i="130"/>
  <c r="O55" i="130" s="1"/>
  <c r="J48" i="139"/>
  <c r="J44" i="148"/>
  <c r="N47" i="148"/>
  <c r="O47" i="148" s="1"/>
  <c r="J47" i="128"/>
  <c r="N54" i="129"/>
  <c r="O54" i="129" s="1"/>
  <c r="N45" i="143"/>
  <c r="O45" i="143" s="1"/>
  <c r="J44" i="100"/>
  <c r="N51" i="141"/>
  <c r="O51" i="141" s="1"/>
  <c r="I38" i="147"/>
  <c r="J38" i="147" s="1"/>
  <c r="D34" i="148"/>
  <c r="I38" i="148"/>
  <c r="J38" i="148" s="1"/>
  <c r="I35" i="100"/>
  <c r="J35" i="100" s="1"/>
  <c r="N35" i="100" s="1"/>
  <c r="O35" i="100" s="1"/>
  <c r="J42" i="143"/>
  <c r="L35" i="147"/>
  <c r="O35" i="147" s="1"/>
  <c r="D27" i="148"/>
  <c r="N27" i="148" s="1"/>
  <c r="O27" i="148" s="1"/>
  <c r="D50" i="148"/>
  <c r="N50" i="148" s="1"/>
  <c r="O50" i="148" s="1"/>
  <c r="D53" i="148"/>
  <c r="N53" i="148" s="1"/>
  <c r="O53" i="148" s="1"/>
  <c r="D31" i="148"/>
  <c r="N31" i="148" s="1"/>
  <c r="O31" i="148" s="1"/>
  <c r="D34" i="147"/>
  <c r="L34" i="147" s="1"/>
  <c r="O34" i="147" s="1"/>
  <c r="D37" i="147"/>
  <c r="L37" i="147" s="1"/>
  <c r="O37" i="147" s="1"/>
  <c r="O34" i="148"/>
  <c r="D29" i="148"/>
  <c r="N29" i="148" s="1"/>
  <c r="O29" i="148" s="1"/>
  <c r="D37" i="148"/>
  <c r="O37" i="148" s="1"/>
  <c r="D28" i="148"/>
  <c r="N28" i="148" s="1"/>
  <c r="O28" i="148" s="1"/>
  <c r="D32" i="148"/>
  <c r="N32" i="148" s="1"/>
  <c r="O32" i="148" s="1"/>
  <c r="D40" i="148"/>
  <c r="N40" i="148" s="1"/>
  <c r="O40" i="148" s="1"/>
  <c r="D49" i="148"/>
  <c r="O49" i="148" s="1"/>
  <c r="D52" i="148"/>
  <c r="N52" i="148" s="1"/>
  <c r="O52" i="148" s="1"/>
  <c r="D35" i="148"/>
  <c r="O35" i="148" s="1"/>
  <c r="D45" i="148"/>
  <c r="O45" i="148" s="1"/>
  <c r="J48" i="148"/>
  <c r="D51" i="148"/>
  <c r="N51" i="148" s="1"/>
  <c r="O51" i="148" s="1"/>
  <c r="D22" i="148"/>
  <c r="N22" i="148" s="1"/>
  <c r="D30" i="148"/>
  <c r="N30" i="148" s="1"/>
  <c r="O30" i="148" s="1"/>
  <c r="D38" i="148"/>
  <c r="J44" i="147"/>
  <c r="D49" i="147"/>
  <c r="L49" i="147" s="1"/>
  <c r="O49" i="147" s="1"/>
  <c r="D53" i="147"/>
  <c r="N53" i="147" s="1"/>
  <c r="O53" i="147" s="1"/>
  <c r="D29" i="147"/>
  <c r="N29" i="147" s="1"/>
  <c r="O29" i="147" s="1"/>
  <c r="D28" i="147"/>
  <c r="N28" i="147" s="1"/>
  <c r="O28" i="147" s="1"/>
  <c r="D32" i="147"/>
  <c r="N32" i="147" s="1"/>
  <c r="O32" i="147" s="1"/>
  <c r="D40" i="147"/>
  <c r="N40" i="147" s="1"/>
  <c r="O40" i="147" s="1"/>
  <c r="D52" i="147"/>
  <c r="N52" i="147" s="1"/>
  <c r="O52" i="147" s="1"/>
  <c r="D27" i="147"/>
  <c r="N27" i="147" s="1"/>
  <c r="D31" i="147"/>
  <c r="N31" i="147" s="1"/>
  <c r="O31" i="147" s="1"/>
  <c r="D39" i="147"/>
  <c r="M39" i="147" s="1"/>
  <c r="D45" i="147"/>
  <c r="O45" i="147" s="1"/>
  <c r="D51" i="147"/>
  <c r="N51" i="147" s="1"/>
  <c r="O51" i="147" s="1"/>
  <c r="D22" i="147"/>
  <c r="N22" i="147" s="1"/>
  <c r="O22" i="147" s="1"/>
  <c r="O23" i="147" s="1"/>
  <c r="D30" i="147"/>
  <c r="N30" i="147" s="1"/>
  <c r="O30" i="147" s="1"/>
  <c r="D38" i="147"/>
  <c r="D50" i="147"/>
  <c r="N50" i="147" s="1"/>
  <c r="O50" i="147" s="1"/>
  <c r="I43" i="145"/>
  <c r="J43" i="145" s="1"/>
  <c r="I37" i="37"/>
  <c r="J37" i="37" s="1"/>
  <c r="I38" i="128"/>
  <c r="J38" i="128" s="1"/>
  <c r="I38" i="138"/>
  <c r="J38" i="138" s="1"/>
  <c r="I43" i="129"/>
  <c r="J43" i="129" s="1"/>
  <c r="I35" i="119"/>
  <c r="J35" i="119" s="1"/>
  <c r="J46" i="143"/>
  <c r="N51" i="34"/>
  <c r="O51" i="34" s="1"/>
  <c r="N56" i="127"/>
  <c r="O56" i="127" s="1"/>
  <c r="L33" i="126"/>
  <c r="O33" i="126" s="1"/>
  <c r="J48" i="140"/>
  <c r="J52" i="140"/>
  <c r="J47" i="139"/>
  <c r="J48" i="131"/>
  <c r="U16" i="132"/>
  <c r="AD16" i="132"/>
  <c r="I35" i="133"/>
  <c r="J35" i="133" s="1"/>
  <c r="N35" i="133" s="1"/>
  <c r="O35" i="133" s="1"/>
  <c r="J43" i="133"/>
  <c r="T12" i="142"/>
  <c r="X12" i="142"/>
  <c r="J50" i="142"/>
  <c r="L47" i="143"/>
  <c r="O47" i="143" s="1"/>
  <c r="J51" i="140"/>
  <c r="J45" i="119"/>
  <c r="L49" i="138"/>
  <c r="O49" i="138" s="1"/>
  <c r="AC12" i="139"/>
  <c r="N51" i="139"/>
  <c r="O51" i="139" s="1"/>
  <c r="G35" i="139"/>
  <c r="J35" i="139" s="1"/>
  <c r="I38" i="139"/>
  <c r="J38" i="139" s="1"/>
  <c r="V12" i="129"/>
  <c r="AC12" i="129"/>
  <c r="H44" i="129"/>
  <c r="J44" i="129" s="1"/>
  <c r="J50" i="129"/>
  <c r="J45" i="131"/>
  <c r="V16" i="132"/>
  <c r="J41" i="132"/>
  <c r="N42" i="132"/>
  <c r="O42" i="132" s="1"/>
  <c r="U12" i="142"/>
  <c r="AB12" i="142"/>
  <c r="N49" i="142"/>
  <c r="O49" i="142" s="1"/>
  <c r="T12" i="136"/>
  <c r="X12" i="136"/>
  <c r="AB12" i="136"/>
  <c r="G33" i="143"/>
  <c r="J33" i="143" s="1"/>
  <c r="L36" i="37"/>
  <c r="O36" i="37" s="1"/>
  <c r="N51" i="138"/>
  <c r="O51" i="138" s="1"/>
  <c r="L56" i="129"/>
  <c r="O56" i="129" s="1"/>
  <c r="S16" i="132"/>
  <c r="W16" i="132"/>
  <c r="V12" i="142"/>
  <c r="U12" i="136"/>
  <c r="Y12" i="136"/>
  <c r="I15" i="142"/>
  <c r="L37" i="138"/>
  <c r="O37" i="138" s="1"/>
  <c r="J41" i="133"/>
  <c r="J47" i="34"/>
  <c r="N42" i="126"/>
  <c r="O42" i="126" s="1"/>
  <c r="I42" i="130"/>
  <c r="J42" i="130" s="1"/>
  <c r="I40" i="141"/>
  <c r="J40" i="141" s="1"/>
  <c r="I40" i="142"/>
  <c r="J40" i="142" s="1"/>
  <c r="L40" i="34"/>
  <c r="O40" i="34" s="1"/>
  <c r="L34" i="100"/>
  <c r="O34" i="100" s="1"/>
  <c r="C10" i="143"/>
  <c r="L33" i="119"/>
  <c r="O33" i="119" s="1"/>
  <c r="L46" i="100"/>
  <c r="O46" i="100" s="1"/>
  <c r="I15" i="141"/>
  <c r="L52" i="34"/>
  <c r="O52" i="34" s="1"/>
  <c r="I15" i="130"/>
  <c r="I15" i="145"/>
  <c r="L35" i="143"/>
  <c r="O35" i="143" s="1"/>
  <c r="I15" i="136"/>
  <c r="D34" i="143"/>
  <c r="D25" i="126"/>
  <c r="N25" i="126" s="1"/>
  <c r="O25" i="126" s="1"/>
  <c r="L34" i="126"/>
  <c r="O34" i="126" s="1"/>
  <c r="D34" i="145"/>
  <c r="D51" i="145" s="1"/>
  <c r="D43" i="145"/>
  <c r="D36" i="141"/>
  <c r="N36" i="141" s="1"/>
  <c r="O36" i="141" s="1"/>
  <c r="D44" i="145"/>
  <c r="M44" i="145" s="1"/>
  <c r="O44" i="145" s="1"/>
  <c r="AB12" i="138"/>
  <c r="V12" i="141"/>
  <c r="V13" i="128"/>
  <c r="V13" i="133"/>
  <c r="S13" i="119"/>
  <c r="AB13" i="37"/>
  <c r="W13" i="128"/>
  <c r="T13" i="119"/>
  <c r="W13" i="133"/>
  <c r="S13" i="37"/>
  <c r="AC13" i="37"/>
  <c r="U13" i="119"/>
  <c r="T13" i="37"/>
  <c r="AD13" i="37"/>
  <c r="AB13" i="128"/>
  <c r="V13" i="119"/>
  <c r="AC19" i="132"/>
  <c r="Y12" i="142"/>
  <c r="X12" i="139"/>
  <c r="Y12" i="139"/>
  <c r="Z12" i="142"/>
  <c r="Z12" i="139"/>
  <c r="X12" i="129"/>
  <c r="AA12" i="142"/>
  <c r="L40" i="129"/>
  <c r="O40" i="129" s="1"/>
  <c r="AA12" i="139"/>
  <c r="Y12" i="129"/>
  <c r="Z12" i="129"/>
  <c r="X12" i="138"/>
  <c r="Y12" i="138"/>
  <c r="Z12" i="138"/>
  <c r="X12" i="141"/>
  <c r="G35" i="138"/>
  <c r="G40" i="145"/>
  <c r="J40" i="145" s="1"/>
  <c r="G32" i="126"/>
  <c r="J32" i="126" s="1"/>
  <c r="G34" i="37"/>
  <c r="J34" i="37" s="1"/>
  <c r="X13" i="119"/>
  <c r="Y13" i="133"/>
  <c r="X13" i="128"/>
  <c r="Y13" i="119"/>
  <c r="Z13" i="133"/>
  <c r="X13" i="37"/>
  <c r="Y13" i="128"/>
  <c r="Z13" i="119"/>
  <c r="L31" i="119"/>
  <c r="O31" i="119" s="1"/>
  <c r="AA13" i="133"/>
  <c r="Y13" i="37"/>
  <c r="Z13" i="128"/>
  <c r="AA13" i="119"/>
  <c r="AA18" i="143"/>
  <c r="Z19" i="100"/>
  <c r="Z15" i="126"/>
  <c r="X19" i="132"/>
  <c r="G39" i="140"/>
  <c r="J39" i="140" s="1"/>
  <c r="Y19" i="132"/>
  <c r="Z19" i="132"/>
  <c r="X15" i="127"/>
  <c r="G38" i="127"/>
  <c r="J38" i="127" s="1"/>
  <c r="AA19" i="132"/>
  <c r="Y15" i="127"/>
  <c r="Y18" i="143"/>
  <c r="G31" i="143" s="1"/>
  <c r="J31" i="143" s="1"/>
  <c r="X19" i="100"/>
  <c r="AA15" i="127"/>
  <c r="J49" i="130"/>
  <c r="N41" i="119"/>
  <c r="O41" i="119" s="1"/>
  <c r="J43" i="138"/>
  <c r="N47" i="142"/>
  <c r="O47" i="142" s="1"/>
  <c r="N43" i="139"/>
  <c r="O43" i="139" s="1"/>
  <c r="J43" i="37"/>
  <c r="N39" i="132"/>
  <c r="O39" i="132" s="1"/>
  <c r="J41" i="100"/>
  <c r="J33" i="119"/>
  <c r="L32" i="119"/>
  <c r="O32" i="119" s="1"/>
  <c r="L41" i="145"/>
  <c r="O41" i="145" s="1"/>
  <c r="L39" i="127"/>
  <c r="O39" i="127" s="1"/>
  <c r="J33" i="126"/>
  <c r="J34" i="126"/>
  <c r="S18" i="100"/>
  <c r="U18" i="100"/>
  <c r="AB17" i="143"/>
  <c r="AC18" i="100"/>
  <c r="U17" i="143"/>
  <c r="AC17" i="143"/>
  <c r="G34" i="143" s="1"/>
  <c r="J34" i="143" s="1"/>
  <c r="V18" i="100"/>
  <c r="AD18" i="100"/>
  <c r="S18" i="132"/>
  <c r="T17" i="143"/>
  <c r="V17" i="143"/>
  <c r="AD17" i="143"/>
  <c r="W18" i="100"/>
  <c r="T18" i="132"/>
  <c r="AB18" i="132"/>
  <c r="AC18" i="132"/>
  <c r="V18" i="132"/>
  <c r="S17" i="132"/>
  <c r="T17" i="132"/>
  <c r="AB17" i="132"/>
  <c r="U17" i="132"/>
  <c r="AC17" i="132"/>
  <c r="V17" i="132"/>
  <c r="X15" i="143"/>
  <c r="AA16" i="132"/>
  <c r="Y15" i="143"/>
  <c r="Z15" i="143"/>
  <c r="X16" i="100"/>
  <c r="AA15" i="143"/>
  <c r="L39" i="34"/>
  <c r="O39" i="34" s="1"/>
  <c r="L40" i="140"/>
  <c r="O40" i="140" s="1"/>
  <c r="L33" i="100"/>
  <c r="O33" i="100" s="1"/>
  <c r="C20" i="142"/>
  <c r="C18" i="142" s="1"/>
  <c r="D18" i="142" s="1"/>
  <c r="C20" i="141"/>
  <c r="C18" i="141" s="1"/>
  <c r="D18" i="141" s="1"/>
  <c r="C20" i="145"/>
  <c r="C20" i="129"/>
  <c r="C18" i="129" s="1"/>
  <c r="D18" i="129" s="1"/>
  <c r="C17" i="139"/>
  <c r="D14" i="139" s="1"/>
  <c r="C19" i="136"/>
  <c r="D16" i="136" s="1"/>
  <c r="D49" i="37"/>
  <c r="N49" i="37" s="1"/>
  <c r="O49" i="37" s="1"/>
  <c r="D39" i="37"/>
  <c r="N39" i="37" s="1"/>
  <c r="O39" i="37" s="1"/>
  <c r="L35" i="37"/>
  <c r="O35" i="37" s="1"/>
  <c r="D37" i="37"/>
  <c r="D37" i="128"/>
  <c r="L37" i="128" s="1"/>
  <c r="O37" i="128" s="1"/>
  <c r="L34" i="119"/>
  <c r="O34" i="119" s="1"/>
  <c r="I15" i="138"/>
  <c r="H34" i="132"/>
  <c r="J34" i="132" s="1"/>
  <c r="H40" i="131"/>
  <c r="J40" i="131" s="1"/>
  <c r="J50" i="34"/>
  <c r="J48" i="127"/>
  <c r="D27" i="126"/>
  <c r="N27" i="126" s="1"/>
  <c r="O27" i="126" s="1"/>
  <c r="L53" i="140"/>
  <c r="O53" i="140" s="1"/>
  <c r="D31" i="37"/>
  <c r="N31" i="37" s="1"/>
  <c r="O31" i="37" s="1"/>
  <c r="D35" i="128"/>
  <c r="L35" i="128" s="1"/>
  <c r="O35" i="128" s="1"/>
  <c r="C17" i="138"/>
  <c r="D14" i="138" s="1"/>
  <c r="N47" i="138"/>
  <c r="O47" i="138" s="1"/>
  <c r="I15" i="129"/>
  <c r="L38" i="34"/>
  <c r="O38" i="34" s="1"/>
  <c r="L32" i="100"/>
  <c r="O32" i="100" s="1"/>
  <c r="D44" i="129"/>
  <c r="D57" i="129"/>
  <c r="N57" i="129" s="1"/>
  <c r="O57" i="129" s="1"/>
  <c r="D43" i="129"/>
  <c r="N48" i="136"/>
  <c r="O48" i="136" s="1"/>
  <c r="J48" i="136"/>
  <c r="N55" i="145"/>
  <c r="O55" i="145" s="1"/>
  <c r="J55" i="145"/>
  <c r="J51" i="127"/>
  <c r="J46" i="126"/>
  <c r="N51" i="119"/>
  <c r="O51" i="119" s="1"/>
  <c r="N50" i="141"/>
  <c r="O50" i="141" s="1"/>
  <c r="J50" i="141"/>
  <c r="J52" i="34"/>
  <c r="J35" i="143"/>
  <c r="D25" i="100"/>
  <c r="N25" i="100" s="1"/>
  <c r="O25" i="100" s="1"/>
  <c r="D35" i="127"/>
  <c r="N35" i="127" s="1"/>
  <c r="O35" i="127" s="1"/>
  <c r="L41" i="127"/>
  <c r="O41" i="127" s="1"/>
  <c r="L53" i="127"/>
  <c r="O53" i="127" s="1"/>
  <c r="D48" i="126"/>
  <c r="N48" i="126" s="1"/>
  <c r="O48" i="126" s="1"/>
  <c r="D27" i="37"/>
  <c r="N27" i="37" s="1"/>
  <c r="O27" i="37" s="1"/>
  <c r="D52" i="37"/>
  <c r="N52" i="37" s="1"/>
  <c r="O52" i="37" s="1"/>
  <c r="N44" i="128"/>
  <c r="O44" i="128" s="1"/>
  <c r="I15" i="139"/>
  <c r="N48" i="143"/>
  <c r="O48" i="143" s="1"/>
  <c r="D34" i="128"/>
  <c r="L34" i="128" s="1"/>
  <c r="O34" i="128" s="1"/>
  <c r="C19" i="130"/>
  <c r="D17" i="130" s="1"/>
  <c r="D38" i="138"/>
  <c r="D50" i="138"/>
  <c r="N50" i="138" s="1"/>
  <c r="O50" i="138" s="1"/>
  <c r="D32" i="138"/>
  <c r="N32" i="138" s="1"/>
  <c r="O32" i="138" s="1"/>
  <c r="N55" i="129"/>
  <c r="O55" i="129" s="1"/>
  <c r="J55" i="129"/>
  <c r="D26" i="119"/>
  <c r="D43" i="119" s="1"/>
  <c r="O43" i="119" s="1"/>
  <c r="D28" i="119"/>
  <c r="N28" i="119" s="1"/>
  <c r="O28" i="119" s="1"/>
  <c r="J45" i="145"/>
  <c r="D32" i="131"/>
  <c r="N32" i="131" s="1"/>
  <c r="O32" i="131" s="1"/>
  <c r="D31" i="131"/>
  <c r="N31" i="131" s="1"/>
  <c r="O31" i="131" s="1"/>
  <c r="D40" i="131"/>
  <c r="D51" i="131"/>
  <c r="N51" i="131" s="1"/>
  <c r="O51" i="131" s="1"/>
  <c r="D35" i="131"/>
  <c r="N35" i="131" s="1"/>
  <c r="O35" i="131" s="1"/>
  <c r="D49" i="131"/>
  <c r="N49" i="131" s="1"/>
  <c r="O49" i="131" s="1"/>
  <c r="N29" i="132"/>
  <c r="O29" i="132" s="1"/>
  <c r="L48" i="37"/>
  <c r="O48" i="37" s="1"/>
  <c r="N51" i="128"/>
  <c r="O51" i="128" s="1"/>
  <c r="D30" i="128"/>
  <c r="N30" i="128" s="1"/>
  <c r="O30" i="128" s="1"/>
  <c r="N53" i="142"/>
  <c r="O53" i="142" s="1"/>
  <c r="D40" i="141"/>
  <c r="D58" i="145"/>
  <c r="N58" i="145" s="1"/>
  <c r="O58" i="145" s="1"/>
  <c r="L41" i="129"/>
  <c r="O41" i="129" s="1"/>
  <c r="L40" i="130"/>
  <c r="O40" i="130" s="1"/>
  <c r="J47" i="141"/>
  <c r="J49" i="141"/>
  <c r="J46" i="136"/>
  <c r="J49" i="136"/>
  <c r="D50" i="128"/>
  <c r="N50" i="128" s="1"/>
  <c r="O50" i="128" s="1"/>
  <c r="L47" i="119"/>
  <c r="O47" i="119" s="1"/>
  <c r="L36" i="138"/>
  <c r="O36" i="138" s="1"/>
  <c r="L36" i="139"/>
  <c r="O36" i="139" s="1"/>
  <c r="L49" i="139"/>
  <c r="O49" i="139" s="1"/>
  <c r="L56" i="145"/>
  <c r="O56" i="145" s="1"/>
  <c r="J44" i="136"/>
  <c r="L41" i="130"/>
  <c r="O41" i="130" s="1"/>
  <c r="J41" i="130"/>
  <c r="L41" i="140"/>
  <c r="O41" i="140" s="1"/>
  <c r="L42" i="145"/>
  <c r="O42" i="145" s="1"/>
  <c r="G42" i="129"/>
  <c r="J42" i="129" s="1"/>
  <c r="L35" i="126"/>
  <c r="O35" i="126" s="1"/>
  <c r="L37" i="139"/>
  <c r="O37" i="139" s="1"/>
  <c r="J41" i="136"/>
  <c r="J44" i="130"/>
  <c r="M43" i="130"/>
  <c r="O43" i="130" s="1"/>
  <c r="M36" i="119"/>
  <c r="O36" i="119" s="1"/>
  <c r="D28" i="132"/>
  <c r="N28" i="132" s="1"/>
  <c r="O28" i="132" s="1"/>
  <c r="D28" i="100"/>
  <c r="N28" i="100" s="1"/>
  <c r="O28" i="100" s="1"/>
  <c r="D43" i="126"/>
  <c r="O43" i="126" s="1"/>
  <c r="D49" i="140"/>
  <c r="O49" i="140" s="1"/>
  <c r="D28" i="128"/>
  <c r="N28" i="128" s="1"/>
  <c r="O28" i="128" s="1"/>
  <c r="D32" i="128"/>
  <c r="N32" i="128" s="1"/>
  <c r="O32" i="128" s="1"/>
  <c r="D40" i="138"/>
  <c r="N40" i="138" s="1"/>
  <c r="O40" i="138" s="1"/>
  <c r="D52" i="138"/>
  <c r="N52" i="138" s="1"/>
  <c r="O52" i="138" s="1"/>
  <c r="D45" i="133"/>
  <c r="N45" i="133" s="1"/>
  <c r="O45" i="133" s="1"/>
  <c r="D51" i="142"/>
  <c r="N51" i="142" s="1"/>
  <c r="O51" i="142" s="1"/>
  <c r="D36" i="136"/>
  <c r="N36" i="136" s="1"/>
  <c r="O36" i="136" s="1"/>
  <c r="O61" i="133"/>
  <c r="D19" i="143"/>
  <c r="N19" i="143" s="1"/>
  <c r="D49" i="100"/>
  <c r="N49" i="100" s="1"/>
  <c r="O49" i="100" s="1"/>
  <c r="D34" i="140"/>
  <c r="N34" i="140" s="1"/>
  <c r="O34" i="140" s="1"/>
  <c r="D22" i="128"/>
  <c r="N22" i="128" s="1"/>
  <c r="D38" i="128"/>
  <c r="D53" i="128"/>
  <c r="N53" i="128" s="1"/>
  <c r="O53" i="128" s="1"/>
  <c r="D20" i="119"/>
  <c r="N20" i="119" s="1"/>
  <c r="N21" i="119" s="1"/>
  <c r="D29" i="138"/>
  <c r="D30" i="138" s="1"/>
  <c r="D37" i="145"/>
  <c r="N37" i="145" s="1"/>
  <c r="O37" i="145" s="1"/>
  <c r="D42" i="130"/>
  <c r="D31" i="127"/>
  <c r="N31" i="127" s="1"/>
  <c r="O31" i="127" s="1"/>
  <c r="D26" i="143"/>
  <c r="N26" i="143" s="1"/>
  <c r="O26" i="143" s="1"/>
  <c r="D34" i="127"/>
  <c r="N34" i="127" s="1"/>
  <c r="O34" i="127" s="1"/>
  <c r="D43" i="127"/>
  <c r="M43" i="127" s="1"/>
  <c r="M59" i="127" s="1"/>
  <c r="M61" i="127" s="1"/>
  <c r="D45" i="140"/>
  <c r="N45" i="140" s="1"/>
  <c r="O45" i="140" s="1"/>
  <c r="D51" i="37"/>
  <c r="N51" i="37" s="1"/>
  <c r="O51" i="37" s="1"/>
  <c r="D49" i="128"/>
  <c r="L49" i="128" s="1"/>
  <c r="O49" i="128" s="1"/>
  <c r="D37" i="119"/>
  <c r="N37" i="119" s="1"/>
  <c r="O37" i="119" s="1"/>
  <c r="D59" i="145"/>
  <c r="N59" i="145" s="1"/>
  <c r="O59" i="145" s="1"/>
  <c r="D42" i="131"/>
  <c r="D40" i="136"/>
  <c r="M40" i="136" s="1"/>
  <c r="O65" i="136"/>
  <c r="D32" i="139"/>
  <c r="N32" i="139" s="1"/>
  <c r="O32" i="139" s="1"/>
  <c r="D24" i="143"/>
  <c r="N24" i="143" s="1"/>
  <c r="O24" i="143" s="1"/>
  <c r="D26" i="140"/>
  <c r="N26" i="140" s="1"/>
  <c r="O26" i="140" s="1"/>
  <c r="O28" i="140" s="1"/>
  <c r="D27" i="128"/>
  <c r="N27" i="128" s="1"/>
  <c r="O27" i="128" s="1"/>
  <c r="D31" i="128"/>
  <c r="N31" i="128" s="1"/>
  <c r="O31" i="128" s="1"/>
  <c r="D25" i="119"/>
  <c r="D48" i="119"/>
  <c r="N48" i="119" s="1"/>
  <c r="O48" i="119" s="1"/>
  <c r="D50" i="119"/>
  <c r="N50" i="119" s="1"/>
  <c r="O50" i="119" s="1"/>
  <c r="D50" i="139"/>
  <c r="N50" i="139" s="1"/>
  <c r="O50" i="139" s="1"/>
  <c r="D30" i="133"/>
  <c r="N30" i="133" s="1"/>
  <c r="O30" i="133" s="1"/>
  <c r="D48" i="133"/>
  <c r="N48" i="133" s="1"/>
  <c r="O48" i="133" s="1"/>
  <c r="D33" i="136"/>
  <c r="N33" i="136" s="1"/>
  <c r="O33" i="136" s="1"/>
  <c r="D35" i="136"/>
  <c r="D52" i="136"/>
  <c r="N52" i="136" s="1"/>
  <c r="O52" i="136" s="1"/>
  <c r="D43" i="142"/>
  <c r="N43" i="142" s="1"/>
  <c r="O43" i="142" s="1"/>
  <c r="D29" i="100"/>
  <c r="N29" i="100" s="1"/>
  <c r="O29" i="100" s="1"/>
  <c r="D42" i="100"/>
  <c r="O42" i="100" s="1"/>
  <c r="O64" i="140"/>
  <c r="D29" i="37"/>
  <c r="N29" i="37" s="1"/>
  <c r="O29" i="37" s="1"/>
  <c r="D57" i="145"/>
  <c r="N57" i="145" s="1"/>
  <c r="O57" i="145" s="1"/>
  <c r="D34" i="129"/>
  <c r="D51" i="129" s="1"/>
  <c r="O51" i="129" s="1"/>
  <c r="D36" i="129"/>
  <c r="N36" i="129" s="1"/>
  <c r="O36" i="129" s="1"/>
  <c r="N46" i="129"/>
  <c r="O46" i="129" s="1"/>
  <c r="D59" i="129"/>
  <c r="N59" i="129" s="1"/>
  <c r="O59" i="129" s="1"/>
  <c r="D46" i="133"/>
  <c r="N46" i="133" s="1"/>
  <c r="O46" i="133" s="1"/>
  <c r="O66" i="141"/>
  <c r="D52" i="142"/>
  <c r="N52" i="142" s="1"/>
  <c r="O52" i="142" s="1"/>
  <c r="D42" i="136"/>
  <c r="N42" i="136" s="1"/>
  <c r="O42" i="136" s="1"/>
  <c r="D50" i="136"/>
  <c r="N50" i="136" s="1"/>
  <c r="O50" i="136" s="1"/>
  <c r="D38" i="100"/>
  <c r="N38" i="100" s="1"/>
  <c r="O38" i="100" s="1"/>
  <c r="D26" i="127"/>
  <c r="N26" i="127" s="1"/>
  <c r="N27" i="127" s="1"/>
  <c r="D49" i="127"/>
  <c r="O49" i="127" s="1"/>
  <c r="O64" i="127"/>
  <c r="D29" i="126"/>
  <c r="N29" i="126" s="1"/>
  <c r="O29" i="126" s="1"/>
  <c r="D33" i="140"/>
  <c r="N33" i="140" s="1"/>
  <c r="O33" i="140" s="1"/>
  <c r="D37" i="140"/>
  <c r="N37" i="140" s="1"/>
  <c r="O37" i="140" s="1"/>
  <c r="D39" i="128"/>
  <c r="M39" i="128" s="1"/>
  <c r="O39" i="128" s="1"/>
  <c r="D29" i="139"/>
  <c r="N29" i="139" s="1"/>
  <c r="O29" i="139" s="1"/>
  <c r="D34" i="142"/>
  <c r="N34" i="142" s="1"/>
  <c r="O34" i="142" s="1"/>
  <c r="D48" i="34"/>
  <c r="O48" i="34" s="1"/>
  <c r="D44" i="34"/>
  <c r="N44" i="34" s="1"/>
  <c r="D53" i="34"/>
  <c r="N53" i="34" s="1"/>
  <c r="O53" i="34" s="1"/>
  <c r="D25" i="143"/>
  <c r="N25" i="143" s="1"/>
  <c r="O25" i="143" s="1"/>
  <c r="D43" i="143"/>
  <c r="O43" i="143" s="1"/>
  <c r="D32" i="34"/>
  <c r="N32" i="34" s="1"/>
  <c r="O32" i="34" s="1"/>
  <c r="D36" i="34"/>
  <c r="N36" i="34" s="1"/>
  <c r="O36" i="34" s="1"/>
  <c r="D31" i="34"/>
  <c r="N31" i="34" s="1"/>
  <c r="O31" i="34" s="1"/>
  <c r="D35" i="34"/>
  <c r="N35" i="34" s="1"/>
  <c r="O35" i="34" s="1"/>
  <c r="D42" i="34"/>
  <c r="M42" i="34" s="1"/>
  <c r="O63" i="34"/>
  <c r="D37" i="143"/>
  <c r="M37" i="143" s="1"/>
  <c r="D26" i="34"/>
  <c r="N26" i="34" s="1"/>
  <c r="D34" i="34"/>
  <c r="N34" i="34" s="1"/>
  <c r="O34" i="34" s="1"/>
  <c r="D55" i="34"/>
  <c r="N55" i="34" s="1"/>
  <c r="O55" i="34" s="1"/>
  <c r="D28" i="143"/>
  <c r="N28" i="143" s="1"/>
  <c r="O28" i="143" s="1"/>
  <c r="D50" i="143"/>
  <c r="N50" i="143" s="1"/>
  <c r="O50" i="143" s="1"/>
  <c r="D33" i="143"/>
  <c r="D29" i="143"/>
  <c r="N29" i="143" s="1"/>
  <c r="O29" i="143" s="1"/>
  <c r="D39" i="143"/>
  <c r="D27" i="143"/>
  <c r="N27" i="143" s="1"/>
  <c r="O27" i="143" s="1"/>
  <c r="D36" i="100"/>
  <c r="M36" i="100" s="1"/>
  <c r="D20" i="126"/>
  <c r="N20" i="126" s="1"/>
  <c r="D28" i="126"/>
  <c r="N28" i="126" s="1"/>
  <c r="O28" i="126" s="1"/>
  <c r="D54" i="140"/>
  <c r="N54" i="140" s="1"/>
  <c r="O54" i="140" s="1"/>
  <c r="D28" i="37"/>
  <c r="N28" i="37" s="1"/>
  <c r="O28" i="37" s="1"/>
  <c r="D32" i="37"/>
  <c r="N32" i="37" s="1"/>
  <c r="O32" i="37" s="1"/>
  <c r="D31" i="138"/>
  <c r="D39" i="138"/>
  <c r="M39" i="138" s="1"/>
  <c r="N20" i="100"/>
  <c r="D27" i="100"/>
  <c r="N27" i="100" s="1"/>
  <c r="O27" i="100" s="1"/>
  <c r="D33" i="127"/>
  <c r="N33" i="127" s="1"/>
  <c r="O33" i="127" s="1"/>
  <c r="D39" i="126"/>
  <c r="N39" i="126" s="1"/>
  <c r="O39" i="126" s="1"/>
  <c r="D32" i="140"/>
  <c r="N32" i="140" s="1"/>
  <c r="O32" i="140" s="1"/>
  <c r="D36" i="140"/>
  <c r="N36" i="140" s="1"/>
  <c r="O36" i="140" s="1"/>
  <c r="D56" i="140"/>
  <c r="N56" i="140" s="1"/>
  <c r="O56" i="140" s="1"/>
  <c r="D44" i="37"/>
  <c r="O44" i="37" s="1"/>
  <c r="D50" i="37"/>
  <c r="N50" i="37" s="1"/>
  <c r="O50" i="37" s="1"/>
  <c r="D29" i="128"/>
  <c r="N29" i="128" s="1"/>
  <c r="O29" i="128" s="1"/>
  <c r="D52" i="128"/>
  <c r="N52" i="128" s="1"/>
  <c r="O52" i="128" s="1"/>
  <c r="D27" i="119"/>
  <c r="D35" i="119"/>
  <c r="D31" i="139"/>
  <c r="D40" i="139"/>
  <c r="N40" i="139" s="1"/>
  <c r="O40" i="139" s="1"/>
  <c r="D47" i="100"/>
  <c r="N47" i="100" s="1"/>
  <c r="O47" i="100" s="1"/>
  <c r="D45" i="127"/>
  <c r="N45" i="127" s="1"/>
  <c r="O45" i="127" s="1"/>
  <c r="D54" i="127"/>
  <c r="N54" i="127" s="1"/>
  <c r="O54" i="127" s="1"/>
  <c r="D26" i="126"/>
  <c r="N26" i="126" s="1"/>
  <c r="O26" i="126" s="1"/>
  <c r="D30" i="126"/>
  <c r="N30" i="126" s="1"/>
  <c r="O30" i="126" s="1"/>
  <c r="D50" i="126"/>
  <c r="N50" i="126" s="1"/>
  <c r="O50" i="126" s="1"/>
  <c r="D43" i="140"/>
  <c r="M43" i="140" s="1"/>
  <c r="D22" i="37"/>
  <c r="N22" i="37" s="1"/>
  <c r="D30" i="37"/>
  <c r="N30" i="37" s="1"/>
  <c r="O30" i="37" s="1"/>
  <c r="D38" i="37"/>
  <c r="M38" i="37" s="1"/>
  <c r="D49" i="119"/>
  <c r="N49" i="119" s="1"/>
  <c r="O49" i="119" s="1"/>
  <c r="D26" i="100"/>
  <c r="N26" i="100" s="1"/>
  <c r="O26" i="100" s="1"/>
  <c r="D32" i="127"/>
  <c r="N32" i="127" s="1"/>
  <c r="O32" i="127" s="1"/>
  <c r="D40" i="128"/>
  <c r="N40" i="128" s="1"/>
  <c r="O40" i="128" s="1"/>
  <c r="D45" i="128"/>
  <c r="O45" i="128" s="1"/>
  <c r="D52" i="139"/>
  <c r="N52" i="139" s="1"/>
  <c r="O52" i="139" s="1"/>
  <c r="D38" i="139"/>
  <c r="D39" i="139"/>
  <c r="M39" i="139" s="1"/>
  <c r="D36" i="145"/>
  <c r="D58" i="129"/>
  <c r="N58" i="129" s="1"/>
  <c r="O58" i="129" s="1"/>
  <c r="D58" i="130"/>
  <c r="N58" i="130" s="1"/>
  <c r="O58" i="130" s="1"/>
  <c r="D43" i="132"/>
  <c r="N43" i="132" s="1"/>
  <c r="O43" i="132" s="1"/>
  <c r="D47" i="133"/>
  <c r="N47" i="133" s="1"/>
  <c r="O47" i="133" s="1"/>
  <c r="D51" i="136"/>
  <c r="N51" i="136" s="1"/>
  <c r="O51" i="136" s="1"/>
  <c r="D57" i="130"/>
  <c r="N57" i="130" s="1"/>
  <c r="O57" i="130" s="1"/>
  <c r="D36" i="132"/>
  <c r="N36" i="132" s="1"/>
  <c r="O36" i="132" s="1"/>
  <c r="D37" i="129"/>
  <c r="D33" i="130"/>
  <c r="D34" i="130" s="1"/>
  <c r="N34" i="130" s="1"/>
  <c r="O34" i="130" s="1"/>
  <c r="D45" i="130"/>
  <c r="N45" i="130" s="1"/>
  <c r="O45" i="130" s="1"/>
  <c r="D26" i="131"/>
  <c r="N26" i="131" s="1"/>
  <c r="D34" i="131"/>
  <c r="N34" i="131" s="1"/>
  <c r="O34" i="131" s="1"/>
  <c r="O59" i="131"/>
  <c r="N20" i="132"/>
  <c r="D27" i="132"/>
  <c r="N27" i="132" s="1"/>
  <c r="O27" i="132" s="1"/>
  <c r="D31" i="132"/>
  <c r="N31" i="132" s="1"/>
  <c r="O31" i="132" s="1"/>
  <c r="D45" i="132"/>
  <c r="N45" i="132" s="1"/>
  <c r="O45" i="132" s="1"/>
  <c r="O57" i="132"/>
  <c r="D22" i="133"/>
  <c r="N22" i="133" s="1"/>
  <c r="D29" i="133"/>
  <c r="N29" i="133" s="1"/>
  <c r="O29" i="133" s="1"/>
  <c r="D33" i="133"/>
  <c r="N33" i="133" s="1"/>
  <c r="O33" i="133" s="1"/>
  <c r="D37" i="133"/>
  <c r="N37" i="133" s="1"/>
  <c r="O37" i="133" s="1"/>
  <c r="D43" i="141"/>
  <c r="N43" i="141" s="1"/>
  <c r="O43" i="141" s="1"/>
  <c r="D53" i="141"/>
  <c r="N53" i="141" s="1"/>
  <c r="O53" i="141" s="1"/>
  <c r="D37" i="142"/>
  <c r="N37" i="142" s="1"/>
  <c r="O37" i="142" s="1"/>
  <c r="D41" i="142"/>
  <c r="M41" i="142" s="1"/>
  <c r="O66" i="142"/>
  <c r="D56" i="130"/>
  <c r="N56" i="130" s="1"/>
  <c r="O56" i="130" s="1"/>
  <c r="D34" i="132"/>
  <c r="D36" i="130"/>
  <c r="N36" i="130" s="1"/>
  <c r="O36" i="130" s="1"/>
  <c r="D33" i="131"/>
  <c r="N33" i="131" s="1"/>
  <c r="O33" i="131" s="1"/>
  <c r="D37" i="131"/>
  <c r="N37" i="131" s="1"/>
  <c r="O37" i="131" s="1"/>
  <c r="O64" i="131"/>
  <c r="D26" i="132"/>
  <c r="N26" i="132" s="1"/>
  <c r="O26" i="132" s="1"/>
  <c r="D28" i="133"/>
  <c r="N28" i="133" s="1"/>
  <c r="O28" i="133" s="1"/>
  <c r="D32" i="133"/>
  <c r="N32" i="133" s="1"/>
  <c r="O32" i="133" s="1"/>
  <c r="D36" i="133"/>
  <c r="M36" i="133" s="1"/>
  <c r="D34" i="141"/>
  <c r="N34" i="141" s="1"/>
  <c r="O34" i="141" s="1"/>
  <c r="D52" i="141"/>
  <c r="N52" i="141" s="1"/>
  <c r="O52" i="141" s="1"/>
  <c r="D36" i="142"/>
  <c r="D40" i="142"/>
  <c r="D35" i="130"/>
  <c r="N35" i="130" s="1"/>
  <c r="O35" i="130" s="1"/>
  <c r="D25" i="132"/>
  <c r="N25" i="132" s="1"/>
  <c r="O25" i="132" s="1"/>
  <c r="D23" i="133"/>
  <c r="N23" i="133" s="1"/>
  <c r="O23" i="133" s="1"/>
  <c r="D31" i="133"/>
  <c r="N31" i="133" s="1"/>
  <c r="O31" i="133" s="1"/>
  <c r="D37" i="141"/>
  <c r="N37" i="141" s="1"/>
  <c r="O37" i="141" s="1"/>
  <c r="D41" i="141"/>
  <c r="M41" i="141" s="1"/>
  <c r="J42" i="37"/>
  <c r="J46" i="142"/>
  <c r="J41" i="126"/>
  <c r="J47" i="140"/>
  <c r="J43" i="128"/>
  <c r="J40" i="133"/>
  <c r="N42" i="131" l="1"/>
  <c r="O42" i="131" s="1"/>
  <c r="O44" i="34"/>
  <c r="N39" i="143"/>
  <c r="O39" i="143" s="1"/>
  <c r="O66" i="156"/>
  <c r="O68" i="156"/>
  <c r="D16" i="142"/>
  <c r="D27" i="142" s="1"/>
  <c r="D16" i="139"/>
  <c r="D53" i="139" s="1"/>
  <c r="N53" i="139" s="1"/>
  <c r="O53" i="139" s="1"/>
  <c r="D15" i="139"/>
  <c r="L38" i="127"/>
  <c r="O38" i="127" s="1"/>
  <c r="N38" i="147"/>
  <c r="O38" i="147" s="1"/>
  <c r="O38" i="154"/>
  <c r="O56" i="154" s="1"/>
  <c r="N56" i="154"/>
  <c r="N58" i="154" s="1"/>
  <c r="G32" i="143"/>
  <c r="J32" i="143" s="1"/>
  <c r="D16" i="141"/>
  <c r="D27" i="141" s="1"/>
  <c r="O38" i="155"/>
  <c r="O56" i="155" s="1"/>
  <c r="N56" i="155"/>
  <c r="N58" i="155" s="1"/>
  <c r="D16" i="130"/>
  <c r="D59" i="130" s="1"/>
  <c r="N59" i="130" s="1"/>
  <c r="O59" i="130" s="1"/>
  <c r="N35" i="119"/>
  <c r="O35" i="119" s="1"/>
  <c r="O38" i="153"/>
  <c r="O56" i="153" s="1"/>
  <c r="N56" i="153"/>
  <c r="N58" i="153" s="1"/>
  <c r="D15" i="129"/>
  <c r="C18" i="145"/>
  <c r="D18" i="145" s="1"/>
  <c r="D16" i="138"/>
  <c r="D53" i="138" s="1"/>
  <c r="N53" i="138" s="1"/>
  <c r="O53" i="138" s="1"/>
  <c r="D16" i="129"/>
  <c r="D60" i="129" s="1"/>
  <c r="N60" i="129" s="1"/>
  <c r="O60" i="129" s="1"/>
  <c r="O39" i="148"/>
  <c r="O38" i="151"/>
  <c r="O56" i="151" s="1"/>
  <c r="N56" i="151"/>
  <c r="N58" i="151" s="1"/>
  <c r="O38" i="152"/>
  <c r="O56" i="152" s="1"/>
  <c r="N56" i="152"/>
  <c r="N58" i="152" s="1"/>
  <c r="O42" i="149"/>
  <c r="O59" i="149" s="1"/>
  <c r="O61" i="149" s="1"/>
  <c r="N59" i="149"/>
  <c r="N61" i="149" s="1"/>
  <c r="O38" i="150"/>
  <c r="O56" i="150" s="1"/>
  <c r="N56" i="150"/>
  <c r="N58" i="150" s="1"/>
  <c r="N38" i="148"/>
  <c r="O38" i="148" s="1"/>
  <c r="N38" i="128"/>
  <c r="O38" i="128" s="1"/>
  <c r="N38" i="138"/>
  <c r="O38" i="138" s="1"/>
  <c r="M44" i="129"/>
  <c r="O44" i="129" s="1"/>
  <c r="O22" i="148"/>
  <c r="O23" i="148" s="1"/>
  <c r="N23" i="148"/>
  <c r="L56" i="148"/>
  <c r="L58" i="148" s="1"/>
  <c r="O66" i="148" s="1"/>
  <c r="O39" i="147"/>
  <c r="M56" i="147"/>
  <c r="M58" i="147" s="1"/>
  <c r="O27" i="147"/>
  <c r="N23" i="147"/>
  <c r="L56" i="147"/>
  <c r="L58" i="147" s="1"/>
  <c r="O66" i="147" s="1"/>
  <c r="L33" i="143"/>
  <c r="O33" i="143" s="1"/>
  <c r="N37" i="37"/>
  <c r="O37" i="37" s="1"/>
  <c r="N38" i="139"/>
  <c r="O38" i="139" s="1"/>
  <c r="N43" i="129"/>
  <c r="O43" i="129" s="1"/>
  <c r="N43" i="145"/>
  <c r="O43" i="145" s="1"/>
  <c r="D15" i="138"/>
  <c r="L35" i="139"/>
  <c r="O35" i="139" s="1"/>
  <c r="M34" i="132"/>
  <c r="M48" i="132" s="1"/>
  <c r="M50" i="132" s="1"/>
  <c r="L34" i="37"/>
  <c r="O34" i="37" s="1"/>
  <c r="D30" i="139"/>
  <c r="N30" i="139" s="1"/>
  <c r="O30" i="139" s="1"/>
  <c r="M40" i="131"/>
  <c r="M54" i="131" s="1"/>
  <c r="M56" i="131" s="1"/>
  <c r="L34" i="143"/>
  <c r="O34" i="143" s="1"/>
  <c r="N42" i="130"/>
  <c r="O42" i="130" s="1"/>
  <c r="N40" i="141"/>
  <c r="O40" i="141" s="1"/>
  <c r="N40" i="142"/>
  <c r="O40" i="142" s="1"/>
  <c r="O37" i="126"/>
  <c r="L56" i="128"/>
  <c r="L58" i="128" s="1"/>
  <c r="O66" i="128" s="1"/>
  <c r="N34" i="145"/>
  <c r="O34" i="145" s="1"/>
  <c r="N28" i="140"/>
  <c r="D38" i="140" s="1"/>
  <c r="N38" i="140" s="1"/>
  <c r="D44" i="139"/>
  <c r="O44" i="139" s="1"/>
  <c r="D45" i="138"/>
  <c r="O45" i="138" s="1"/>
  <c r="N30" i="138"/>
  <c r="O30" i="138" s="1"/>
  <c r="D35" i="141"/>
  <c r="N35" i="141" s="1"/>
  <c r="O35" i="141" s="1"/>
  <c r="D51" i="130"/>
  <c r="O51" i="130" s="1"/>
  <c r="N26" i="119"/>
  <c r="O26" i="119" s="1"/>
  <c r="D35" i="142"/>
  <c r="N35" i="142" s="1"/>
  <c r="O35" i="142" s="1"/>
  <c r="D35" i="129"/>
  <c r="D35" i="145"/>
  <c r="D34" i="136"/>
  <c r="N34" i="136" s="1"/>
  <c r="O34" i="136" s="1"/>
  <c r="L31" i="143"/>
  <c r="O31" i="143" s="1"/>
  <c r="L35" i="138"/>
  <c r="J35" i="138"/>
  <c r="L40" i="145"/>
  <c r="O40" i="145" s="1"/>
  <c r="L54" i="119"/>
  <c r="L56" i="119" s="1"/>
  <c r="L32" i="126"/>
  <c r="L53" i="126" s="1"/>
  <c r="L55" i="126" s="1"/>
  <c r="O63" i="126" s="1"/>
  <c r="L39" i="140"/>
  <c r="O39" i="140" s="1"/>
  <c r="L58" i="34"/>
  <c r="L60" i="34" s="1"/>
  <c r="O68" i="34" s="1"/>
  <c r="L52" i="100"/>
  <c r="L54" i="100" s="1"/>
  <c r="O61" i="100" s="1"/>
  <c r="D26" i="136"/>
  <c r="D53" i="136"/>
  <c r="N53" i="136" s="1"/>
  <c r="O53" i="136" s="1"/>
  <c r="N34" i="129"/>
  <c r="O34" i="129" s="1"/>
  <c r="D14" i="136"/>
  <c r="D41" i="136" s="1"/>
  <c r="O20" i="119"/>
  <c r="O21" i="119" s="1"/>
  <c r="D19" i="145"/>
  <c r="D14" i="129"/>
  <c r="D19" i="129"/>
  <c r="D29" i="129" s="1"/>
  <c r="N29" i="129" s="1"/>
  <c r="O29" i="129" s="1"/>
  <c r="M56" i="128"/>
  <c r="M58" i="128" s="1"/>
  <c r="D17" i="136"/>
  <c r="O43" i="127"/>
  <c r="O26" i="127"/>
  <c r="O27" i="127" s="1"/>
  <c r="D15" i="145"/>
  <c r="D17" i="145"/>
  <c r="D16" i="145"/>
  <c r="D14" i="145"/>
  <c r="D15" i="136"/>
  <c r="D15" i="141"/>
  <c r="D19" i="141"/>
  <c r="D29" i="141" s="1"/>
  <c r="N29" i="141" s="1"/>
  <c r="O29" i="141" s="1"/>
  <c r="D14" i="141"/>
  <c r="D42" i="141" s="1"/>
  <c r="D17" i="141"/>
  <c r="D15" i="130"/>
  <c r="D14" i="130"/>
  <c r="D15" i="142"/>
  <c r="D19" i="142"/>
  <c r="D29" i="142" s="1"/>
  <c r="N29" i="142" s="1"/>
  <c r="O29" i="142" s="1"/>
  <c r="D14" i="142"/>
  <c r="D42" i="142" s="1"/>
  <c r="L42" i="129"/>
  <c r="L62" i="130"/>
  <c r="L64" i="130" s="1"/>
  <c r="O71" i="130" s="1"/>
  <c r="O40" i="136"/>
  <c r="M54" i="119"/>
  <c r="M56" i="119" s="1"/>
  <c r="D42" i="119"/>
  <c r="O42" i="119" s="1"/>
  <c r="N25" i="119"/>
  <c r="O25" i="119" s="1"/>
  <c r="D44" i="138"/>
  <c r="O44" i="138" s="1"/>
  <c r="N29" i="138"/>
  <c r="O29" i="138" s="1"/>
  <c r="D37" i="136"/>
  <c r="N37" i="136" s="1"/>
  <c r="O37" i="136" s="1"/>
  <c r="N35" i="136"/>
  <c r="O35" i="136" s="1"/>
  <c r="O22" i="133"/>
  <c r="O24" i="133" s="1"/>
  <c r="N24" i="133"/>
  <c r="O41" i="142"/>
  <c r="N27" i="131"/>
  <c r="O26" i="131"/>
  <c r="O27" i="131" s="1"/>
  <c r="M55" i="37"/>
  <c r="M57" i="37" s="1"/>
  <c r="O38" i="37"/>
  <c r="O41" i="141"/>
  <c r="M51" i="133"/>
  <c r="M53" i="133" s="1"/>
  <c r="O36" i="133"/>
  <c r="N27" i="34"/>
  <c r="O26" i="34"/>
  <c r="O27" i="34" s="1"/>
  <c r="M58" i="34"/>
  <c r="M60" i="34" s="1"/>
  <c r="O42" i="34"/>
  <c r="N36" i="145"/>
  <c r="D38" i="145"/>
  <c r="N38" i="145" s="1"/>
  <c r="O38" i="145" s="1"/>
  <c r="M56" i="138"/>
  <c r="M58" i="138" s="1"/>
  <c r="O39" i="138"/>
  <c r="M59" i="140"/>
  <c r="M61" i="140" s="1"/>
  <c r="O43" i="140"/>
  <c r="D29" i="119"/>
  <c r="N29" i="119" s="1"/>
  <c r="O29" i="119" s="1"/>
  <c r="N27" i="119"/>
  <c r="O27" i="119" s="1"/>
  <c r="D33" i="138"/>
  <c r="N33" i="138" s="1"/>
  <c r="O33" i="138" s="1"/>
  <c r="N31" i="138"/>
  <c r="O31" i="138" s="1"/>
  <c r="D30" i="119"/>
  <c r="N30" i="119" s="1"/>
  <c r="O30" i="119" s="1"/>
  <c r="D44" i="119"/>
  <c r="N44" i="119" s="1"/>
  <c r="O44" i="119" s="1"/>
  <c r="D40" i="119"/>
  <c r="N40" i="119" s="1"/>
  <c r="O40" i="119" s="1"/>
  <c r="D39" i="119"/>
  <c r="N39" i="119" s="1"/>
  <c r="O39" i="119" s="1"/>
  <c r="O22" i="37"/>
  <c r="O23" i="37" s="1"/>
  <c r="N23" i="37"/>
  <c r="N36" i="142"/>
  <c r="D38" i="142"/>
  <c r="N38" i="142" s="1"/>
  <c r="O38" i="142" s="1"/>
  <c r="D50" i="130"/>
  <c r="O50" i="130" s="1"/>
  <c r="N33" i="130"/>
  <c r="D38" i="141"/>
  <c r="N38" i="141" s="1"/>
  <c r="O38" i="141" s="1"/>
  <c r="N21" i="132"/>
  <c r="O20" i="132"/>
  <c r="O21" i="132" s="1"/>
  <c r="D38" i="129"/>
  <c r="N38" i="129" s="1"/>
  <c r="O38" i="129" s="1"/>
  <c r="N37" i="129"/>
  <c r="O37" i="129" s="1"/>
  <c r="O36" i="100"/>
  <c r="M52" i="100"/>
  <c r="M54" i="100" s="1"/>
  <c r="D37" i="130"/>
  <c r="N37" i="130" s="1"/>
  <c r="O37" i="130" s="1"/>
  <c r="N21" i="100"/>
  <c r="O20" i="100"/>
  <c r="O21" i="100" s="1"/>
  <c r="N21" i="126"/>
  <c r="O20" i="126"/>
  <c r="O21" i="126" s="1"/>
  <c r="N20" i="143"/>
  <c r="O19" i="143"/>
  <c r="O20" i="143" s="1"/>
  <c r="M56" i="139"/>
  <c r="M58" i="139" s="1"/>
  <c r="O39" i="139"/>
  <c r="D33" i="139"/>
  <c r="N33" i="139" s="1"/>
  <c r="O33" i="139" s="1"/>
  <c r="N31" i="139"/>
  <c r="O31" i="139" s="1"/>
  <c r="N23" i="128"/>
  <c r="O22" i="128"/>
  <c r="O23" i="128" s="1"/>
  <c r="M53" i="143"/>
  <c r="M55" i="143" s="1"/>
  <c r="O37" i="143"/>
  <c r="D50" i="127"/>
  <c r="N50" i="127" s="1"/>
  <c r="O50" i="127" s="1"/>
  <c r="D37" i="127"/>
  <c r="N37" i="127" s="1"/>
  <c r="O37" i="127" s="1"/>
  <c r="D47" i="127"/>
  <c r="N47" i="127" s="1"/>
  <c r="D46" i="127"/>
  <c r="N46" i="127" s="1"/>
  <c r="O46" i="127" s="1"/>
  <c r="L59" i="127" l="1"/>
  <c r="L61" i="127" s="1"/>
  <c r="O69" i="127" s="1"/>
  <c r="D54" i="142"/>
  <c r="N54" i="142" s="1"/>
  <c r="O54" i="142" s="1"/>
  <c r="D26" i="130"/>
  <c r="D24" i="139"/>
  <c r="N24" i="139" s="1"/>
  <c r="O24" i="139" s="1"/>
  <c r="O25" i="139" s="1"/>
  <c r="D29" i="145"/>
  <c r="N29" i="145" s="1"/>
  <c r="O29" i="145" s="1"/>
  <c r="L32" i="143"/>
  <c r="O32" i="143" s="1"/>
  <c r="D54" i="141"/>
  <c r="N54" i="141" s="1"/>
  <c r="O54" i="141" s="1"/>
  <c r="O61" i="155"/>
  <c r="O58" i="155"/>
  <c r="O65" i="155" s="1"/>
  <c r="D24" i="138"/>
  <c r="N24" i="138" s="1"/>
  <c r="O24" i="138" s="1"/>
  <c r="O25" i="138" s="1"/>
  <c r="D27" i="129"/>
  <c r="O61" i="153"/>
  <c r="O58" i="153"/>
  <c r="O65" i="153" s="1"/>
  <c r="O61" i="154"/>
  <c r="O58" i="154"/>
  <c r="O65" i="154" s="1"/>
  <c r="I25" i="136"/>
  <c r="D43" i="136"/>
  <c r="D28" i="141"/>
  <c r="M42" i="141" s="1"/>
  <c r="O42" i="141" s="1"/>
  <c r="I25" i="130"/>
  <c r="D44" i="130"/>
  <c r="O61" i="150"/>
  <c r="O58" i="150"/>
  <c r="O61" i="152"/>
  <c r="O58" i="152"/>
  <c r="O66" i="149"/>
  <c r="O68" i="149"/>
  <c r="O61" i="151"/>
  <c r="O58" i="151"/>
  <c r="D28" i="129"/>
  <c r="D47" i="129" s="1"/>
  <c r="N47" i="129" s="1"/>
  <c r="O47" i="129" s="1"/>
  <c r="D45" i="129"/>
  <c r="D28" i="145"/>
  <c r="N28" i="145" s="1"/>
  <c r="D45" i="145"/>
  <c r="O34" i="132"/>
  <c r="D42" i="148"/>
  <c r="N42" i="148" s="1"/>
  <c r="O42" i="148" s="1"/>
  <c r="D46" i="148"/>
  <c r="N46" i="148" s="1"/>
  <c r="O46" i="148" s="1"/>
  <c r="D43" i="148"/>
  <c r="N43" i="148" s="1"/>
  <c r="O43" i="148" s="1"/>
  <c r="D33" i="148"/>
  <c r="N33" i="148" s="1"/>
  <c r="D42" i="147"/>
  <c r="N42" i="147" s="1"/>
  <c r="O42" i="147" s="1"/>
  <c r="D43" i="147"/>
  <c r="N43" i="147" s="1"/>
  <c r="O43" i="147" s="1"/>
  <c r="D46" i="147"/>
  <c r="N46" i="147" s="1"/>
  <c r="O46" i="147" s="1"/>
  <c r="D33" i="147"/>
  <c r="N33" i="147" s="1"/>
  <c r="L56" i="139"/>
  <c r="L58" i="139" s="1"/>
  <c r="O65" i="139" s="1"/>
  <c r="L55" i="37"/>
  <c r="L57" i="37" s="1"/>
  <c r="O65" i="37" s="1"/>
  <c r="D45" i="139"/>
  <c r="O45" i="139" s="1"/>
  <c r="O40" i="131"/>
  <c r="D50" i="140"/>
  <c r="N50" i="140" s="1"/>
  <c r="O50" i="140" s="1"/>
  <c r="D46" i="140"/>
  <c r="N46" i="140" s="1"/>
  <c r="O46" i="140" s="1"/>
  <c r="D47" i="140"/>
  <c r="N47" i="140" s="1"/>
  <c r="O47" i="140" s="1"/>
  <c r="N35" i="145"/>
  <c r="O35" i="145" s="1"/>
  <c r="D52" i="145"/>
  <c r="N35" i="129"/>
  <c r="O35" i="129" s="1"/>
  <c r="D52" i="129"/>
  <c r="O52" i="129" s="1"/>
  <c r="L63" i="145"/>
  <c r="L65" i="145" s="1"/>
  <c r="O72" i="145" s="1"/>
  <c r="O35" i="138"/>
  <c r="L56" i="138"/>
  <c r="L58" i="138" s="1"/>
  <c r="O65" i="138" s="1"/>
  <c r="O32" i="126"/>
  <c r="L59" i="140"/>
  <c r="L61" i="140" s="1"/>
  <c r="O69" i="140" s="1"/>
  <c r="D27" i="130"/>
  <c r="D18" i="130"/>
  <c r="D28" i="130" s="1"/>
  <c r="N28" i="130" s="1"/>
  <c r="O28" i="130" s="1"/>
  <c r="D28" i="142"/>
  <c r="M42" i="142" s="1"/>
  <c r="O42" i="142" s="1"/>
  <c r="D27" i="136"/>
  <c r="M41" i="136" s="1"/>
  <c r="O41" i="136" s="1"/>
  <c r="D60" i="145"/>
  <c r="N60" i="145" s="1"/>
  <c r="O60" i="145" s="1"/>
  <c r="D27" i="145"/>
  <c r="D18" i="136"/>
  <c r="D28" i="136" s="1"/>
  <c r="N28" i="136" s="1"/>
  <c r="O28" i="136" s="1"/>
  <c r="O42" i="129"/>
  <c r="L63" i="129"/>
  <c r="L65" i="129" s="1"/>
  <c r="O72" i="129" s="1"/>
  <c r="N54" i="119"/>
  <c r="N56" i="119" s="1"/>
  <c r="D41" i="143"/>
  <c r="N41" i="143" s="1"/>
  <c r="O41" i="143" s="1"/>
  <c r="D44" i="143"/>
  <c r="N44" i="143" s="1"/>
  <c r="O44" i="143" s="1"/>
  <c r="D40" i="143"/>
  <c r="N40" i="143" s="1"/>
  <c r="O40" i="143" s="1"/>
  <c r="D30" i="143"/>
  <c r="N30" i="143" s="1"/>
  <c r="D41" i="126"/>
  <c r="N41" i="126" s="1"/>
  <c r="O41" i="126" s="1"/>
  <c r="D44" i="126"/>
  <c r="N44" i="126" s="1"/>
  <c r="O44" i="126" s="1"/>
  <c r="D31" i="126"/>
  <c r="N31" i="126" s="1"/>
  <c r="D40" i="126"/>
  <c r="N40" i="126" s="1"/>
  <c r="O40" i="126" s="1"/>
  <c r="O33" i="130"/>
  <c r="O36" i="145"/>
  <c r="D42" i="128"/>
  <c r="N42" i="128" s="1"/>
  <c r="O42" i="128" s="1"/>
  <c r="D43" i="128"/>
  <c r="N43" i="128" s="1"/>
  <c r="O43" i="128" s="1"/>
  <c r="D33" i="128"/>
  <c r="N33" i="128" s="1"/>
  <c r="D46" i="128"/>
  <c r="N46" i="128" s="1"/>
  <c r="O46" i="128" s="1"/>
  <c r="D36" i="131"/>
  <c r="N36" i="131" s="1"/>
  <c r="D38" i="131"/>
  <c r="N38" i="131" s="1"/>
  <c r="O38" i="131" s="1"/>
  <c r="D43" i="131"/>
  <c r="N43" i="131" s="1"/>
  <c r="O43" i="131" s="1"/>
  <c r="D44" i="131"/>
  <c r="N44" i="131" s="1"/>
  <c r="O44" i="131" s="1"/>
  <c r="D46" i="131"/>
  <c r="N46" i="131" s="1"/>
  <c r="O46" i="131" s="1"/>
  <c r="O54" i="119"/>
  <c r="O56" i="119" s="1"/>
  <c r="O36" i="142"/>
  <c r="D39" i="133"/>
  <c r="N39" i="133" s="1"/>
  <c r="O39" i="133" s="1"/>
  <c r="D42" i="133"/>
  <c r="N42" i="133" s="1"/>
  <c r="O42" i="133" s="1"/>
  <c r="D40" i="133"/>
  <c r="N40" i="133" s="1"/>
  <c r="O40" i="133" s="1"/>
  <c r="D34" i="133"/>
  <c r="N34" i="133" s="1"/>
  <c r="D46" i="34"/>
  <c r="N46" i="34" s="1"/>
  <c r="D49" i="34"/>
  <c r="N49" i="34" s="1"/>
  <c r="O49" i="34" s="1"/>
  <c r="D45" i="34"/>
  <c r="N45" i="34" s="1"/>
  <c r="O45" i="34" s="1"/>
  <c r="D37" i="34"/>
  <c r="N37" i="34" s="1"/>
  <c r="O37" i="34" s="1"/>
  <c r="D38" i="132"/>
  <c r="N38" i="132" s="1"/>
  <c r="O38" i="132" s="1"/>
  <c r="D30" i="132"/>
  <c r="N30" i="132" s="1"/>
  <c r="D40" i="132"/>
  <c r="N40" i="132" s="1"/>
  <c r="O40" i="132" s="1"/>
  <c r="D37" i="132"/>
  <c r="N37" i="132" s="1"/>
  <c r="O37" i="132" s="1"/>
  <c r="D32" i="132"/>
  <c r="N32" i="132" s="1"/>
  <c r="O32" i="132" s="1"/>
  <c r="N59" i="127"/>
  <c r="N61" i="127" s="1"/>
  <c r="O47" i="127"/>
  <c r="O59" i="127" s="1"/>
  <c r="O61" i="127" s="1"/>
  <c r="O38" i="140"/>
  <c r="D43" i="100"/>
  <c r="N43" i="100" s="1"/>
  <c r="O43" i="100" s="1"/>
  <c r="D39" i="100"/>
  <c r="N39" i="100" s="1"/>
  <c r="O39" i="100" s="1"/>
  <c r="D31" i="100"/>
  <c r="N31" i="100" s="1"/>
  <c r="D40" i="100"/>
  <c r="N40" i="100" s="1"/>
  <c r="O40" i="100" s="1"/>
  <c r="D45" i="37"/>
  <c r="N45" i="37" s="1"/>
  <c r="O45" i="37" s="1"/>
  <c r="D33" i="37"/>
  <c r="N33" i="37" s="1"/>
  <c r="D41" i="37"/>
  <c r="N41" i="37" s="1"/>
  <c r="O41" i="37" s="1"/>
  <c r="D42" i="37"/>
  <c r="N42" i="37" s="1"/>
  <c r="O42" i="37" s="1"/>
  <c r="D47" i="145" l="1"/>
  <c r="N47" i="145" s="1"/>
  <c r="O47" i="145" s="1"/>
  <c r="N25" i="139"/>
  <c r="N46" i="139" s="1"/>
  <c r="O46" i="139" s="1"/>
  <c r="L53" i="143"/>
  <c r="L55" i="143" s="1"/>
  <c r="O62" i="143" s="1"/>
  <c r="O63" i="155"/>
  <c r="M57" i="141"/>
  <c r="M59" i="141" s="1"/>
  <c r="D44" i="141"/>
  <c r="N44" i="141" s="1"/>
  <c r="O44" i="141" s="1"/>
  <c r="M44" i="130"/>
  <c r="M62" i="130" s="1"/>
  <c r="M64" i="130" s="1"/>
  <c r="N25" i="138"/>
  <c r="D41" i="138" s="1"/>
  <c r="N28" i="141"/>
  <c r="N30" i="141" s="1"/>
  <c r="O63" i="154"/>
  <c r="O63" i="153"/>
  <c r="N28" i="129"/>
  <c r="N30" i="129" s="1"/>
  <c r="M45" i="129"/>
  <c r="O45" i="129" s="1"/>
  <c r="O63" i="151"/>
  <c r="O65" i="151"/>
  <c r="O65" i="152"/>
  <c r="O63" i="152"/>
  <c r="O65" i="150"/>
  <c r="O63" i="150"/>
  <c r="M45" i="145"/>
  <c r="O33" i="148"/>
  <c r="O56" i="148" s="1"/>
  <c r="N56" i="148"/>
  <c r="N58" i="148" s="1"/>
  <c r="O33" i="147"/>
  <c r="O56" i="147" s="1"/>
  <c r="N56" i="147"/>
  <c r="N58" i="147" s="1"/>
  <c r="M57" i="142"/>
  <c r="M59" i="142" s="1"/>
  <c r="M56" i="136"/>
  <c r="M58" i="136" s="1"/>
  <c r="N59" i="140"/>
  <c r="N61" i="140" s="1"/>
  <c r="O59" i="140"/>
  <c r="O61" i="140" s="1"/>
  <c r="O68" i="140" s="1"/>
  <c r="N25" i="136"/>
  <c r="J25" i="136"/>
  <c r="J25" i="130"/>
  <c r="N25" i="130"/>
  <c r="N43" i="136"/>
  <c r="O43" i="136" s="1"/>
  <c r="N27" i="136"/>
  <c r="O27" i="136" s="1"/>
  <c r="D46" i="130"/>
  <c r="N46" i="130" s="1"/>
  <c r="O46" i="130" s="1"/>
  <c r="N27" i="130"/>
  <c r="O27" i="130" s="1"/>
  <c r="D44" i="142"/>
  <c r="N44" i="142" s="1"/>
  <c r="O44" i="142" s="1"/>
  <c r="N28" i="142"/>
  <c r="O28" i="145"/>
  <c r="O30" i="145" s="1"/>
  <c r="N30" i="145"/>
  <c r="O59" i="119"/>
  <c r="O61" i="119" s="1"/>
  <c r="O33" i="37"/>
  <c r="O55" i="37" s="1"/>
  <c r="N55" i="37"/>
  <c r="N57" i="37" s="1"/>
  <c r="O30" i="143"/>
  <c r="O53" i="143" s="1"/>
  <c r="O55" i="143" s="1"/>
  <c r="O57" i="143" s="1"/>
  <c r="N53" i="143"/>
  <c r="N55" i="143" s="1"/>
  <c r="O63" i="119"/>
  <c r="N58" i="34"/>
  <c r="N60" i="34" s="1"/>
  <c r="O46" i="34"/>
  <c r="O58" i="34" s="1"/>
  <c r="O60" i="34" s="1"/>
  <c r="O66" i="127"/>
  <c r="O68" i="127"/>
  <c r="O34" i="133"/>
  <c r="O51" i="133" s="1"/>
  <c r="N51" i="133"/>
  <c r="N53" i="133" s="1"/>
  <c r="O31" i="100"/>
  <c r="O52" i="100" s="1"/>
  <c r="O54" i="100" s="1"/>
  <c r="N52" i="100"/>
  <c r="N54" i="100" s="1"/>
  <c r="O36" i="131"/>
  <c r="O54" i="131" s="1"/>
  <c r="O56" i="131" s="1"/>
  <c r="N54" i="131"/>
  <c r="N56" i="131" s="1"/>
  <c r="O33" i="128"/>
  <c r="O56" i="128" s="1"/>
  <c r="N56" i="128"/>
  <c r="N58" i="128" s="1"/>
  <c r="O31" i="126"/>
  <c r="O53" i="126" s="1"/>
  <c r="O55" i="126" s="1"/>
  <c r="O58" i="126" s="1"/>
  <c r="N53" i="126"/>
  <c r="N55" i="126" s="1"/>
  <c r="O30" i="132"/>
  <c r="O48" i="132" s="1"/>
  <c r="O50" i="132" s="1"/>
  <c r="O52" i="132" s="1"/>
  <c r="N48" i="132"/>
  <c r="N50" i="132" s="1"/>
  <c r="D41" i="139" l="1"/>
  <c r="D46" i="139"/>
  <c r="D34" i="139"/>
  <c r="N34" i="139" s="1"/>
  <c r="O34" i="139" s="1"/>
  <c r="N42" i="139"/>
  <c r="O42" i="139" s="1"/>
  <c r="N41" i="139"/>
  <c r="O41" i="139" s="1"/>
  <c r="D42" i="139"/>
  <c r="N42" i="138"/>
  <c r="O42" i="138" s="1"/>
  <c r="O28" i="141"/>
  <c r="O30" i="141" s="1"/>
  <c r="D42" i="138"/>
  <c r="D46" i="138"/>
  <c r="O44" i="130"/>
  <c r="O28" i="129"/>
  <c r="O30" i="129" s="1"/>
  <c r="D34" i="138"/>
  <c r="N34" i="138" s="1"/>
  <c r="O34" i="138" s="1"/>
  <c r="N41" i="138"/>
  <c r="O41" i="138" s="1"/>
  <c r="N46" i="138"/>
  <c r="O46" i="138" s="1"/>
  <c r="M63" i="129"/>
  <c r="M65" i="129" s="1"/>
  <c r="O45" i="145"/>
  <c r="M63" i="145"/>
  <c r="M65" i="145" s="1"/>
  <c r="O61" i="148"/>
  <c r="O58" i="148"/>
  <c r="O61" i="147"/>
  <c r="O58" i="147"/>
  <c r="O66" i="140"/>
  <c r="O25" i="130"/>
  <c r="N29" i="130"/>
  <c r="N53" i="145"/>
  <c r="O53" i="145" s="1"/>
  <c r="N48" i="145"/>
  <c r="N49" i="145"/>
  <c r="O49" i="145" s="1"/>
  <c r="D53" i="145"/>
  <c r="D39" i="145"/>
  <c r="D48" i="145"/>
  <c r="D49" i="145"/>
  <c r="N53" i="129"/>
  <c r="O53" i="129" s="1"/>
  <c r="D53" i="129"/>
  <c r="D49" i="129"/>
  <c r="D39" i="129"/>
  <c r="N39" i="129" s="1"/>
  <c r="N49" i="129"/>
  <c r="O49" i="129" s="1"/>
  <c r="D48" i="129"/>
  <c r="N48" i="129"/>
  <c r="O48" i="129" s="1"/>
  <c r="D45" i="141"/>
  <c r="D46" i="141"/>
  <c r="D39" i="141"/>
  <c r="N39" i="141" s="1"/>
  <c r="N48" i="141"/>
  <c r="O48" i="141" s="1"/>
  <c r="N45" i="141"/>
  <c r="O45" i="141" s="1"/>
  <c r="N46" i="141"/>
  <c r="O46" i="141" s="1"/>
  <c r="D48" i="141"/>
  <c r="N29" i="136"/>
  <c r="O25" i="136"/>
  <c r="O28" i="142"/>
  <c r="N30" i="142"/>
  <c r="O60" i="100"/>
  <c r="O56" i="100"/>
  <c r="O58" i="100" s="1"/>
  <c r="O58" i="128"/>
  <c r="O61" i="128"/>
  <c r="O62" i="126"/>
  <c r="O60" i="126"/>
  <c r="O59" i="143"/>
  <c r="O61" i="143"/>
  <c r="O61" i="131"/>
  <c r="O63" i="131"/>
  <c r="O53" i="133"/>
  <c r="O56" i="133"/>
  <c r="O56" i="132"/>
  <c r="O54" i="132"/>
  <c r="O60" i="37"/>
  <c r="O57" i="37"/>
  <c r="O65" i="34"/>
  <c r="O67" i="34"/>
  <c r="O56" i="139" l="1"/>
  <c r="O60" i="139" s="1"/>
  <c r="N56" i="139"/>
  <c r="N58" i="139" s="1"/>
  <c r="N56" i="138"/>
  <c r="N58" i="138" s="1"/>
  <c r="O56" i="138"/>
  <c r="O58" i="138" s="1"/>
  <c r="O63" i="148"/>
  <c r="O65" i="148"/>
  <c r="O63" i="147"/>
  <c r="O65" i="147"/>
  <c r="O39" i="129"/>
  <c r="O63" i="129" s="1"/>
  <c r="N63" i="129"/>
  <c r="N65" i="129" s="1"/>
  <c r="N46" i="142"/>
  <c r="O46" i="142" s="1"/>
  <c r="D39" i="142"/>
  <c r="N39" i="142" s="1"/>
  <c r="N45" i="142"/>
  <c r="O45" i="142" s="1"/>
  <c r="N48" i="142"/>
  <c r="O48" i="142" s="1"/>
  <c r="D48" i="142"/>
  <c r="D45" i="142"/>
  <c r="D46" i="142"/>
  <c r="O48" i="145"/>
  <c r="O63" i="145" s="1"/>
  <c r="N63" i="145"/>
  <c r="N65" i="145" s="1"/>
  <c r="O39" i="141"/>
  <c r="O57" i="141" s="1"/>
  <c r="N57" i="141"/>
  <c r="N59" i="141" s="1"/>
  <c r="D48" i="130"/>
  <c r="D47" i="130"/>
  <c r="D38" i="130"/>
  <c r="N38" i="130" s="1"/>
  <c r="N52" i="130"/>
  <c r="O52" i="130" s="1"/>
  <c r="N48" i="130"/>
  <c r="O48" i="130" s="1"/>
  <c r="D52" i="130"/>
  <c r="N47" i="130"/>
  <c r="O47" i="130" s="1"/>
  <c r="O30" i="142"/>
  <c r="O29" i="136"/>
  <c r="D44" i="136"/>
  <c r="N47" i="136"/>
  <c r="O47" i="136" s="1"/>
  <c r="D47" i="136"/>
  <c r="D45" i="136"/>
  <c r="D38" i="136"/>
  <c r="N38" i="136" s="1"/>
  <c r="N45" i="136"/>
  <c r="O45" i="136" s="1"/>
  <c r="N44" i="136"/>
  <c r="O44" i="136" s="1"/>
  <c r="O29" i="130"/>
  <c r="O65" i="128"/>
  <c r="O63" i="128"/>
  <c r="O62" i="37"/>
  <c r="O64" i="37"/>
  <c r="O58" i="133"/>
  <c r="O60" i="133"/>
  <c r="O58" i="139" l="1"/>
  <c r="O62" i="139" s="1"/>
  <c r="O64" i="139" s="1"/>
  <c r="O60" i="138"/>
  <c r="O62" i="138" s="1"/>
  <c r="O64" i="138" s="1"/>
  <c r="O59" i="141"/>
  <c r="O61" i="141"/>
  <c r="O38" i="136"/>
  <c r="O56" i="136" s="1"/>
  <c r="N56" i="136"/>
  <c r="N58" i="136" s="1"/>
  <c r="O39" i="142"/>
  <c r="O57" i="142" s="1"/>
  <c r="O61" i="142" s="1"/>
  <c r="N57" i="142"/>
  <c r="N59" i="142" s="1"/>
  <c r="O65" i="145"/>
  <c r="O67" i="145"/>
  <c r="O38" i="130"/>
  <c r="O62" i="130" s="1"/>
  <c r="O66" i="130" s="1"/>
  <c r="N62" i="130"/>
  <c r="N64" i="130" s="1"/>
  <c r="O67" i="129"/>
  <c r="O65" i="129"/>
  <c r="O59" i="142" l="1"/>
  <c r="O63" i="142" s="1"/>
  <c r="O65" i="142" s="1"/>
  <c r="O63" i="141"/>
  <c r="O65" i="141" s="1"/>
  <c r="O69" i="145"/>
  <c r="O71" i="145" s="1"/>
  <c r="O69" i="129"/>
  <c r="O71" i="129" s="1"/>
  <c r="O58" i="136"/>
  <c r="O60" i="136"/>
  <c r="O64" i="130"/>
  <c r="O68" i="130" s="1"/>
  <c r="O70" i="130" s="1"/>
  <c r="O62" i="136" l="1"/>
  <c r="O64" i="1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5" authorId="0" shapeId="0" xr:uid="{00000000-0006-0000-0000-000001000000}">
      <text>
        <r>
          <rPr>
            <b/>
            <sz val="8"/>
            <color indexed="81"/>
            <rFont val="Tahoma"/>
            <family val="2"/>
          </rPr>
          <t xml:space="preserve">Enter the kW contract capacity for GS-2 and GS-3 services.  </t>
        </r>
      </text>
    </comment>
    <comment ref="F15" authorId="1" shapeId="0" xr:uid="{00000000-0006-0000-0000-000002000000}">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6" authorId="2" shapeId="0" xr:uid="{00000000-0006-0000-0000-00000300000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7" authorId="0" shapeId="0" xr:uid="{00000000-0006-0000-0000-000004000000}">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9" authorId="0" shapeId="0" xr:uid="{00000000-0006-0000-0000-000005000000}">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20" authorId="0" shapeId="0" xr:uid="{00000000-0006-0000-0000-000006000000}">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2" authorId="3" shapeId="0" xr:uid="{00000000-0006-0000-0000-000007000000}">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3" authorId="3" shapeId="0" xr:uid="{00000000-0006-0000-0000-000008000000}">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4" authorId="2" shapeId="0" xr:uid="{00000000-0006-0000-0000-000009000000}">
      <text>
        <r>
          <rPr>
            <b/>
            <sz val="8"/>
            <color indexed="81"/>
            <rFont val="Tahoma"/>
            <family val="2"/>
          </rPr>
          <t xml:space="preserve">GS-3 only - Enter the "Received" kWh (energy sent back to Ohio Power).
</t>
        </r>
      </text>
    </comment>
    <comment ref="A27" authorId="3" shapeId="0" xr:uid="{00000000-0006-0000-0000-00000A000000}">
      <text>
        <r>
          <rPr>
            <b/>
            <sz val="8"/>
            <color indexed="81"/>
            <rFont val="Tahoma"/>
            <family val="2"/>
          </rPr>
          <t>Enter highest kVAR demand.  GS-4 customers only.</t>
        </r>
        <r>
          <rPr>
            <sz val="8"/>
            <color indexed="81"/>
            <rFont val="Tahoma"/>
            <family val="2"/>
          </rPr>
          <t xml:space="preserve">
</t>
        </r>
      </text>
    </comment>
    <comment ref="A28" authorId="0" shapeId="0" xr:uid="{00000000-0006-0000-0000-00000B000000}">
      <text>
        <r>
          <rPr>
            <b/>
            <sz val="8"/>
            <color indexed="81"/>
            <rFont val="Tahoma"/>
            <family val="2"/>
          </rPr>
          <t xml:space="preserve">Enter the reactive hours, if measured.  It applies to GS2 and GS3.  If preferred, power factor can be entered in lieu below. </t>
        </r>
      </text>
    </comment>
    <comment ref="A30" authorId="0" shapeId="0" xr:uid="{00000000-0006-0000-0000-00000C000000}">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3" authorId="4" shapeId="0" xr:uid="{00000000-0006-0000-0000-00000D000000}">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4" authorId="3" shapeId="0" xr:uid="{00000000-0006-0000-0000-00000E000000}">
      <text>
        <r>
          <rPr>
            <b/>
            <sz val="8"/>
            <color indexed="81"/>
            <rFont val="Tahoma"/>
            <family val="2"/>
          </rPr>
          <t>Federal Government accounts are exempt from the KWH Tax rider.</t>
        </r>
        <r>
          <rPr>
            <sz val="8"/>
            <color indexed="81"/>
            <rFont val="Tahoma"/>
            <family val="2"/>
          </rPr>
          <t xml:space="preserve">
</t>
        </r>
      </text>
    </comment>
    <comment ref="A35" authorId="5" shapeId="0" xr:uid="{00000000-0006-0000-0000-00000F000000}">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<sst xmlns="http://schemas.openxmlformats.org/spreadsheetml/2006/main" count="4964" uniqueCount="349">
  <si>
    <r>
      <t xml:space="preserve">Power Factor (%) </t>
    </r>
    <r>
      <rPr>
        <sz val="8"/>
        <color indexed="10"/>
        <rFont val="Arial"/>
        <family val="2"/>
      </rPr>
      <t>optional</t>
    </r>
  </si>
  <si>
    <t>Rate</t>
  </si>
  <si>
    <t>Customer Name:</t>
  </si>
  <si>
    <t>Billing Month:</t>
  </si>
  <si>
    <t>Energy Efficiency Fund</t>
  </si>
  <si>
    <t>Gross Receipts Tax Credit</t>
  </si>
  <si>
    <t>Application</t>
  </si>
  <si>
    <t>Effective Date</t>
  </si>
  <si>
    <t>x</t>
  </si>
  <si>
    <t>Regulatory Assest Charge (GS1)</t>
  </si>
  <si>
    <t>Regulatory Assest Charge (GS2)</t>
  </si>
  <si>
    <t>Regulatory Assest Charge (GS3)</t>
  </si>
  <si>
    <t>Regulatory Assest Charge (GS4)</t>
  </si>
  <si>
    <t>Municipal Income Tax (open access)</t>
  </si>
  <si>
    <t>Municipal Income Tax (bundled)</t>
  </si>
  <si>
    <t xml:space="preserve"> </t>
  </si>
  <si>
    <t>Franchise Tax (open access)</t>
  </si>
  <si>
    <t>Franchise Tax (bundled)</t>
  </si>
  <si>
    <t>Property Tax Credit (Residential)</t>
  </si>
  <si>
    <t>Property Tax Credit (GS1)</t>
  </si>
  <si>
    <t>Property Tax Credit (GS2)</t>
  </si>
  <si>
    <t>Property Tax Credit (GS3)</t>
  </si>
  <si>
    <t>Property Tax Credit (GS4)</t>
  </si>
  <si>
    <t>Rider</t>
  </si>
  <si>
    <t>Customer Load Information</t>
  </si>
  <si>
    <t>Move mouse over red corner marker to see notes.</t>
  </si>
  <si>
    <t>Account #:</t>
  </si>
  <si>
    <t>Billing Parameters</t>
  </si>
  <si>
    <t>On-Peak Demand:</t>
  </si>
  <si>
    <t>Off-Peak Demand:</t>
  </si>
  <si>
    <t>Load Factor:</t>
  </si>
  <si>
    <t>Bill Calculation</t>
  </si>
  <si>
    <t>Customer Charge</t>
  </si>
  <si>
    <t>Demand Charge</t>
  </si>
  <si>
    <t>Total</t>
  </si>
  <si>
    <t>Title Note:</t>
  </si>
  <si>
    <t>Columbus Southern Power Riders</t>
  </si>
  <si>
    <t>Minimum Charge</t>
  </si>
  <si>
    <t>*</t>
  </si>
  <si>
    <t>* Not applicable to Federal accounts</t>
  </si>
  <si>
    <t>Residential Shopping Incentive Credit</t>
  </si>
  <si>
    <t>kWh</t>
  </si>
  <si>
    <t>/kWh</t>
  </si>
  <si>
    <t>kWh Usage:</t>
  </si>
  <si>
    <t>/kW</t>
  </si>
  <si>
    <t>kW</t>
  </si>
  <si>
    <t>kVARh</t>
  </si>
  <si>
    <t>kWh Tax  (first 2000 kWh)</t>
  </si>
  <si>
    <t>kWh Tax  (next 13,000 kWh)</t>
  </si>
  <si>
    <t>kWh Tax  (in excess of 15,000 kWh)</t>
  </si>
  <si>
    <t>Base Charges</t>
  </si>
  <si>
    <t>Metered kWh Usage:</t>
  </si>
  <si>
    <t>Metered Reactive Hours:</t>
  </si>
  <si>
    <t>Metered Voltage Adjustment:</t>
  </si>
  <si>
    <t>Metered</t>
  </si>
  <si>
    <t>Adjusted</t>
  </si>
  <si>
    <t>Effective Date:</t>
  </si>
  <si>
    <t>Base $</t>
  </si>
  <si>
    <t>Activated</t>
  </si>
  <si>
    <t>Metered KWH</t>
  </si>
  <si>
    <t>Universal Service Fund (first 833,000 kwh)</t>
  </si>
  <si>
    <t>Universal Service Fund (in excess of 833,000 kwh)</t>
  </si>
  <si>
    <t>Regulatory Assest Charge (Residential)</t>
  </si>
  <si>
    <t xml:space="preserve">kW </t>
  </si>
  <si>
    <t>Generation</t>
  </si>
  <si>
    <t>Transmission</t>
  </si>
  <si>
    <t>Distribution</t>
  </si>
  <si>
    <t>Rates</t>
  </si>
  <si>
    <t>Billing</t>
  </si>
  <si>
    <t>Riders</t>
  </si>
  <si>
    <t>Riders Total</t>
  </si>
  <si>
    <t>Base + Rider Total</t>
  </si>
  <si>
    <t>Energy Charge;   (First 1000 kWh)</t>
  </si>
  <si>
    <t xml:space="preserve">                            (Over 1000 kWh)</t>
  </si>
  <si>
    <t>Base Charge</t>
  </si>
  <si>
    <t>Bill Calculation - Summer (June-September)</t>
  </si>
  <si>
    <t>Metered On-Peak Demand:</t>
  </si>
  <si>
    <t>Metered Off-Peak Demand:</t>
  </si>
  <si>
    <t>Universal Service Fund (first 833,000 kWh)</t>
  </si>
  <si>
    <t>Universal Service Fund (in excess of 833,000 kWh)</t>
  </si>
  <si>
    <t>Economic Development Cost Recovery</t>
  </si>
  <si>
    <t xml:space="preserve">Enhanced Service Reliability </t>
  </si>
  <si>
    <t>Energy Efficiency &amp; Peak Demand Reduction Cost Recovery</t>
  </si>
  <si>
    <t>GS-1 Bundled Service</t>
  </si>
  <si>
    <t>Demand (kW)</t>
  </si>
  <si>
    <t xml:space="preserve">Average Energy Cost </t>
  </si>
  <si>
    <t>Cents/kWh</t>
  </si>
  <si>
    <t>Metered kWh (On-Peak):</t>
  </si>
  <si>
    <t>Metered kWh (Off-Peak):</t>
  </si>
  <si>
    <t>Ohio Power Billing Analysis</t>
  </si>
  <si>
    <t>Year</t>
  </si>
  <si>
    <t xml:space="preserve">/kWh </t>
  </si>
  <si>
    <t>Minimum Charge:</t>
  </si>
  <si>
    <t xml:space="preserve">Base + Rider Total </t>
  </si>
  <si>
    <t>Breakdown of Charges Based on Entered Information</t>
  </si>
  <si>
    <t>Energy Efficiency and Peak Demand Reduction Cost Recovery</t>
  </si>
  <si>
    <t>kWh Tax (first 2000 kWh)</t>
  </si>
  <si>
    <t>kWh Tax (next 13,000 kWh)</t>
  </si>
  <si>
    <t>kWh Tax (in excess of 15,000 kWh)</t>
  </si>
  <si>
    <t>Billing Month/Year:</t>
  </si>
  <si>
    <t>Month (1, 2, …, 12)</t>
  </si>
  <si>
    <t>January</t>
  </si>
  <si>
    <t>February</t>
  </si>
  <si>
    <t>March</t>
  </si>
  <si>
    <t>April</t>
  </si>
  <si>
    <t>May</t>
  </si>
  <si>
    <t>June</t>
  </si>
  <si>
    <t>July</t>
  </si>
  <si>
    <t>August</t>
  </si>
  <si>
    <t>September</t>
  </si>
  <si>
    <t>November</t>
  </si>
  <si>
    <t>October</t>
  </si>
  <si>
    <t>December</t>
  </si>
  <si>
    <t>Residential Distribution Credit Rider</t>
  </si>
  <si>
    <t>Month</t>
  </si>
  <si>
    <t>Residential Secondary Bundled Service</t>
  </si>
  <si>
    <t>Total Ohio Power Billing Charge:</t>
  </si>
  <si>
    <t>Dist Rate 1</t>
  </si>
  <si>
    <t>Dist Rate 2</t>
  </si>
  <si>
    <t>Ohio Power Company</t>
  </si>
  <si>
    <t xml:space="preserve">Average Energy Cost: </t>
  </si>
  <si>
    <t>Base (Dist)</t>
  </si>
  <si>
    <t>Columbus Southern Power Rate Zone</t>
  </si>
  <si>
    <t>Dist Rate 3</t>
  </si>
  <si>
    <t xml:space="preserve">Bill Calculation </t>
  </si>
  <si>
    <t>Apply Self Assessor Option</t>
  </si>
  <si>
    <t>kVAR</t>
  </si>
  <si>
    <t>Metered Reactive Demand</t>
  </si>
  <si>
    <t>Federal Government Account</t>
  </si>
  <si>
    <t>Peak kVAR:</t>
  </si>
  <si>
    <t>Highest Previous Demand:</t>
  </si>
  <si>
    <t>Avg. PF</t>
  </si>
  <si>
    <t>Energy Charge</t>
  </si>
  <si>
    <t xml:space="preserve">Rider </t>
  </si>
  <si>
    <t>0-833,000</t>
  </si>
  <si>
    <t>&gt;833,000</t>
  </si>
  <si>
    <t>Universal Service Fund Rider (kWh)</t>
  </si>
  <si>
    <t>KWH Tax Rider (kWh)</t>
  </si>
  <si>
    <t>0-2000</t>
  </si>
  <si>
    <t>&gt;115,000</t>
  </si>
  <si>
    <t>2001-15,000</t>
  </si>
  <si>
    <t>Residential Distribution Credit Rider (%)</t>
  </si>
  <si>
    <t>RS</t>
  </si>
  <si>
    <t>GS-1</t>
  </si>
  <si>
    <t>GS-TOD</t>
  </si>
  <si>
    <t>Sec</t>
  </si>
  <si>
    <t>Pri</t>
  </si>
  <si>
    <t>Sub/Tran</t>
  </si>
  <si>
    <t xml:space="preserve">GS-2 </t>
  </si>
  <si>
    <t xml:space="preserve">GS-3 </t>
  </si>
  <si>
    <t xml:space="preserve">GS-4 </t>
  </si>
  <si>
    <t>Economic Development Cost Recovery Rider (%)</t>
  </si>
  <si>
    <t>Enhanced Service Reliability Rider (%)</t>
  </si>
  <si>
    <t>Residential</t>
  </si>
  <si>
    <t>Non-Residential</t>
  </si>
  <si>
    <t>Distribution Investment Rider (%)</t>
  </si>
  <si>
    <t>Distribution Investment Rider</t>
  </si>
  <si>
    <t>Alternative Energy Rider</t>
  </si>
  <si>
    <t>Pilot Throughput Balance Adjustment Rider</t>
  </si>
  <si>
    <t>Pilot Throughput Balancing Adjustment Rider</t>
  </si>
  <si>
    <t xml:space="preserve">Generation Capacity Rider  </t>
  </si>
  <si>
    <t>Generation Capacity Rider</t>
  </si>
  <si>
    <t>GS-2 TOD (On-Peak)</t>
  </si>
  <si>
    <t>GS-2 TOD (Off-Peak)</t>
  </si>
  <si>
    <t>Generation Capacity Rider (On-Peak)</t>
  </si>
  <si>
    <t>Gen Cap 1</t>
  </si>
  <si>
    <t>Gen Cap 2</t>
  </si>
  <si>
    <t>Gen Cap 3</t>
  </si>
  <si>
    <t>RLM (1)</t>
  </si>
  <si>
    <t>RLM (2)</t>
  </si>
  <si>
    <t>RLM (3)</t>
  </si>
  <si>
    <t>Summer</t>
  </si>
  <si>
    <t>Winter</t>
  </si>
  <si>
    <t>Generation Capacity Rider (1)</t>
  </si>
  <si>
    <t>Generation Capacity Rider (2)</t>
  </si>
  <si>
    <t>Generation Capacity Rider (3)</t>
  </si>
  <si>
    <t xml:space="preserve">Dist Rate - Off </t>
  </si>
  <si>
    <t xml:space="preserve">Dist Rate - On </t>
  </si>
  <si>
    <t>RS-TOD (Off Peak)</t>
  </si>
  <si>
    <t>RS-TOD (On Peak)</t>
  </si>
  <si>
    <t>Generation Capacity Rider (Off Peak)</t>
  </si>
  <si>
    <t>Generation Capacity Rider (On Peak)</t>
  </si>
  <si>
    <t>Residential Time-of-Day Bundled Service</t>
  </si>
  <si>
    <t>Rider Rate 1</t>
  </si>
  <si>
    <t>Rider Rate 2</t>
  </si>
  <si>
    <t xml:space="preserve">Energy Charge </t>
  </si>
  <si>
    <t xml:space="preserve">Generation Energy Rider  </t>
  </si>
  <si>
    <t>GS-1, GS-TOD</t>
  </si>
  <si>
    <t>Demand Metered Secondary</t>
  </si>
  <si>
    <t>Demand Metered Primary</t>
  </si>
  <si>
    <t>Demand Metered Trans/Subtrans</t>
  </si>
  <si>
    <t>Auction Cost Reconciliation Rider (kWh)</t>
  </si>
  <si>
    <t>Basic Transmission Cost Rider (kWh)</t>
  </si>
  <si>
    <t>Basic Transmission Cost Rider (kW)</t>
  </si>
  <si>
    <t>Generation Energy Rider</t>
  </si>
  <si>
    <t>Gen En</t>
  </si>
  <si>
    <t xml:space="preserve">RR, RR1 </t>
  </si>
  <si>
    <t>Basic Transmission Cost Rider</t>
  </si>
  <si>
    <t>Price to Compare (excludes Distribution Charges and some Transmission Charges):</t>
  </si>
  <si>
    <t>Gen En 1</t>
  </si>
  <si>
    <t xml:space="preserve">Generation Energy Rider </t>
  </si>
  <si>
    <t>Auction Cost Reconciliation Rider</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</si>
  <si>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</si>
  <si>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Energy Efficiency and Peak Demand Reduction Cost Recovery Rider (Fixed)</t>
  </si>
  <si>
    <t>Energy Efficiency and Peak Demand Reduction Cost Recovery Rider (kW)</t>
  </si>
  <si>
    <t>GS-2 (0-833,000 kWh)</t>
  </si>
  <si>
    <t>GS-2 (&gt;833,000 kWh)</t>
  </si>
  <si>
    <t>GS-TOD (0-833,000 kWh)</t>
  </si>
  <si>
    <t>GS-TOD (&gt;833,000 kWh)</t>
  </si>
  <si>
    <t>GS-3 (0-833,000 kWh)</t>
  </si>
  <si>
    <t>GS-3 (&gt;833,000 kWh)</t>
  </si>
  <si>
    <t>GS-4 (0-833,000 kWh)</t>
  </si>
  <si>
    <t>GS-4 (&gt;833,000 kWh)</t>
  </si>
  <si>
    <t>Alternative Energy Rider (kWh)</t>
  </si>
  <si>
    <t>gridSMART Phase 2 Rider</t>
  </si>
  <si>
    <t>IRP Rate</t>
  </si>
  <si>
    <t>Tax Savings Credit Rider</t>
  </si>
  <si>
    <t>Smart City Rider</t>
  </si>
  <si>
    <t>Legacy Generation Resource Rider</t>
  </si>
  <si>
    <t>Residential ($/month)</t>
  </si>
  <si>
    <t>Non-Residential ($/kWh up to 833,000 kWh)</t>
  </si>
  <si>
    <t>Part A</t>
  </si>
  <si>
    <t>Part B</t>
  </si>
  <si>
    <t>Effective</t>
  </si>
  <si>
    <t>DSM Energy Efficiency Opt Out</t>
  </si>
  <si>
    <t>Storm Damage Recovery Rider</t>
  </si>
  <si>
    <t>Storm Damage Recover Rider</t>
  </si>
  <si>
    <t>Generation Capacity Rider (Off-Peak)</t>
  </si>
  <si>
    <t>Available for residential electric service through one meter to individual residential customers. (Schedule Codes: 036)</t>
  </si>
  <si>
    <t>On-Peak kWh Usage</t>
  </si>
  <si>
    <t>Off-Peak kWh Usage</t>
  </si>
  <si>
    <t>RS-TOU On Peak</t>
  </si>
  <si>
    <t>RS-TOU Off Peak</t>
  </si>
  <si>
    <t>On-Peak kWh Usage:</t>
  </si>
  <si>
    <t>Off-Peak kWh Usage:</t>
  </si>
  <si>
    <t>GS-TOU Off-Peak</t>
  </si>
  <si>
    <t>GS-TOU On-Peak</t>
  </si>
  <si>
    <t>Available for general service to customers with maximum demands less than 10 KW.  (Schedule Codes 284)</t>
  </si>
  <si>
    <t>Solar Generation Fund Rider</t>
  </si>
  <si>
    <t>&lt;&lt;Cap Limit</t>
  </si>
  <si>
    <r>
      <t xml:space="preserve">Billing Month/Year </t>
    </r>
    <r>
      <rPr>
        <b/>
        <sz val="10"/>
        <rFont val="Arial"/>
        <family val="2"/>
      </rPr>
      <t>(</t>
    </r>
    <r>
      <rPr>
        <b/>
        <sz val="10"/>
        <color indexed="10"/>
        <rFont val="Arial"/>
        <family val="2"/>
      </rPr>
      <t>REQUIRED)</t>
    </r>
    <r>
      <rPr>
        <sz val="10"/>
        <rFont val="Arial"/>
        <family val="2"/>
      </rPr>
      <t>:</t>
    </r>
  </si>
  <si>
    <t>Solar Generation Fund Rider (first 833,000 kWh)</t>
  </si>
  <si>
    <t>Solar Generation Fund Rider (in excess of 833,000 kWh)</t>
  </si>
  <si>
    <t>Available for residential electric service through one meter to individual residential customers. (Schedule Codes: 015)</t>
  </si>
  <si>
    <t>Available to individual residential customers.   Availability is limited to the first 500 customers applying for service under this schedule. (Schedule Code 019, 030, 032)</t>
  </si>
  <si>
    <t>Bad Debt Rider</t>
  </si>
  <si>
    <t>Bad Debt Rider (%)</t>
  </si>
  <si>
    <t>Retail Reconciliation Rider</t>
  </si>
  <si>
    <t>Retail Reconciliatoin Rider (kWh)</t>
  </si>
  <si>
    <t>Power Forward Rider</t>
  </si>
  <si>
    <t>SSO Credit Rider</t>
  </si>
  <si>
    <t>Pilot Demand Response Rider</t>
  </si>
  <si>
    <t>Placeholder</t>
  </si>
  <si>
    <t>Residential Service - Demand Metered</t>
  </si>
  <si>
    <t>Energy Charge:     kW</t>
  </si>
  <si>
    <t xml:space="preserve">Available for optional residential electric service through one meter to individual residential customers.  Requires the installation of demand metering facilities. (Schedule Codes: 010)  </t>
  </si>
  <si>
    <r>
      <t xml:space="preserve">RS </t>
    </r>
    <r>
      <rPr>
        <b/>
        <sz val="10"/>
        <rFont val="Arial"/>
        <family val="2"/>
      </rPr>
      <t>(CSP Rate Zone)</t>
    </r>
  </si>
  <si>
    <r>
      <t xml:space="preserve">General Service-Non Demand Metered </t>
    </r>
    <r>
      <rPr>
        <b/>
        <sz val="10"/>
        <rFont val="Arial"/>
        <family val="2"/>
      </rPr>
      <t>(CSP Rate Zone)</t>
    </r>
  </si>
  <si>
    <t>Account</t>
  </si>
  <si>
    <t>Available for general service to customers with maximum demands less than 10 KW.  (Schedule Codes 211, 212)</t>
  </si>
  <si>
    <t>Available for general service customers with maximum demands less than 500 kW.  Availability is limited to secondary service and the first 1,000 customers applying for service under this schedule. (Schedule Codes: 220, 223, 225, 228, 229)</t>
  </si>
  <si>
    <t>Retail Reconciliation Rider (first 833,000 kWh)</t>
  </si>
  <si>
    <t>Retail Reconciliation Rider (in excess of 833,000 kWh)</t>
  </si>
  <si>
    <t>GS-2-Time-of-Day Secondary Bundled Service</t>
  </si>
  <si>
    <t>Available for general service to customers with maximum demands of 10 KW or greater. (Schedule Codes 208, 215, 231, 265)</t>
  </si>
  <si>
    <t>Excess kVAR:</t>
  </si>
  <si>
    <t>KVAR</t>
  </si>
  <si>
    <t>GS Secondary Bundled Service</t>
  </si>
  <si>
    <t>kVar</t>
  </si>
  <si>
    <t>KVA</t>
  </si>
  <si>
    <t>Excess Reactive Demand Charge</t>
  </si>
  <si>
    <t>(Schedule Codes 217, 218, 232, 266, 322)</t>
  </si>
  <si>
    <t>GS Primary Bundled Service</t>
  </si>
  <si>
    <t>GS Transmission Bundled Service</t>
  </si>
  <si>
    <t>(Schedule Codes 238, 239, 258, 270, 275)</t>
  </si>
  <si>
    <t>Available for residential electric service through one meter to individual residential customers. (Schedule Codes: 820)</t>
  </si>
  <si>
    <t>Residential Secondary Open Access Distribution Service</t>
  </si>
  <si>
    <t>Residential Service - Demand Metered - OAD</t>
  </si>
  <si>
    <t>Available for general service to customers with maximum demands less than 10 KW.  (Schedule Codes 830)</t>
  </si>
  <si>
    <t>GS Secondary Open Access Distribution Service</t>
  </si>
  <si>
    <t>GS-1 Open Access Distribution Service</t>
  </si>
  <si>
    <t>GS Transmission Open Access Distribution Service</t>
  </si>
  <si>
    <t>Columbus Southern Rate Zone</t>
  </si>
  <si>
    <t>Received kWh</t>
  </si>
  <si>
    <t>Contract Capacity:</t>
  </si>
  <si>
    <t>Contract Minimum Demand:</t>
  </si>
  <si>
    <t>Available for general service to customers with maximum demands of 10 KW or greater. (Schedule Codes 315)</t>
  </si>
  <si>
    <t>GS Service - Fair</t>
  </si>
  <si>
    <t>County Fair SEC</t>
  </si>
  <si>
    <t>County Fair PRI</t>
  </si>
  <si>
    <t>Pilot Plug-In Electric Vehicle Service</t>
  </si>
  <si>
    <t>On-Peak Demand Charge</t>
  </si>
  <si>
    <t>Metered kW Usage:</t>
  </si>
  <si>
    <t>Reactive Hours:</t>
  </si>
  <si>
    <t>Peak kVA</t>
  </si>
  <si>
    <t>Allowable kVA:</t>
  </si>
  <si>
    <t>KVARh</t>
  </si>
  <si>
    <t>kVA</t>
  </si>
  <si>
    <t xml:space="preserve">Available for optional residential electric service through one meter to individual residential customers.  Requires the installation of demand metering facilities. (Schedule Codes: 810)  </t>
  </si>
  <si>
    <t>Available for general service to customers with maximum demands of 10 KW or greater. (Schedule Codes 770, 840, 842, 845)</t>
  </si>
  <si>
    <t>(Schedule Codes 774, 841, 843, 846, 861)</t>
  </si>
  <si>
    <t>(Schedule Codes 779, 790, 826, 827, 858, 853)</t>
  </si>
  <si>
    <t>Energy Charge:</t>
  </si>
  <si>
    <t xml:space="preserve">Energy Charge:   </t>
  </si>
  <si>
    <t>GS-1, GS-TOD, GS-TOU</t>
  </si>
  <si>
    <r>
      <t xml:space="preserve">Solar Generation Rider - </t>
    </r>
    <r>
      <rPr>
        <sz val="9"/>
        <rFont val="Arial"/>
        <family val="2"/>
      </rPr>
      <t>This rider is to fund disbursements to qualifying solar resources as required by the General Assembly.</t>
    </r>
  </si>
  <si>
    <r>
      <t xml:space="preserve">Smart City Rider - </t>
    </r>
    <r>
      <rPr>
        <sz val="9"/>
        <rFont val="Arial"/>
        <family val="2"/>
      </rPr>
      <t>This rider allows the Company to recover costs associated with Smart City technologies.</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</si>
  <si>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</si>
  <si>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</si>
  <si>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</si>
  <si>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</si>
  <si>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</si>
  <si>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</si>
  <si>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</si>
  <si>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</si>
  <si>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</si>
  <si>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</si>
  <si>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</si>
  <si>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</si>
  <si>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Distribution Investment Rider </t>
    </r>
    <r>
      <rPr>
        <sz val="9"/>
        <rFont val="Arial"/>
        <family val="2"/>
      </rPr>
      <t>- This Rider allows the Company to move to a proactive replacement strategy of its distribution infrastructure.</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</si>
  <si>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</si>
  <si>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</si>
  <si>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</si>
  <si>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t>GS Primary Open Access Distribution Service</t>
  </si>
  <si>
    <t>gridSMART Rider (fixed)</t>
  </si>
  <si>
    <t>On-Peak Energy Charge</t>
  </si>
  <si>
    <t>Off-Peak Energy Charge</t>
  </si>
  <si>
    <t>Residential PEV (Sheet 271-1)</t>
  </si>
  <si>
    <t>Bus PEV - Sec</t>
  </si>
  <si>
    <t>Bus PEV - Pri</t>
  </si>
  <si>
    <t>Bus PEV - Trans Low</t>
  </si>
  <si>
    <t>Bus PEV - Trans High</t>
  </si>
  <si>
    <t>Bus PEV Sec</t>
  </si>
  <si>
    <t>Residential PEV</t>
  </si>
  <si>
    <t>Bus PEV Primary</t>
  </si>
  <si>
    <t>(Schedule Codes 340 and 800)</t>
  </si>
  <si>
    <t xml:space="preserve">                                                                                                                (Schedule Codes: 048 and 807)</t>
  </si>
  <si>
    <t>(Schedule Codes 342 and 802)</t>
  </si>
  <si>
    <t xml:space="preserve">          (Schedule Codes 344, 346, 804, and 806)</t>
  </si>
  <si>
    <t>Bus PEV Trans</t>
  </si>
  <si>
    <t>Available for residential electric service through one meter to individual residential customers. (Schedule Codes: 029, 039, 809, and 815)</t>
  </si>
  <si>
    <t>BUS-Sec</t>
  </si>
  <si>
    <t>BUS-Pri</t>
  </si>
  <si>
    <t>BUS-Tran</t>
  </si>
  <si>
    <t>Energy Efficiency Rider (kWh)</t>
  </si>
  <si>
    <t>Energy Efficiency and Peak Demand Reduction Cost Recovery Rider (kWh)</t>
  </si>
  <si>
    <t>Energy Efficiency Rider</t>
  </si>
  <si>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</si>
  <si>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t>Revised 10/28/2024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</si>
</sst>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quot;$&quot;* #,##0.000000_);_(&quot;$&quot;* \(#,##0.000000\);_(&quot;$&quot;* &quot;-&quot;??????_);_(@_)"/>
    <numFmt numFmtId="165" formatCode="0.00000%"/>
    <numFmt numFmtId="166" formatCode="_(&quot;$&quot;* #,##0.0000000_);_(&quot;$&quot;* \(#,##0.0000000\);_(&quot;$&quot;* &quot;-&quot;???????_);_(@_)"/>
    <numFmt numFmtId="167" formatCode="_(* #,##0.0_);_(* \(#,##0.0\);_(* &quot;-&quot;??_);_(@_)"/>
    <numFmt numFmtId="168" formatCode="mm/dd/yy"/>
    <numFmt numFmtId="169" formatCode="&quot;$&quot;#,##0.0000000"/>
    <numFmt numFmtId="170" formatCode="0.0%"/>
    <numFmt numFmtId="171" formatCode="0.0000%"/>
    <numFmt numFmtId="172" formatCode="_(&quot;$&quot;* #,##0.000_);_(&quot;$&quot;* \(#,##0.000\);_(&quot;$&quot;* &quot;-&quot;??_);_(@_)"/>
    <numFmt numFmtId="173" formatCode="_(&quot;$&quot;* #,##0.00000_);_(&quot;$&quot;* \(#,##0.00000\);_(&quot;$&quot;* &quot;-&quot;??_);_(@_)"/>
    <numFmt numFmtId="174" formatCode="_(&quot;$&quot;* #,##0.000000_);_(&quot;$&quot;* \(#,##0.000000\);_(&quot;$&quot;* &quot;-&quot;??_);_(@_)"/>
    <numFmt numFmtId="175" formatCode="_(&quot;$&quot;* #,##0.0000000_);_(&quot;$&quot;* \(#,##0.0000000\);_(&quot;$&quot;* &quot;-&quot;??_);_(@_)"/>
    <numFmt numFmtId="176" formatCode="#,##0.0"/>
    <numFmt numFmtId="177" formatCode="_(&quot;$&quot;* #,##0.00000_);_(&quot;$&quot;* \(#,##0.00000\);_(&quot;$&quot;* &quot;-&quot;?????_);_(@_)"/>
    <numFmt numFmtId="178" formatCode="_(&quot;$&quot;* #,##0.00000000_);_(&quot;$&quot;* \(#,##0.00000000\);_(&quot;$&quot;* &quot;-&quot;???????_);_(@_)"/>
    <numFmt numFmtId="179" formatCode="_(* #,##0.0_);_(* \(#,##0.0\);_(* &quot;-&quot;?_);_(@_)"/>
    <numFmt numFmtId="180" formatCode="_(&quot;$&quot;* #,##0.000_);_(&quot;$&quot;* \(#,##0.000\);_(&quot;$&quot;* &quot;-&quot;???_);_(@_)"/>
    <numFmt numFmtId="181" formatCode="_(&quot;$&quot;* #,##0.0000_);_(&quot;$&quot;* \(#,##0.0000\);_(&quot;$&quot;* &quot;-&quot;????_);_(@_)"/>
    <numFmt numFmtId="182" formatCode="_(* #,##0.000_);_(* \(#,##0.000\);_(* &quot;-&quot;???_);_(@_)"/>
    <numFmt numFmtId="183" formatCode="0.0000000"/>
    <numFmt numFmtId="184" formatCode="0.00000"/>
    <numFmt numFmtId="185" formatCode="#,##0.000"/>
    <numFmt numFmtId="186" formatCode="_(&quot;$&quot;* #,##0.00_);_(&quot;$&quot;* \(#,##0.00\);_(&quot;$&quot;* &quot;-&quot;???????_);_(@_)"/>
    <numFmt numFmtId="187" formatCode="_(&quot;$&quot;* #,##0.00000000_);_(&quot;$&quot;* \(#,##0.00000000\);_(&quot;$&quot;* &quot;-&quot;??_);_(@_)"/>
    <numFmt numFmtId="188" formatCode="m/d/yyyy;@"/>
  </numFmts>
  <fonts count="53" x14ac:knownFonts="1">
    <font>
      <sz val="10"/>
      <name val="Arial"/>
    </font>
    <font>
      <sz val="10"/>
      <name val="Arial"/>
      <family val="2"/>
    </font>
    <font>
      <sz val="10"/>
      <name val="Arial"/>
      <family val="2"/>
    </font>
    <font>
      <b/>
      <sz val="10"/>
      <name val="Arial"/>
      <family val="2"/>
    </font>
    <font>
      <sz val="8"/>
      <color indexed="81"/>
      <name val="Tahoma"/>
      <family val="2"/>
    </font>
    <font>
      <b/>
      <sz val="8"/>
      <color indexed="81"/>
      <name val="Tahoma"/>
      <family val="2"/>
    </font>
    <font>
      <sz val="10"/>
      <color indexed="10"/>
      <name val="Arial"/>
      <family val="2"/>
    </font>
    <font>
      <b/>
      <sz val="10"/>
      <color indexed="48"/>
      <name val="Arial"/>
      <family val="2"/>
    </font>
    <font>
      <sz val="10"/>
      <color indexed="12"/>
      <name val="Arial"/>
      <family val="2"/>
    </font>
    <font>
      <b/>
      <sz val="10"/>
      <color indexed="12"/>
      <name val="Arial"/>
      <family val="2"/>
    </font>
    <font>
      <b/>
      <sz val="16"/>
      <name val="Arial"/>
      <family val="2"/>
    </font>
    <font>
      <b/>
      <sz val="14"/>
      <color indexed="8"/>
      <name val="Arial"/>
      <family val="2"/>
    </font>
    <font>
      <b/>
      <sz val="10"/>
      <color indexed="8"/>
      <name val="Arial"/>
      <family val="2"/>
    </font>
    <font>
      <sz val="12"/>
      <color indexed="12"/>
      <name val="Arial"/>
      <family val="2"/>
    </font>
    <font>
      <b/>
      <sz val="10"/>
      <color indexed="10"/>
      <name val="Arial"/>
      <family val="2"/>
    </font>
    <font>
      <sz val="10"/>
      <color indexed="8"/>
      <name val="Arial"/>
      <family val="2"/>
    </font>
    <font>
      <sz val="9"/>
      <name val="Arial"/>
      <family val="2"/>
    </font>
    <font>
      <b/>
      <sz val="9"/>
      <name val="Arial"/>
      <family val="2"/>
    </font>
    <font>
      <sz val="12"/>
      <color indexed="8"/>
      <name val="Arial"/>
      <family val="2"/>
    </font>
    <font>
      <sz val="10"/>
      <color indexed="9"/>
      <name val="Arial"/>
      <family val="2"/>
    </font>
    <font>
      <sz val="10"/>
      <color indexed="43"/>
      <name val="Arial"/>
      <family val="2"/>
    </font>
    <font>
      <sz val="8"/>
      <name val="Arial"/>
      <family val="2"/>
    </font>
    <font>
      <b/>
      <i/>
      <sz val="10"/>
      <name val="Arial"/>
      <family val="2"/>
    </font>
    <font>
      <u/>
      <sz val="10"/>
      <color indexed="12"/>
      <name val="Arial"/>
      <family val="2"/>
    </font>
    <font>
      <sz val="10"/>
      <color indexed="12"/>
      <name val="Arial"/>
      <family val="2"/>
    </font>
    <font>
      <sz val="9"/>
      <color indexed="12"/>
      <name val="Arial"/>
      <family val="2"/>
    </font>
    <font>
      <b/>
      <sz val="12"/>
      <name val="Arial"/>
      <family val="2"/>
    </font>
    <font>
      <sz val="12"/>
      <name val="Arial"/>
      <family val="2"/>
    </font>
    <font>
      <sz val="8"/>
      <name val="Arial"/>
      <family val="2"/>
    </font>
    <font>
      <b/>
      <sz val="12"/>
      <color indexed="17"/>
      <name val="Arial"/>
      <family val="2"/>
    </font>
    <font>
      <u/>
      <sz val="10"/>
      <name val="Arial"/>
      <family val="2"/>
    </font>
    <font>
      <sz val="10"/>
      <color indexed="17"/>
      <name val="Arial"/>
      <family val="2"/>
    </font>
    <font>
      <b/>
      <sz val="9"/>
      <color indexed="10"/>
      <name val="Arial"/>
      <family val="2"/>
    </font>
    <font>
      <b/>
      <sz val="10"/>
      <color indexed="17"/>
      <name val="Arial"/>
      <family val="2"/>
    </font>
    <font>
      <sz val="8"/>
      <color indexed="9"/>
      <name val="Arial"/>
      <family val="2"/>
    </font>
    <font>
      <b/>
      <sz val="20"/>
      <color indexed="10"/>
      <name val="Arial"/>
      <family val="2"/>
    </font>
    <font>
      <b/>
      <sz val="8"/>
      <color indexed="10"/>
      <name val="Tahoma"/>
      <family val="2"/>
    </font>
    <font>
      <b/>
      <sz val="16"/>
      <color indexed="10"/>
      <name val="Arial"/>
      <family val="2"/>
    </font>
    <font>
      <b/>
      <sz val="8"/>
      <name val="Arial"/>
      <family val="2"/>
    </font>
    <font>
      <sz val="8"/>
      <color indexed="10"/>
      <name val="Arial"/>
      <family val="2"/>
    </font>
    <font>
      <sz val="9"/>
      <color indexed="81"/>
      <name val="Tahoma"/>
      <family val="2"/>
    </font>
    <font>
      <b/>
      <sz val="9"/>
      <color indexed="81"/>
      <name val="Tahoma"/>
      <family val="2"/>
    </font>
    <font>
      <sz val="10"/>
      <name val="Arial"/>
      <family val="2"/>
    </font>
    <font>
      <b/>
      <u/>
      <sz val="10"/>
      <color indexed="12"/>
      <name val="Arial"/>
      <family val="2"/>
    </font>
    <font>
      <b/>
      <u/>
      <sz val="8"/>
      <color indexed="81"/>
      <name val="Tahoma"/>
      <family val="2"/>
    </font>
    <font>
      <b/>
      <sz val="10"/>
      <color rgb="FF0000FF"/>
      <name val="Arial"/>
      <family val="2"/>
    </font>
    <font>
      <sz val="10"/>
      <color rgb="FFFFFF00"/>
      <name val="Arial"/>
      <family val="2"/>
    </font>
    <font>
      <sz val="10"/>
      <color rgb="FFFF0000"/>
      <name val="Arial"/>
      <family val="2"/>
    </font>
    <font>
      <sz val="10"/>
      <color theme="1"/>
      <name val="Arial"/>
      <family val="2"/>
    </font>
    <font>
      <sz val="8"/>
      <color rgb="FF000000"/>
      <name val="Tahoma"/>
      <family val="2"/>
    </font>
    <font>
      <sz val="8"/>
      <color rgb="FF000000"/>
      <name val="Segoe UI"/>
      <family val="2"/>
    </font>
    <font>
      <sz val="10"/>
      <color rgb="FF000000"/>
      <name val="Arial"/>
      <family val="2"/>
    </font>
    <font>
      <sz val="11"/>
      <name val="Calibri"/>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3"/>
        <bgColor indexed="43"/>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s>
  <cellStyleXfs count="32">
    <xf numFmtId="0" fontId="0" fillId="0" borderId="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605">
    <xf numFmtId="0" fontId="0" fillId="0" borderId="0" xfId="0"/>
    <xf numFmtId="3" fontId="0" fillId="0" borderId="0" xfId="0" applyNumberFormat="1"/>
    <xf numFmtId="8" fontId="0" fillId="0" borderId="0" xfId="0" applyNumberFormat="1"/>
    <xf numFmtId="0" fontId="2" fillId="0" borderId="0" xfId="0" applyFont="1"/>
    <xf numFmtId="0" fontId="0" fillId="0" borderId="0" xfId="0" applyAlignment="1">
      <alignment horizontal="center"/>
    </xf>
    <xf numFmtId="0" fontId="0" fillId="0" borderId="1" xfId="0" applyBorder="1" applyAlignment="1">
      <alignment horizontal="center"/>
    </xf>
    <xf numFmtId="166" fontId="0" fillId="0" borderId="1" xfId="10" applyNumberFormat="1" applyFont="1" applyBorder="1"/>
    <xf numFmtId="165" fontId="0" fillId="0" borderId="2" xfId="21" applyNumberFormat="1" applyFont="1" applyBorder="1"/>
    <xf numFmtId="0" fontId="0" fillId="0" borderId="2" xfId="0" applyBorder="1" applyAlignment="1">
      <alignment horizontal="center"/>
    </xf>
    <xf numFmtId="0" fontId="0" fillId="0" borderId="3" xfId="0" applyBorder="1"/>
    <xf numFmtId="0" fontId="0" fillId="0" borderId="4" xfId="0" applyBorder="1"/>
    <xf numFmtId="0" fontId="0" fillId="2" borderId="0" xfId="0" applyFill="1" applyAlignment="1">
      <alignment horizontal="center"/>
    </xf>
    <xf numFmtId="0" fontId="0" fillId="2" borderId="0" xfId="0" applyFill="1"/>
    <xf numFmtId="0" fontId="6" fillId="2" borderId="0" xfId="0" applyFont="1" applyFill="1"/>
    <xf numFmtId="3" fontId="0" fillId="2" borderId="0" xfId="0" applyNumberFormat="1" applyFill="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0" xfId="0" applyBorder="1"/>
    <xf numFmtId="166" fontId="0" fillId="0" borderId="0" xfId="10" applyNumberFormat="1" applyFont="1" applyBorder="1"/>
    <xf numFmtId="0" fontId="0" fillId="0" borderId="0" xfId="0" applyBorder="1" applyAlignment="1">
      <alignment horizontal="center"/>
    </xf>
    <xf numFmtId="0" fontId="6" fillId="0" borderId="0" xfId="0" applyFont="1" applyBorder="1" applyAlignment="1">
      <alignment horizontal="center"/>
    </xf>
    <xf numFmtId="0" fontId="0" fillId="0" borderId="8" xfId="0" applyBorder="1"/>
    <xf numFmtId="0" fontId="12" fillId="0" borderId="0" xfId="0" applyFont="1"/>
    <xf numFmtId="0" fontId="13" fillId="0" borderId="0" xfId="0" applyFont="1"/>
    <xf numFmtId="0" fontId="9" fillId="0" borderId="0" xfId="0" applyFont="1"/>
    <xf numFmtId="14" fontId="0" fillId="0" borderId="0" xfId="0" applyNumberFormat="1"/>
    <xf numFmtId="0" fontId="12" fillId="0" borderId="0" xfId="0" applyFont="1" applyAlignment="1">
      <alignment horizontal="left"/>
    </xf>
    <xf numFmtId="0" fontId="14" fillId="0" borderId="8" xfId="0" applyFont="1" applyBorder="1"/>
    <xf numFmtId="0" fontId="15" fillId="0" borderId="0" xfId="0" applyFont="1" applyBorder="1"/>
    <xf numFmtId="0" fontId="6" fillId="0" borderId="0" xfId="0" applyFont="1" applyBorder="1"/>
    <xf numFmtId="0" fontId="15" fillId="0" borderId="0" xfId="0" applyFont="1"/>
    <xf numFmtId="3" fontId="8" fillId="0" borderId="0" xfId="0" applyNumberFormat="1" applyFont="1" applyFill="1"/>
    <xf numFmtId="0" fontId="6" fillId="0" borderId="0" xfId="0" applyFont="1"/>
    <xf numFmtId="44" fontId="0" fillId="0" borderId="0" xfId="10" applyFont="1"/>
    <xf numFmtId="3" fontId="16" fillId="0" borderId="0" xfId="0" applyNumberFormat="1" applyFont="1"/>
    <xf numFmtId="0" fontId="16" fillId="0" borderId="0" xfId="0" applyFont="1"/>
    <xf numFmtId="0" fontId="3" fillId="0" borderId="0" xfId="0" applyFont="1"/>
    <xf numFmtId="3" fontId="3" fillId="0" borderId="0" xfId="0" applyNumberFormat="1" applyFont="1"/>
    <xf numFmtId="0" fontId="17" fillId="0" borderId="0" xfId="0" applyFont="1"/>
    <xf numFmtId="44" fontId="3" fillId="0" borderId="0" xfId="10" applyFont="1"/>
    <xf numFmtId="0" fontId="14" fillId="0" borderId="0" xfId="0" applyFont="1"/>
    <xf numFmtId="175" fontId="0" fillId="0" borderId="0" xfId="10" applyNumberFormat="1" applyFont="1"/>
    <xf numFmtId="0" fontId="2" fillId="0" borderId="0" xfId="0" applyFont="1" applyAlignment="1">
      <alignment horizontal="center"/>
    </xf>
    <xf numFmtId="176" fontId="8" fillId="0" borderId="0" xfId="0" applyNumberFormat="1" applyFont="1" applyFill="1" applyBorder="1"/>
    <xf numFmtId="44" fontId="3" fillId="0" borderId="0" xfId="10" applyNumberFormat="1" applyFont="1"/>
    <xf numFmtId="174" fontId="2" fillId="0" borderId="0" xfId="10" applyNumberFormat="1" applyFont="1"/>
    <xf numFmtId="178" fontId="0" fillId="0" borderId="1" xfId="10" applyNumberFormat="1" applyFont="1" applyBorder="1"/>
    <xf numFmtId="0" fontId="8" fillId="0" borderId="0" xfId="0" applyFont="1" applyBorder="1"/>
    <xf numFmtId="176" fontId="0" fillId="0" borderId="0" xfId="0" applyNumberFormat="1"/>
    <xf numFmtId="44" fontId="8" fillId="0" borderId="0" xfId="10" applyFont="1" applyFill="1"/>
    <xf numFmtId="170" fontId="8" fillId="0" borderId="0" xfId="0" applyNumberFormat="1" applyFont="1"/>
    <xf numFmtId="44" fontId="8" fillId="0" borderId="0" xfId="10" applyNumberFormat="1" applyFont="1" applyFill="1"/>
    <xf numFmtId="170" fontId="8" fillId="0" borderId="0" xfId="21" applyNumberFormat="1" applyFont="1" applyFill="1" applyBorder="1"/>
    <xf numFmtId="44" fontId="2" fillId="0" borderId="0" xfId="0" applyNumberFormat="1" applyFont="1"/>
    <xf numFmtId="9" fontId="2" fillId="0" borderId="0" xfId="21" applyFont="1"/>
    <xf numFmtId="0" fontId="8" fillId="0" borderId="0" xfId="0" applyFont="1"/>
    <xf numFmtId="170" fontId="6" fillId="0" borderId="1" xfId="21" applyNumberFormat="1" applyFont="1" applyFill="1" applyBorder="1" applyAlignment="1" applyProtection="1">
      <alignment horizontal="center"/>
      <protection locked="0"/>
    </xf>
    <xf numFmtId="4" fontId="8" fillId="0" borderId="0" xfId="0" applyNumberFormat="1" applyFont="1" applyFill="1"/>
    <xf numFmtId="0" fontId="0" fillId="0" borderId="0" xfId="0" applyBorder="1" applyAlignment="1">
      <alignment horizontal="right"/>
    </xf>
    <xf numFmtId="39" fontId="3" fillId="0" borderId="0" xfId="0" applyNumberFormat="1" applyFont="1"/>
    <xf numFmtId="0" fontId="19" fillId="0" borderId="9" xfId="0" applyFont="1" applyBorder="1" applyAlignment="1" applyProtection="1">
      <alignment horizontal="center"/>
      <protection locked="0"/>
    </xf>
    <xf numFmtId="0" fontId="6" fillId="2" borderId="0" xfId="0" applyFont="1" applyFill="1" applyAlignment="1">
      <alignment vertical="center" wrapText="1"/>
    </xf>
    <xf numFmtId="0" fontId="6" fillId="2" borderId="0" xfId="0" applyFont="1" applyFill="1" applyAlignment="1">
      <alignment horizontal="left" vertical="center" wrapText="1"/>
    </xf>
    <xf numFmtId="1" fontId="6" fillId="2" borderId="0" xfId="0" applyNumberFormat="1" applyFont="1" applyFill="1" applyAlignment="1" applyProtection="1">
      <alignment horizontal="right"/>
      <protection locked="0"/>
    </xf>
    <xf numFmtId="8" fontId="16" fillId="2" borderId="0" xfId="0" applyNumberFormat="1" applyFont="1" applyFill="1" applyAlignment="1">
      <alignment horizontal="left"/>
    </xf>
    <xf numFmtId="0" fontId="15" fillId="3" borderId="4" xfId="0" applyFont="1" applyFill="1" applyBorder="1"/>
    <xf numFmtId="0" fontId="15" fillId="3" borderId="1" xfId="0" applyFont="1" applyFill="1" applyBorder="1" applyAlignment="1">
      <alignment horizontal="center"/>
    </xf>
    <xf numFmtId="166" fontId="15" fillId="3" borderId="1" xfId="10" applyNumberFormat="1" applyFont="1" applyFill="1" applyBorder="1"/>
    <xf numFmtId="0" fontId="0" fillId="3" borderId="4" xfId="0" applyFill="1" applyBorder="1"/>
    <xf numFmtId="166" fontId="0" fillId="3" borderId="1" xfId="10" applyNumberFormat="1" applyFont="1" applyFill="1" applyBorder="1"/>
    <xf numFmtId="0" fontId="0" fillId="3" borderId="1" xfId="0" applyFill="1" applyBorder="1" applyAlignment="1">
      <alignment horizontal="center"/>
    </xf>
    <xf numFmtId="0" fontId="19" fillId="3" borderId="9" xfId="0" applyFont="1" applyFill="1" applyBorder="1" applyAlignment="1" applyProtection="1">
      <alignment horizontal="center"/>
      <protection locked="0"/>
    </xf>
    <xf numFmtId="0" fontId="19" fillId="0" borderId="10" xfId="0" applyFont="1" applyBorder="1" applyAlignment="1" applyProtection="1">
      <alignment horizontal="center"/>
      <protection locked="0" hidden="1"/>
    </xf>
    <xf numFmtId="0" fontId="20" fillId="2" borderId="0" xfId="0" applyFont="1" applyFill="1" applyProtection="1">
      <protection locked="0" hidden="1"/>
    </xf>
    <xf numFmtId="44" fontId="18" fillId="0" borderId="0" xfId="0" applyNumberFormat="1" applyFont="1" applyAlignment="1">
      <alignment horizontal="center"/>
    </xf>
    <xf numFmtId="168" fontId="15" fillId="0" borderId="0" xfId="0" applyNumberFormat="1" applyFont="1" applyAlignment="1">
      <alignment horizontal="left"/>
    </xf>
    <xf numFmtId="0" fontId="3" fillId="0" borderId="0" xfId="0" applyFont="1" applyBorder="1"/>
    <xf numFmtId="0" fontId="0" fillId="4" borderId="0" xfId="0" applyFill="1" applyBorder="1"/>
    <xf numFmtId="0" fontId="3" fillId="0" borderId="0" xfId="0" applyFont="1" applyAlignment="1">
      <alignment horizontal="center"/>
    </xf>
    <xf numFmtId="17" fontId="2" fillId="0" borderId="0" xfId="10" applyNumberFormat="1" applyFont="1" applyAlignment="1">
      <alignment horizontal="center"/>
    </xf>
    <xf numFmtId="0" fontId="14" fillId="0" borderId="11" xfId="0" applyFont="1" applyBorder="1"/>
    <xf numFmtId="167" fontId="8" fillId="0" borderId="0" xfId="1" applyNumberFormat="1" applyFont="1"/>
    <xf numFmtId="0" fontId="0" fillId="0" borderId="1" xfId="0" applyBorder="1"/>
    <xf numFmtId="175" fontId="0" fillId="0" borderId="1" xfId="10" applyNumberFormat="1" applyFont="1" applyBorder="1"/>
    <xf numFmtId="172" fontId="0" fillId="0" borderId="1" xfId="10" applyNumberFormat="1" applyFont="1" applyBorder="1"/>
    <xf numFmtId="44" fontId="0" fillId="0" borderId="1" xfId="10" applyNumberFormat="1" applyFont="1" applyBorder="1"/>
    <xf numFmtId="44" fontId="0" fillId="0" borderId="1" xfId="10" applyFont="1" applyBorder="1"/>
    <xf numFmtId="44" fontId="0" fillId="0" borderId="1" xfId="0" applyNumberFormat="1" applyBorder="1"/>
    <xf numFmtId="0" fontId="15" fillId="0" borderId="11" xfId="0" applyFont="1" applyBorder="1"/>
    <xf numFmtId="0" fontId="6" fillId="0" borderId="11" xfId="0" applyFont="1" applyBorder="1"/>
    <xf numFmtId="0" fontId="12" fillId="0" borderId="11" xfId="0" applyFont="1" applyBorder="1"/>
    <xf numFmtId="0" fontId="3" fillId="0" borderId="11" xfId="0" applyFont="1" applyBorder="1"/>
    <xf numFmtId="44" fontId="3" fillId="0" borderId="0" xfId="21" applyNumberFormat="1" applyFont="1"/>
    <xf numFmtId="0" fontId="0" fillId="0" borderId="11" xfId="0" applyBorder="1"/>
    <xf numFmtId="44" fontId="3" fillId="0" borderId="0" xfId="0" applyNumberFormat="1" applyFont="1"/>
    <xf numFmtId="0" fontId="3" fillId="0" borderId="0" xfId="0" applyFont="1" applyAlignment="1">
      <alignment horizontal="left"/>
    </xf>
    <xf numFmtId="0" fontId="14" fillId="0" borderId="0" xfId="0" applyFont="1" applyBorder="1"/>
    <xf numFmtId="44" fontId="14" fillId="0" borderId="11" xfId="10" applyFont="1" applyBorder="1"/>
    <xf numFmtId="0" fontId="1" fillId="4" borderId="0" xfId="0" applyFont="1" applyFill="1" applyBorder="1"/>
    <xf numFmtId="3" fontId="0" fillId="4" borderId="0" xfId="0" applyNumberFormat="1" applyFill="1"/>
    <xf numFmtId="3" fontId="16" fillId="4" borderId="0" xfId="0" applyNumberFormat="1" applyFont="1" applyFill="1"/>
    <xf numFmtId="0" fontId="0" fillId="4" borderId="0" xfId="0" applyFill="1" applyAlignment="1">
      <alignment horizontal="center"/>
    </xf>
    <xf numFmtId="166" fontId="1" fillId="0" borderId="1" xfId="10" applyNumberFormat="1" applyFill="1" applyBorder="1"/>
    <xf numFmtId="0" fontId="16" fillId="4" borderId="0" xfId="0" applyFont="1" applyFill="1"/>
    <xf numFmtId="44" fontId="1" fillId="0" borderId="1" xfId="10" applyFill="1" applyBorder="1"/>
    <xf numFmtId="0" fontId="0" fillId="4" borderId="0" xfId="0" applyFill="1" applyBorder="1" applyAlignment="1">
      <alignment horizontal="center"/>
    </xf>
    <xf numFmtId="175" fontId="1" fillId="4" borderId="0" xfId="10" applyNumberFormat="1" applyFill="1" applyBorder="1"/>
    <xf numFmtId="0" fontId="16" fillId="4" borderId="0" xfId="0" applyFont="1" applyFill="1" applyBorder="1"/>
    <xf numFmtId="44" fontId="1" fillId="4" borderId="0" xfId="10" applyFill="1" applyBorder="1"/>
    <xf numFmtId="0" fontId="2" fillId="4" borderId="0" xfId="10" applyNumberFormat="1" applyFont="1" applyFill="1" applyBorder="1"/>
    <xf numFmtId="169" fontId="1" fillId="0" borderId="1" xfId="10" applyNumberFormat="1" applyFill="1" applyBorder="1"/>
    <xf numFmtId="0" fontId="0" fillId="0" borderId="1" xfId="0" applyFill="1" applyBorder="1" applyAlignment="1">
      <alignment horizontal="center"/>
    </xf>
    <xf numFmtId="3" fontId="16" fillId="4" borderId="0" xfId="0" applyNumberFormat="1" applyFont="1" applyFill="1" applyBorder="1"/>
    <xf numFmtId="165" fontId="1" fillId="4" borderId="1" xfId="21" applyNumberFormat="1" applyFill="1" applyBorder="1" applyAlignment="1">
      <alignment horizontal="center"/>
    </xf>
    <xf numFmtId="0" fontId="0" fillId="4" borderId="1" xfId="0" applyFill="1" applyBorder="1" applyAlignment="1">
      <alignment horizontal="center"/>
    </xf>
    <xf numFmtId="180" fontId="0" fillId="0" borderId="1" xfId="10" applyNumberFormat="1" applyFont="1" applyBorder="1"/>
    <xf numFmtId="177" fontId="0" fillId="0" borderId="1" xfId="10" applyNumberFormat="1" applyFont="1" applyBorder="1"/>
    <xf numFmtId="164" fontId="0" fillId="0" borderId="1" xfId="10" applyNumberFormat="1" applyFont="1" applyBorder="1"/>
    <xf numFmtId="41" fontId="6" fillId="0" borderId="1" xfId="1" applyNumberFormat="1" applyFont="1" applyFill="1" applyBorder="1" applyProtection="1">
      <protection locked="0"/>
    </xf>
    <xf numFmtId="165" fontId="0" fillId="0" borderId="1" xfId="0" applyNumberFormat="1" applyFill="1" applyBorder="1" applyAlignment="1">
      <alignment horizontal="right"/>
    </xf>
    <xf numFmtId="170" fontId="2" fillId="0" borderId="0" xfId="21" applyNumberFormat="1" applyFont="1"/>
    <xf numFmtId="43" fontId="6" fillId="0" borderId="1" xfId="1" applyNumberFormat="1" applyFont="1" applyFill="1" applyBorder="1" applyProtection="1">
      <protection locked="0"/>
    </xf>
    <xf numFmtId="3" fontId="0" fillId="0" borderId="0" xfId="0" applyNumberFormat="1" applyBorder="1"/>
    <xf numFmtId="3" fontId="16" fillId="0" borderId="0" xfId="0" applyNumberFormat="1" applyFont="1" applyBorder="1"/>
    <xf numFmtId="44" fontId="1" fillId="0" borderId="1" xfId="10" applyBorder="1"/>
    <xf numFmtId="166" fontId="1" fillId="0" borderId="1" xfId="10" applyNumberFormat="1" applyBorder="1"/>
    <xf numFmtId="175" fontId="1" fillId="0" borderId="1" xfId="10" applyNumberFormat="1" applyBorder="1"/>
    <xf numFmtId="0" fontId="3" fillId="0" borderId="11" xfId="0" applyFont="1" applyBorder="1" applyAlignment="1">
      <alignment horizontal="center"/>
    </xf>
    <xf numFmtId="44" fontId="1" fillId="0" borderId="1" xfId="10" applyFont="1" applyBorder="1"/>
    <xf numFmtId="39" fontId="3" fillId="0" borderId="0" xfId="10" applyNumberFormat="1" applyFont="1"/>
    <xf numFmtId="0" fontId="3" fillId="0" borderId="1" xfId="0" applyFont="1" applyBorder="1" applyAlignment="1">
      <alignment horizontal="center"/>
    </xf>
    <xf numFmtId="0" fontId="3" fillId="0" borderId="1" xfId="0" applyFont="1" applyFill="1" applyBorder="1" applyAlignment="1">
      <alignment horizontal="center"/>
    </xf>
    <xf numFmtId="0" fontId="9" fillId="0" borderId="0" xfId="0" applyFont="1" applyAlignment="1">
      <alignment horizontal="left"/>
    </xf>
    <xf numFmtId="39" fontId="8" fillId="0" borderId="0" xfId="10" applyNumberFormat="1" applyFont="1"/>
    <xf numFmtId="39" fontId="9" fillId="0" borderId="0" xfId="10" applyNumberFormat="1" applyFont="1"/>
    <xf numFmtId="174" fontId="8" fillId="0" borderId="0" xfId="10" applyNumberFormat="1" applyFont="1"/>
    <xf numFmtId="0" fontId="25" fillId="0" borderId="0" xfId="0" applyFont="1"/>
    <xf numFmtId="44" fontId="14" fillId="0" borderId="0" xfId="10" applyFont="1"/>
    <xf numFmtId="0" fontId="15" fillId="4" borderId="0" xfId="0" applyFont="1" applyFill="1" applyBorder="1"/>
    <xf numFmtId="0" fontId="21" fillId="2" borderId="0" xfId="0" applyFont="1" applyFill="1" applyAlignment="1">
      <alignment horizontal="center"/>
    </xf>
    <xf numFmtId="0" fontId="6" fillId="0" borderId="1" xfId="0" applyFont="1" applyFill="1" applyBorder="1" applyAlignment="1" applyProtection="1">
      <alignment horizontal="center"/>
      <protection locked="0"/>
    </xf>
    <xf numFmtId="0" fontId="12" fillId="4" borderId="11" xfId="0" applyFont="1" applyFill="1" applyBorder="1"/>
    <xf numFmtId="0" fontId="9" fillId="4" borderId="11" xfId="0" applyFont="1" applyFill="1" applyBorder="1"/>
    <xf numFmtId="0" fontId="0" fillId="4" borderId="11" xfId="0" applyFill="1" applyBorder="1"/>
    <xf numFmtId="0" fontId="0" fillId="0" borderId="0" xfId="0" applyAlignment="1">
      <alignment horizontal="right"/>
    </xf>
    <xf numFmtId="0" fontId="3" fillId="4" borderId="1" xfId="0" applyFont="1" applyFill="1" applyBorder="1" applyAlignment="1">
      <alignment horizontal="center"/>
    </xf>
    <xf numFmtId="0" fontId="24" fillId="0" borderId="0" xfId="0" applyFont="1" applyAlignment="1">
      <alignment vertical="center" wrapText="1"/>
    </xf>
    <xf numFmtId="0" fontId="14" fillId="4" borderId="0" xfId="0" applyFont="1" applyFill="1" applyBorder="1"/>
    <xf numFmtId="0" fontId="13" fillId="4" borderId="0" xfId="0" applyFont="1" applyFill="1" applyBorder="1"/>
    <xf numFmtId="14" fontId="9" fillId="4" borderId="0" xfId="0" applyNumberFormat="1" applyFont="1" applyFill="1" applyBorder="1" applyAlignment="1">
      <alignment horizontal="left"/>
    </xf>
    <xf numFmtId="0" fontId="0" fillId="4" borderId="0" xfId="0" applyFill="1"/>
    <xf numFmtId="170" fontId="2" fillId="4" borderId="0" xfId="21" applyNumberFormat="1" applyFont="1" applyFill="1" applyBorder="1"/>
    <xf numFmtId="0" fontId="15" fillId="4" borderId="0" xfId="0" applyFont="1" applyFill="1"/>
    <xf numFmtId="3" fontId="8" fillId="4" borderId="0" xfId="0" applyNumberFormat="1" applyFont="1" applyFill="1"/>
    <xf numFmtId="0" fontId="15" fillId="4" borderId="11" xfId="0" applyFont="1" applyFill="1" applyBorder="1"/>
    <xf numFmtId="3" fontId="8" fillId="4" borderId="11" xfId="0" applyNumberFormat="1" applyFont="1" applyFill="1" applyBorder="1"/>
    <xf numFmtId="0" fontId="6" fillId="4" borderId="11" xfId="0" applyFont="1" applyFill="1" applyBorder="1"/>
    <xf numFmtId="44" fontId="8" fillId="4" borderId="11" xfId="10" applyFont="1" applyFill="1" applyBorder="1"/>
    <xf numFmtId="0" fontId="0" fillId="4" borderId="12" xfId="0" applyFill="1" applyBorder="1"/>
    <xf numFmtId="0" fontId="0" fillId="4" borderId="0" xfId="0" applyNumberFormat="1" applyFill="1" applyBorder="1" applyAlignment="1">
      <alignment horizontal="center"/>
    </xf>
    <xf numFmtId="0" fontId="30" fillId="4" borderId="0" xfId="0" applyNumberFormat="1" applyFont="1" applyFill="1" applyAlignment="1">
      <alignment horizontal="center"/>
    </xf>
    <xf numFmtId="44" fontId="1" fillId="0" borderId="1" xfId="10" applyNumberFormat="1" applyFont="1" applyFill="1" applyBorder="1"/>
    <xf numFmtId="44" fontId="1" fillId="0" borderId="1" xfId="10" applyNumberFormat="1" applyFill="1" applyBorder="1"/>
    <xf numFmtId="17" fontId="16" fillId="4" borderId="0" xfId="0" quotePrefix="1" applyNumberFormat="1" applyFont="1" applyFill="1" applyBorder="1" applyAlignment="1">
      <alignment horizontal="center"/>
    </xf>
    <xf numFmtId="175" fontId="1" fillId="0" borderId="1" xfId="10" applyNumberFormat="1" applyFill="1" applyBorder="1"/>
    <xf numFmtId="0" fontId="3" fillId="4" borderId="0" xfId="0" applyFont="1" applyFill="1" applyBorder="1"/>
    <xf numFmtId="3" fontId="3" fillId="4" borderId="0" xfId="0" applyNumberFormat="1" applyFont="1" applyFill="1" applyBorder="1"/>
    <xf numFmtId="0" fontId="17" fillId="4" borderId="0" xfId="0" applyFont="1" applyFill="1" applyBorder="1"/>
    <xf numFmtId="44" fontId="12" fillId="4" borderId="0" xfId="0" applyNumberFormat="1" applyFont="1" applyFill="1" applyBorder="1" applyAlignment="1">
      <alignment horizontal="center"/>
    </xf>
    <xf numFmtId="0" fontId="3" fillId="4" borderId="11" xfId="0" applyFont="1" applyFill="1" applyBorder="1"/>
    <xf numFmtId="3" fontId="3" fillId="4" borderId="11" xfId="0" applyNumberFormat="1" applyFont="1" applyFill="1" applyBorder="1"/>
    <xf numFmtId="0" fontId="17" fillId="4" borderId="11" xfId="0" applyFont="1" applyFill="1" applyBorder="1"/>
    <xf numFmtId="0" fontId="0" fillId="4" borderId="11" xfId="0" applyNumberFormat="1" applyFill="1" applyBorder="1" applyAlignment="1">
      <alignment horizontal="center"/>
    </xf>
    <xf numFmtId="0" fontId="0" fillId="0" borderId="0" xfId="0" applyNumberFormat="1" applyAlignment="1">
      <alignment horizontal="center"/>
    </xf>
    <xf numFmtId="165" fontId="1" fillId="4" borderId="0" xfId="21" applyNumberFormat="1" applyFill="1" applyBorder="1"/>
    <xf numFmtId="0" fontId="31" fillId="4" borderId="0" xfId="0" applyFont="1" applyFill="1" applyBorder="1"/>
    <xf numFmtId="177" fontId="1" fillId="0" borderId="1" xfId="10" applyNumberFormat="1" applyFill="1" applyBorder="1"/>
    <xf numFmtId="171" fontId="0" fillId="0" borderId="1" xfId="0" applyNumberFormat="1" applyFill="1" applyBorder="1" applyAlignment="1">
      <alignment horizontal="right"/>
    </xf>
    <xf numFmtId="0" fontId="12" fillId="4" borderId="0" xfId="0" applyFont="1" applyFill="1" applyBorder="1"/>
    <xf numFmtId="3" fontId="14" fillId="4" borderId="0" xfId="0" applyNumberFormat="1" applyFont="1" applyFill="1"/>
    <xf numFmtId="3" fontId="32" fillId="4" borderId="0" xfId="0" applyNumberFormat="1" applyFont="1" applyFill="1" applyBorder="1"/>
    <xf numFmtId="0" fontId="14" fillId="4" borderId="0" xfId="0" applyFont="1" applyFill="1" applyBorder="1" applyAlignment="1">
      <alignment horizontal="center"/>
    </xf>
    <xf numFmtId="0" fontId="32" fillId="4" borderId="0" xfId="0" applyFont="1" applyFill="1"/>
    <xf numFmtId="17" fontId="32" fillId="4" borderId="0" xfId="0" quotePrefix="1" applyNumberFormat="1" applyFont="1" applyFill="1" applyBorder="1" applyAlignment="1">
      <alignment horizontal="center"/>
    </xf>
    <xf numFmtId="0" fontId="14" fillId="4" borderId="11" xfId="0" applyFont="1" applyFill="1" applyBorder="1"/>
    <xf numFmtId="44" fontId="14" fillId="4" borderId="11" xfId="0" applyNumberFormat="1" applyFont="1" applyFill="1" applyBorder="1" applyAlignment="1">
      <alignment horizontal="center"/>
    </xf>
    <xf numFmtId="44" fontId="14" fillId="4" borderId="11" xfId="10" applyNumberFormat="1" applyFont="1" applyFill="1" applyBorder="1"/>
    <xf numFmtId="175" fontId="1" fillId="4" borderId="0" xfId="10" applyNumberFormat="1" applyFont="1" applyFill="1" applyBorder="1"/>
    <xf numFmtId="44" fontId="3" fillId="4" borderId="0" xfId="10" applyFont="1" applyFill="1" applyBorder="1"/>
    <xf numFmtId="44" fontId="14" fillId="4" borderId="0" xfId="10" applyFont="1" applyFill="1" applyBorder="1"/>
    <xf numFmtId="39" fontId="3" fillId="4" borderId="0" xfId="0" applyNumberFormat="1" applyFont="1" applyFill="1"/>
    <xf numFmtId="170" fontId="3" fillId="0" borderId="0" xfId="21" applyNumberFormat="1" applyFont="1"/>
    <xf numFmtId="183" fontId="0" fillId="4" borderId="0" xfId="0" applyNumberFormat="1" applyFill="1" applyBorder="1"/>
    <xf numFmtId="0" fontId="9" fillId="4" borderId="0" xfId="0" applyFont="1" applyFill="1" applyBorder="1" applyAlignment="1">
      <alignment horizontal="left"/>
    </xf>
    <xf numFmtId="7" fontId="3" fillId="0" borderId="0" xfId="10" applyNumberFormat="1" applyFont="1" applyBorder="1"/>
    <xf numFmtId="44" fontId="0" fillId="0" borderId="1" xfId="0" applyNumberFormat="1" applyFill="1" applyBorder="1" applyAlignment="1">
      <alignment horizontal="right"/>
    </xf>
    <xf numFmtId="0" fontId="10" fillId="4" borderId="0" xfId="0" applyFont="1" applyFill="1" applyAlignment="1"/>
    <xf numFmtId="0" fontId="11" fillId="0" borderId="0" xfId="0" applyFont="1" applyAlignment="1"/>
    <xf numFmtId="44" fontId="29" fillId="0" borderId="0" xfId="0" applyNumberFormat="1" applyFont="1" applyAlignment="1"/>
    <xf numFmtId="0" fontId="34" fillId="0" borderId="0" xfId="0" applyFont="1"/>
    <xf numFmtId="164" fontId="1" fillId="0" borderId="1" xfId="10" applyNumberFormat="1" applyFill="1" applyBorder="1"/>
    <xf numFmtId="183" fontId="2" fillId="4" borderId="0" xfId="0" applyNumberFormat="1" applyFont="1" applyFill="1" applyBorder="1" applyAlignment="1">
      <alignment horizontal="center"/>
    </xf>
    <xf numFmtId="0" fontId="10" fillId="0" borderId="0" xfId="0" applyFont="1" applyAlignment="1"/>
    <xf numFmtId="0" fontId="24" fillId="0" borderId="8" xfId="0" applyFont="1" applyBorder="1" applyAlignment="1">
      <alignment vertical="center" wrapText="1"/>
    </xf>
    <xf numFmtId="181" fontId="1" fillId="0" borderId="1" xfId="10" applyNumberFormat="1" applyFill="1" applyBorder="1"/>
    <xf numFmtId="168" fontId="15" fillId="0" borderId="0" xfId="0" applyNumberFormat="1" applyFont="1" applyAlignment="1"/>
    <xf numFmtId="184" fontId="0" fillId="0" borderId="0" xfId="0" applyNumberFormat="1"/>
    <xf numFmtId="7" fontId="3" fillId="0" borderId="0" xfId="0" applyNumberFormat="1" applyFont="1"/>
    <xf numFmtId="44" fontId="0" fillId="0" borderId="1" xfId="10" applyFont="1" applyFill="1" applyBorder="1"/>
    <xf numFmtId="0" fontId="2" fillId="4" borderId="0" xfId="0" applyFont="1" applyFill="1" applyBorder="1"/>
    <xf numFmtId="182" fontId="6" fillId="0" borderId="1" xfId="1" applyNumberFormat="1" applyFont="1" applyFill="1" applyBorder="1" applyProtection="1">
      <protection locked="0"/>
    </xf>
    <xf numFmtId="185" fontId="8" fillId="0" borderId="0" xfId="0" applyNumberFormat="1" applyFont="1" applyFill="1"/>
    <xf numFmtId="0" fontId="2" fillId="2" borderId="0" xfId="0" applyFont="1" applyFill="1" applyProtection="1">
      <protection locked="0"/>
    </xf>
    <xf numFmtId="0" fontId="2" fillId="2" borderId="0" xfId="0" applyFont="1" applyFill="1" applyProtection="1">
      <protection locked="0" hidden="1"/>
    </xf>
    <xf numFmtId="6" fontId="2" fillId="2" borderId="0" xfId="0" applyNumberFormat="1" applyFont="1" applyFill="1"/>
    <xf numFmtId="0" fontId="1" fillId="2" borderId="0" xfId="0" applyFont="1" applyFill="1"/>
    <xf numFmtId="0" fontId="23" fillId="0" borderId="0" xfId="19" applyAlignment="1" applyProtection="1"/>
    <xf numFmtId="0" fontId="0" fillId="2" borderId="0" xfId="0" applyFill="1" applyAlignment="1">
      <alignment horizontal="right"/>
    </xf>
    <xf numFmtId="0" fontId="6" fillId="5" borderId="0" xfId="0" applyFont="1" applyFill="1"/>
    <xf numFmtId="184" fontId="0" fillId="4" borderId="0" xfId="0" applyNumberFormat="1" applyFill="1" applyBorder="1"/>
    <xf numFmtId="184" fontId="0" fillId="4" borderId="0" xfId="0" applyNumberFormat="1" applyFill="1" applyBorder="1" applyAlignment="1">
      <alignment horizontal="right"/>
    </xf>
    <xf numFmtId="183" fontId="0" fillId="0" borderId="0" xfId="0" applyNumberFormat="1"/>
    <xf numFmtId="0" fontId="8" fillId="2" borderId="0" xfId="0" applyFont="1" applyFill="1"/>
    <xf numFmtId="17" fontId="28" fillId="2" borderId="0" xfId="0" applyNumberFormat="1" applyFont="1" applyFill="1" applyBorder="1" applyAlignment="1">
      <alignment horizontal="left"/>
    </xf>
    <xf numFmtId="179" fontId="0" fillId="2" borderId="0" xfId="0" applyNumberFormat="1" applyFill="1"/>
    <xf numFmtId="0" fontId="0" fillId="0" borderId="0" xfId="0" applyFill="1"/>
    <xf numFmtId="0" fontId="2" fillId="0" borderId="0" xfId="0" applyFont="1" applyAlignment="1">
      <alignment horizontal="right"/>
    </xf>
    <xf numFmtId="44" fontId="37" fillId="0" borderId="0" xfId="10" applyFont="1"/>
    <xf numFmtId="3" fontId="2" fillId="2" borderId="0" xfId="0" applyNumberFormat="1" applyFont="1" applyFill="1"/>
    <xf numFmtId="2" fontId="38" fillId="2" borderId="0" xfId="0" applyNumberFormat="1" applyFont="1" applyFill="1"/>
    <xf numFmtId="0" fontId="2" fillId="2" borderId="0" xfId="0" applyFont="1" applyFill="1"/>
    <xf numFmtId="8" fontId="2" fillId="2" borderId="0" xfId="0" applyNumberFormat="1" applyFont="1" applyFill="1" applyAlignment="1">
      <alignment horizontal="right"/>
    </xf>
    <xf numFmtId="170" fontId="3" fillId="2" borderId="0" xfId="0" applyNumberFormat="1" applyFont="1" applyFill="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pplyProtection="1">
      <alignment horizontal="left"/>
      <protection locked="0"/>
    </xf>
    <xf numFmtId="0" fontId="20" fillId="2" borderId="0" xfId="0" applyFont="1" applyFill="1"/>
    <xf numFmtId="175" fontId="0" fillId="0" borderId="1" xfId="0" applyNumberFormat="1" applyFill="1" applyBorder="1" applyAlignment="1">
      <alignment horizontal="right"/>
    </xf>
    <xf numFmtId="165" fontId="0" fillId="0" borderId="1" xfId="21" applyNumberFormat="1" applyFont="1" applyFill="1" applyBorder="1" applyAlignment="1">
      <alignment horizontal="right"/>
    </xf>
    <xf numFmtId="186" fontId="1" fillId="0" borderId="1" xfId="10" applyNumberFormat="1" applyFill="1" applyBorder="1"/>
    <xf numFmtId="0" fontId="0" fillId="2" borderId="0" xfId="0" applyFill="1" applyAlignment="1">
      <alignment horizontal="left"/>
    </xf>
    <xf numFmtId="0" fontId="0" fillId="4" borderId="0" xfId="0" applyFont="1" applyFill="1" applyBorder="1"/>
    <xf numFmtId="0" fontId="45" fillId="0" borderId="0" xfId="0" applyFont="1" applyAlignment="1">
      <alignment horizontal="left"/>
    </xf>
    <xf numFmtId="39" fontId="45" fillId="4" borderId="0" xfId="0" applyNumberFormat="1" applyFont="1" applyFill="1"/>
    <xf numFmtId="14" fontId="2" fillId="2" borderId="0" xfId="0" applyNumberFormat="1" applyFont="1" applyFill="1"/>
    <xf numFmtId="14" fontId="16" fillId="4" borderId="0" xfId="0" quotePrefix="1" applyNumberFormat="1" applyFont="1" applyFill="1" applyBorder="1" applyAlignment="1">
      <alignment horizontal="center"/>
    </xf>
    <xf numFmtId="183" fontId="16" fillId="4" borderId="0" xfId="0" quotePrefix="1" applyNumberFormat="1" applyFont="1" applyFill="1" applyBorder="1" applyAlignment="1">
      <alignment horizontal="center"/>
    </xf>
    <xf numFmtId="175" fontId="42" fillId="0" borderId="1" xfId="11" applyNumberFormat="1" applyFill="1" applyBorder="1"/>
    <xf numFmtId="0" fontId="46" fillId="2" borderId="0" xfId="0" applyFont="1" applyFill="1" applyAlignment="1" applyProtection="1">
      <alignment horizontal="left"/>
      <protection locked="0"/>
    </xf>
    <xf numFmtId="0" fontId="2" fillId="4" borderId="0" xfId="0" applyFont="1" applyFill="1" applyAlignment="1">
      <alignment horizontal="center"/>
    </xf>
    <xf numFmtId="44" fontId="1" fillId="6" borderId="1" xfId="10" applyFill="1" applyBorder="1"/>
    <xf numFmtId="175" fontId="0" fillId="0" borderId="1" xfId="10" applyNumberFormat="1" applyFont="1" applyFill="1" applyBorder="1" applyAlignment="1">
      <alignment horizontal="right"/>
    </xf>
    <xf numFmtId="175" fontId="0" fillId="0" borderId="0" xfId="10" applyNumberFormat="1" applyFont="1" applyBorder="1" applyAlignment="1">
      <alignment horizontal="center"/>
    </xf>
    <xf numFmtId="175" fontId="2" fillId="0" borderId="0" xfId="10" applyNumberFormat="1" applyFont="1" applyBorder="1" applyAlignment="1">
      <alignment horizontal="center"/>
    </xf>
    <xf numFmtId="0" fontId="0" fillId="4" borderId="0" xfId="0" applyFill="1" applyBorder="1" applyAlignment="1">
      <alignment horizontal="center" vertical="center"/>
    </xf>
    <xf numFmtId="0" fontId="0" fillId="0" borderId="0" xfId="0" applyAlignment="1">
      <alignment horizontal="center" vertical="center"/>
    </xf>
    <xf numFmtId="0" fontId="47" fillId="2" borderId="0" xfId="0" applyFont="1" applyFill="1" applyAlignment="1">
      <alignment horizontal="left" vertical="center" wrapText="1"/>
    </xf>
    <xf numFmtId="6" fontId="46" fillId="2" borderId="0" xfId="0" applyNumberFormat="1" applyFont="1" applyFill="1" applyAlignment="1">
      <alignment horizontal="left"/>
    </xf>
    <xf numFmtId="7" fontId="0" fillId="0" borderId="1" xfId="0" applyNumberFormat="1" applyFill="1" applyBorder="1" applyAlignment="1">
      <alignment horizontal="right"/>
    </xf>
    <xf numFmtId="44" fontId="0" fillId="0" borderId="1" xfId="10" applyFont="1" applyFill="1" applyBorder="1" applyAlignment="1">
      <alignment horizontal="right"/>
    </xf>
    <xf numFmtId="7" fontId="1" fillId="0" borderId="1" xfId="10" applyNumberFormat="1" applyFill="1" applyBorder="1"/>
    <xf numFmtId="41" fontId="15" fillId="4" borderId="0" xfId="0" applyNumberFormat="1" applyFont="1" applyFill="1"/>
    <xf numFmtId="0" fontId="48" fillId="0" borderId="0" xfId="0" applyFont="1"/>
    <xf numFmtId="175" fontId="0" fillId="0" borderId="1" xfId="10" applyNumberFormat="1" applyFont="1" applyFill="1" applyBorder="1"/>
    <xf numFmtId="188" fontId="16" fillId="4" borderId="0" xfId="0" quotePrefix="1" applyNumberFormat="1" applyFont="1" applyFill="1" applyBorder="1" applyAlignment="1">
      <alignment horizontal="center"/>
    </xf>
    <xf numFmtId="175" fontId="0" fillId="0" borderId="1" xfId="12" applyNumberFormat="1" applyFont="1" applyFill="1" applyBorder="1"/>
    <xf numFmtId="44" fontId="0" fillId="0" borderId="1" xfId="12" applyFont="1" applyFill="1" applyBorder="1"/>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5" fontId="1" fillId="0" borderId="0" xfId="10" applyNumberFormat="1" applyFont="1" applyFill="1" applyBorder="1"/>
    <xf numFmtId="14" fontId="0" fillId="0" borderId="0" xfId="0" applyNumberFormat="1" applyFill="1" applyBorder="1"/>
    <xf numFmtId="0" fontId="2" fillId="0" borderId="19" xfId="0" applyFont="1" applyBorder="1" applyAlignment="1">
      <alignment horizontal="right"/>
    </xf>
    <xf numFmtId="0" fontId="2" fillId="0" borderId="0" xfId="0" applyFont="1" applyBorder="1" applyAlignment="1">
      <alignment horizontal="right"/>
    </xf>
    <xf numFmtId="168" fontId="15" fillId="0" borderId="0" xfId="0" applyNumberFormat="1" applyFont="1" applyAlignment="1">
      <alignment horizontal="center" vertical="center"/>
    </xf>
    <xf numFmtId="0" fontId="45" fillId="0" borderId="0" xfId="0" applyFont="1" applyBorder="1" applyAlignment="1">
      <alignment horizontal="left"/>
    </xf>
    <xf numFmtId="0" fontId="0" fillId="0" borderId="0" xfId="0" applyFill="1" applyBorder="1"/>
    <xf numFmtId="173" fontId="0" fillId="0" borderId="1" xfId="10" applyNumberFormat="1" applyFont="1" applyBorder="1"/>
    <xf numFmtId="173" fontId="0" fillId="0" borderId="1" xfId="0" applyNumberFormat="1" applyBorder="1"/>
    <xf numFmtId="168" fontId="15" fillId="0" borderId="0" xfId="0" applyNumberFormat="1" applyFont="1" applyAlignment="1">
      <alignment horizontal="left"/>
    </xf>
    <xf numFmtId="0" fontId="15" fillId="4" borderId="0" xfId="0" applyFont="1" applyFill="1" applyBorder="1"/>
    <xf numFmtId="0" fontId="2" fillId="4" borderId="0" xfId="0" applyFont="1" applyFill="1" applyBorder="1" applyAlignment="1">
      <alignment horizontal="center"/>
    </xf>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6" fontId="8" fillId="0" borderId="0" xfId="0" applyNumberFormat="1" applyFont="1" applyFill="1"/>
    <xf numFmtId="168" fontId="15" fillId="0" borderId="0" xfId="0" applyNumberFormat="1" applyFont="1" applyAlignment="1">
      <alignment horizontal="left"/>
    </xf>
    <xf numFmtId="0" fontId="3" fillId="0" borderId="1" xfId="0" applyFont="1" applyBorder="1" applyAlignment="1">
      <alignment horizontal="center"/>
    </xf>
    <xf numFmtId="0" fontId="0" fillId="0" borderId="0" xfId="0" applyBorder="1" applyAlignment="1">
      <alignment horizontal="center"/>
    </xf>
    <xf numFmtId="14" fontId="1" fillId="2" borderId="0" xfId="0" applyNumberFormat="1" applyFont="1" applyFill="1"/>
    <xf numFmtId="44" fontId="3" fillId="0" borderId="0" xfId="10" applyNumberFormat="1" applyFont="1" applyBorder="1"/>
    <xf numFmtId="0" fontId="1" fillId="0" borderId="0" xfId="0" applyFont="1" applyAlignment="1">
      <alignment horizontal="right"/>
    </xf>
    <xf numFmtId="176" fontId="0" fillId="0" borderId="0" xfId="0" quotePrefix="1" applyNumberFormat="1"/>
    <xf numFmtId="176" fontId="0" fillId="0" borderId="0" xfId="0" quotePrefix="1" applyNumberFormat="1" applyFill="1"/>
    <xf numFmtId="176" fontId="0" fillId="0" borderId="0" xfId="0" applyNumberFormat="1" applyFill="1"/>
    <xf numFmtId="3" fontId="0" fillId="0" borderId="0" xfId="0" applyNumberFormat="1" applyFill="1"/>
    <xf numFmtId="7" fontId="3" fillId="0" borderId="0" xfId="0" applyNumberFormat="1" applyFont="1" applyFill="1"/>
    <xf numFmtId="7" fontId="3" fillId="0" borderId="0" xfId="10" applyNumberFormat="1" applyFont="1" applyFill="1" applyBorder="1"/>
    <xf numFmtId="0" fontId="1" fillId="0" borderId="0" xfId="30"/>
    <xf numFmtId="0" fontId="9" fillId="0" borderId="0" xfId="30" applyFont="1"/>
    <xf numFmtId="0" fontId="8" fillId="0" borderId="0" xfId="30" applyFont="1"/>
    <xf numFmtId="0" fontId="9" fillId="0" borderId="0" xfId="30" applyFont="1" applyAlignment="1">
      <alignment horizontal="left"/>
    </xf>
    <xf numFmtId="0" fontId="3" fillId="0" borderId="0" xfId="30" applyFont="1"/>
    <xf numFmtId="39" fontId="3" fillId="0" borderId="0" xfId="30" applyNumberFormat="1" applyFont="1"/>
    <xf numFmtId="0" fontId="3" fillId="0" borderId="0" xfId="30" applyFont="1" applyAlignment="1">
      <alignment horizontal="left"/>
    </xf>
    <xf numFmtId="0" fontId="14" fillId="0" borderId="0" xfId="30" applyFont="1"/>
    <xf numFmtId="9" fontId="1" fillId="0" borderId="0" xfId="21" applyFont="1"/>
    <xf numFmtId="0" fontId="1" fillId="0" borderId="0" xfId="30" applyAlignment="1">
      <alignment horizontal="center"/>
    </xf>
    <xf numFmtId="0" fontId="1" fillId="0" borderId="0" xfId="30" applyFont="1"/>
    <xf numFmtId="44" fontId="1" fillId="0" borderId="0" xfId="30" applyNumberFormat="1" applyFont="1"/>
    <xf numFmtId="170" fontId="1" fillId="0" borderId="0" xfId="21" applyNumberFormat="1" applyFont="1"/>
    <xf numFmtId="0" fontId="16" fillId="0" borderId="0" xfId="30" applyFont="1"/>
    <xf numFmtId="174" fontId="1" fillId="0" borderId="0" xfId="10" applyNumberFormat="1" applyFont="1"/>
    <xf numFmtId="39" fontId="45" fillId="4" borderId="0" xfId="30" applyNumberFormat="1" applyFont="1" applyFill="1"/>
    <xf numFmtId="0" fontId="1" fillId="4" borderId="0" xfId="30" applyFill="1" applyBorder="1"/>
    <xf numFmtId="0" fontId="25" fillId="0" borderId="0" xfId="30" applyFont="1"/>
    <xf numFmtId="0" fontId="45" fillId="0" borderId="0" xfId="30" applyFont="1" applyAlignment="1">
      <alignment horizontal="left"/>
    </xf>
    <xf numFmtId="39" fontId="3" fillId="4" borderId="0" xfId="30" applyNumberFormat="1" applyFont="1" applyFill="1"/>
    <xf numFmtId="14" fontId="16" fillId="4" borderId="0" xfId="30" quotePrefix="1" applyNumberFormat="1" applyFont="1" applyFill="1" applyBorder="1" applyAlignment="1">
      <alignment horizontal="center"/>
    </xf>
    <xf numFmtId="0" fontId="3" fillId="0" borderId="11" xfId="30" applyFont="1" applyBorder="1"/>
    <xf numFmtId="3" fontId="16" fillId="0" borderId="0" xfId="30" applyNumberFormat="1" applyFont="1"/>
    <xf numFmtId="3" fontId="1" fillId="0" borderId="0" xfId="30" applyNumberFormat="1"/>
    <xf numFmtId="17" fontId="32" fillId="4" borderId="0" xfId="30" quotePrefix="1" applyNumberFormat="1" applyFont="1" applyFill="1" applyBorder="1" applyAlignment="1">
      <alignment horizontal="center"/>
    </xf>
    <xf numFmtId="44" fontId="12" fillId="4" borderId="0" xfId="30" applyNumberFormat="1" applyFont="1" applyFill="1" applyBorder="1" applyAlignment="1">
      <alignment horizontal="center"/>
    </xf>
    <xf numFmtId="0" fontId="32" fillId="4" borderId="0" xfId="30" applyFont="1" applyFill="1"/>
    <xf numFmtId="0" fontId="14" fillId="4" borderId="0" xfId="30" applyFont="1" applyFill="1" applyBorder="1" applyAlignment="1">
      <alignment horizontal="center"/>
    </xf>
    <xf numFmtId="3" fontId="32" fillId="4" borderId="0" xfId="30" applyNumberFormat="1" applyFont="1" applyFill="1" applyBorder="1"/>
    <xf numFmtId="3" fontId="14" fillId="4" borderId="0" xfId="30" applyNumberFormat="1" applyFont="1" applyFill="1"/>
    <xf numFmtId="0" fontId="14" fillId="4" borderId="0" xfId="30" applyFont="1" applyFill="1" applyBorder="1"/>
    <xf numFmtId="0" fontId="12" fillId="4" borderId="0" xfId="30" applyFont="1" applyFill="1" applyBorder="1"/>
    <xf numFmtId="0" fontId="1" fillId="4" borderId="0" xfId="10" applyNumberFormat="1" applyFont="1" applyFill="1" applyBorder="1"/>
    <xf numFmtId="0" fontId="16" fillId="4" borderId="0" xfId="30" applyFont="1" applyFill="1" applyBorder="1"/>
    <xf numFmtId="0" fontId="1" fillId="4" borderId="0" xfId="30" applyFill="1" applyBorder="1" applyAlignment="1">
      <alignment horizontal="center"/>
    </xf>
    <xf numFmtId="188" fontId="16" fillId="4" borderId="0" xfId="30" quotePrefix="1" applyNumberFormat="1" applyFont="1" applyFill="1" applyBorder="1" applyAlignment="1">
      <alignment horizontal="center"/>
    </xf>
    <xf numFmtId="0" fontId="16" fillId="4" borderId="0" xfId="30" applyFont="1" applyFill="1"/>
    <xf numFmtId="0" fontId="1" fillId="4" borderId="0" xfId="30" applyFill="1" applyAlignment="1">
      <alignment horizontal="center"/>
    </xf>
    <xf numFmtId="3" fontId="16" fillId="4" borderId="0" xfId="30" applyNumberFormat="1" applyFont="1" applyFill="1"/>
    <xf numFmtId="3" fontId="1" fillId="4" borderId="0" xfId="30" applyNumberFormat="1" applyFill="1"/>
    <xf numFmtId="0" fontId="1" fillId="4" borderId="0" xfId="30" applyFont="1" applyFill="1" applyBorder="1"/>
    <xf numFmtId="175" fontId="1" fillId="0" borderId="1" xfId="30" applyNumberFormat="1" applyFill="1" applyBorder="1" applyAlignment="1">
      <alignment horizontal="right"/>
    </xf>
    <xf numFmtId="0" fontId="1" fillId="4" borderId="0" xfId="30" applyFont="1" applyFill="1" applyAlignment="1">
      <alignment horizontal="center"/>
    </xf>
    <xf numFmtId="44" fontId="0" fillId="0" borderId="1" xfId="31" applyFont="1" applyFill="1" applyBorder="1"/>
    <xf numFmtId="175" fontId="0" fillId="0" borderId="1" xfId="31" applyNumberFormat="1" applyFont="1" applyFill="1" applyBorder="1"/>
    <xf numFmtId="165" fontId="1" fillId="0" borderId="1" xfId="30" applyNumberFormat="1" applyFill="1" applyBorder="1" applyAlignment="1">
      <alignment horizontal="right"/>
    </xf>
    <xf numFmtId="44" fontId="1" fillId="0" borderId="1" xfId="30" applyNumberFormat="1" applyFill="1" applyBorder="1" applyAlignment="1">
      <alignment horizontal="right"/>
    </xf>
    <xf numFmtId="3" fontId="16" fillId="4" borderId="0" xfId="30" applyNumberFormat="1" applyFont="1" applyFill="1" applyBorder="1"/>
    <xf numFmtId="0" fontId="1" fillId="0" borderId="1" xfId="30" applyFill="1" applyBorder="1" applyAlignment="1">
      <alignment horizontal="center"/>
    </xf>
    <xf numFmtId="176" fontId="1" fillId="0" borderId="0" xfId="30" applyNumberFormat="1"/>
    <xf numFmtId="0" fontId="15" fillId="0" borderId="11" xfId="30" applyFont="1" applyBorder="1"/>
    <xf numFmtId="0" fontId="12" fillId="0" borderId="11" xfId="30" applyFont="1" applyBorder="1"/>
    <xf numFmtId="0" fontId="6" fillId="0" borderId="11" xfId="30" applyFont="1" applyBorder="1"/>
    <xf numFmtId="0" fontId="17" fillId="0" borderId="0" xfId="30" applyFont="1"/>
    <xf numFmtId="3" fontId="3" fillId="0" borderId="0" xfId="30" applyNumberFormat="1" applyFont="1"/>
    <xf numFmtId="0" fontId="15" fillId="0" borderId="0" xfId="30" applyFont="1" applyBorder="1"/>
    <xf numFmtId="44" fontId="1" fillId="0" borderId="1" xfId="30" applyNumberFormat="1" applyBorder="1"/>
    <xf numFmtId="0" fontId="1" fillId="0" borderId="0" xfId="30" applyFont="1" applyAlignment="1">
      <alignment horizontal="center"/>
    </xf>
    <xf numFmtId="0" fontId="3" fillId="0" borderId="1" xfId="30" applyFont="1" applyFill="1" applyBorder="1" applyAlignment="1">
      <alignment horizontal="center"/>
    </xf>
    <xf numFmtId="0" fontId="1" fillId="0" borderId="0" xfId="30" applyBorder="1"/>
    <xf numFmtId="0" fontId="1" fillId="0" borderId="2" xfId="30" applyBorder="1" applyAlignment="1">
      <alignment horizontal="center"/>
    </xf>
    <xf numFmtId="0" fontId="1" fillId="0" borderId="8" xfId="30" applyBorder="1"/>
    <xf numFmtId="0" fontId="14" fillId="0" borderId="8" xfId="30" applyFont="1" applyBorder="1"/>
    <xf numFmtId="0" fontId="15" fillId="0" borderId="0" xfId="30" applyFont="1"/>
    <xf numFmtId="0" fontId="12" fillId="0" borderId="0" xfId="30" applyFont="1"/>
    <xf numFmtId="0" fontId="6" fillId="0" borderId="0" xfId="30" applyFont="1"/>
    <xf numFmtId="184" fontId="1" fillId="0" borderId="0" xfId="30" applyNumberFormat="1"/>
    <xf numFmtId="170" fontId="8" fillId="0" borderId="0" xfId="30" applyNumberFormat="1" applyFont="1"/>
    <xf numFmtId="0" fontId="6" fillId="0" borderId="0" xfId="30" applyFont="1" applyBorder="1"/>
    <xf numFmtId="0" fontId="1" fillId="0" borderId="0" xfId="30" applyBorder="1" applyAlignment="1">
      <alignment horizontal="right"/>
    </xf>
    <xf numFmtId="0" fontId="1" fillId="0" borderId="0" xfId="30" applyAlignment="1">
      <alignment horizontal="right"/>
    </xf>
    <xf numFmtId="0" fontId="13" fillId="0" borderId="0" xfId="30" applyFont="1"/>
    <xf numFmtId="0" fontId="12" fillId="0" borderId="0" xfId="30" applyFont="1" applyAlignment="1">
      <alignment horizontal="left"/>
    </xf>
    <xf numFmtId="14" fontId="1" fillId="0" borderId="0" xfId="30" applyNumberFormat="1"/>
    <xf numFmtId="168" fontId="15" fillId="0" borderId="0" xfId="30" applyNumberFormat="1" applyFont="1" applyAlignment="1">
      <alignment horizontal="left"/>
    </xf>
    <xf numFmtId="44" fontId="18" fillId="0" borderId="0" xfId="30" applyNumberFormat="1" applyFont="1" applyAlignment="1">
      <alignment horizontal="center"/>
    </xf>
    <xf numFmtId="176" fontId="8" fillId="0" borderId="0" xfId="0" quotePrefix="1" applyNumberFormat="1" applyFont="1" applyFill="1"/>
    <xf numFmtId="0" fontId="3" fillId="0" borderId="1" xfId="30" applyFont="1" applyBorder="1" applyAlignment="1">
      <alignment horizontal="center"/>
    </xf>
    <xf numFmtId="0" fontId="14" fillId="0" borderId="11" xfId="30" applyFont="1" applyBorder="1"/>
    <xf numFmtId="0" fontId="16" fillId="0" borderId="0" xfId="30" applyFont="1" applyAlignment="1">
      <alignment vertical="center" wrapText="1"/>
    </xf>
    <xf numFmtId="0" fontId="17" fillId="0" borderId="0" xfId="30" applyFont="1" applyAlignment="1">
      <alignment vertical="center" wrapText="1"/>
    </xf>
    <xf numFmtId="0" fontId="52" fillId="0" borderId="0" xfId="30" applyFont="1" applyAlignment="1">
      <alignment vertical="center"/>
    </xf>
    <xf numFmtId="0" fontId="17" fillId="4" borderId="0" xfId="30" applyFont="1" applyFill="1" applyAlignment="1">
      <alignment vertical="center" wrapText="1"/>
    </xf>
    <xf numFmtId="0" fontId="16" fillId="4" borderId="0" xfId="30" applyFont="1" applyFill="1" applyAlignment="1">
      <alignment vertical="center" wrapText="1"/>
    </xf>
    <xf numFmtId="0" fontId="9" fillId="0" borderId="0" xfId="0" applyFont="1" applyFill="1" applyAlignment="1">
      <alignment horizontal="left"/>
    </xf>
    <xf numFmtId="3" fontId="47" fillId="0" borderId="1" xfId="0" applyNumberFormat="1" applyFont="1" applyBorder="1" applyProtection="1">
      <protection locked="0"/>
    </xf>
    <xf numFmtId="0" fontId="3" fillId="0" borderId="0" xfId="0" applyFont="1" applyBorder="1" applyAlignment="1">
      <alignment horizontal="center"/>
    </xf>
    <xf numFmtId="175" fontId="1" fillId="0" borderId="0" xfId="10" applyNumberFormat="1" applyFill="1" applyBorder="1"/>
    <xf numFmtId="173" fontId="1" fillId="0" borderId="0" xfId="10" applyNumberFormat="1" applyFill="1" applyBorder="1"/>
    <xf numFmtId="171" fontId="1" fillId="0" borderId="0" xfId="21" applyNumberFormat="1" applyFont="1" applyFill="1" applyBorder="1" applyAlignment="1">
      <alignment horizontal="right"/>
    </xf>
    <xf numFmtId="165" fontId="2" fillId="0" borderId="0" xfId="0" applyNumberFormat="1" applyFont="1" applyBorder="1" applyAlignment="1">
      <alignment horizontal="center"/>
    </xf>
    <xf numFmtId="171" fontId="2" fillId="0" borderId="0" xfId="21" applyNumberFormat="1" applyFont="1" applyBorder="1" applyAlignment="1">
      <alignment horizontal="center"/>
    </xf>
    <xf numFmtId="0" fontId="43" fillId="0" borderId="0" xfId="0" applyFont="1" applyBorder="1" applyAlignment="1">
      <alignment horizontal="center"/>
    </xf>
    <xf numFmtId="0" fontId="43" fillId="0" borderId="0" xfId="0" applyFont="1" applyFill="1" applyBorder="1" applyAlignment="1">
      <alignment horizontal="center"/>
    </xf>
    <xf numFmtId="14" fontId="0" fillId="0" borderId="0" xfId="0" applyNumberFormat="1" applyBorder="1"/>
    <xf numFmtId="0" fontId="0" fillId="0" borderId="0" xfId="0" applyFill="1" applyBorder="1" applyAlignment="1">
      <alignment horizontal="center" vertical="center"/>
    </xf>
    <xf numFmtId="175" fontId="0" fillId="0" borderId="0" xfId="0" applyNumberFormat="1" applyFill="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xf numFmtId="44" fontId="1" fillId="0" borderId="0" xfId="10" applyNumberFormat="1" applyFill="1" applyBorder="1"/>
    <xf numFmtId="0" fontId="9" fillId="0" borderId="0" xfId="0" applyFont="1" applyBorder="1" applyAlignment="1">
      <alignment horizontal="center"/>
    </xf>
    <xf numFmtId="165" fontId="1" fillId="0" borderId="0" xfId="21" applyNumberFormat="1" applyFill="1" applyBorder="1"/>
    <xf numFmtId="44" fontId="0" fillId="0" borderId="0" xfId="10" applyFont="1" applyFill="1" applyBorder="1"/>
    <xf numFmtId="175" fontId="1" fillId="0" borderId="0" xfId="10" applyNumberFormat="1" applyBorder="1"/>
    <xf numFmtId="187" fontId="6" fillId="0" borderId="0" xfId="10" applyNumberFormat="1" applyFont="1" applyBorder="1" applyAlignment="1">
      <alignment horizontal="center"/>
    </xf>
    <xf numFmtId="165" fontId="0" fillId="0" borderId="0" xfId="21" applyNumberFormat="1" applyFont="1" applyBorder="1"/>
    <xf numFmtId="44" fontId="0" fillId="0" borderId="0" xfId="10" applyFont="1" applyBorder="1"/>
    <xf numFmtId="168" fontId="15" fillId="0" borderId="0" xfId="0" applyNumberFormat="1" applyFont="1" applyAlignment="1">
      <alignment horizontal="left"/>
    </xf>
    <xf numFmtId="0" fontId="3" fillId="0" borderId="1" xfId="0" applyFont="1" applyBorder="1" applyAlignment="1">
      <alignment horizontal="center"/>
    </xf>
    <xf numFmtId="165" fontId="1" fillId="0" borderId="0" xfId="21" applyNumberFormat="1" applyFont="1" applyFill="1" applyBorder="1"/>
    <xf numFmtId="14" fontId="1" fillId="0" borderId="0" xfId="0" applyNumberFormat="1" applyFont="1" applyFill="1" applyBorder="1"/>
    <xf numFmtId="175" fontId="1" fillId="0" borderId="0" xfId="31" applyNumberFormat="1" applyFill="1" applyBorder="1"/>
    <xf numFmtId="175" fontId="1" fillId="0" borderId="0" xfId="31" applyNumberFormat="1" applyFont="1" applyFill="1" applyBorder="1"/>
    <xf numFmtId="175" fontId="42" fillId="0" borderId="0" xfId="10" applyNumberFormat="1" applyFont="1" applyFill="1" applyBorder="1"/>
    <xf numFmtId="168" fontId="15" fillId="0" borderId="0" xfId="0" applyNumberFormat="1" applyFont="1" applyAlignment="1">
      <alignment horizontal="left"/>
    </xf>
    <xf numFmtId="0" fontId="15" fillId="4" borderId="0" xfId="0" applyFont="1" applyFill="1" applyBorder="1"/>
    <xf numFmtId="0" fontId="1" fillId="4" borderId="20" xfId="0" applyFont="1" applyFill="1" applyBorder="1"/>
    <xf numFmtId="3" fontId="0" fillId="4" borderId="0" xfId="0" applyNumberFormat="1" applyFill="1" applyBorder="1"/>
    <xf numFmtId="44" fontId="1" fillId="0" borderId="1" xfId="10" applyFont="1" applyBorder="1" applyAlignment="1">
      <alignment horizontal="center"/>
    </xf>
    <xf numFmtId="175" fontId="1" fillId="0" borderId="1" xfId="10" applyNumberFormat="1" applyFont="1" applyBorder="1" applyAlignment="1">
      <alignment horizontal="center"/>
    </xf>
    <xf numFmtId="14" fontId="0" fillId="0" borderId="1" xfId="0" applyNumberFormat="1" applyBorder="1"/>
    <xf numFmtId="44" fontId="1" fillId="0" borderId="1" xfId="10" applyFont="1" applyFill="1" applyBorder="1" applyAlignment="1">
      <alignment horizontal="center"/>
    </xf>
    <xf numFmtId="168" fontId="15" fillId="0" borderId="0" xfId="0" applyNumberFormat="1" applyFont="1" applyAlignment="1">
      <alignment horizontal="left"/>
    </xf>
    <xf numFmtId="0" fontId="15" fillId="4" borderId="0" xfId="0" applyFont="1" applyFill="1" applyBorder="1"/>
    <xf numFmtId="174" fontId="0" fillId="0" borderId="0" xfId="10" applyNumberFormat="1" applyFont="1" applyFill="1" applyBorder="1"/>
    <xf numFmtId="3" fontId="0" fillId="6" borderId="0" xfId="0" applyNumberFormat="1" applyFill="1" applyBorder="1"/>
    <xf numFmtId="7" fontId="3" fillId="6" borderId="0" xfId="10" applyNumberFormat="1" applyFont="1" applyFill="1" applyBorder="1"/>
    <xf numFmtId="44" fontId="18" fillId="6" borderId="0" xfId="0" applyNumberFormat="1" applyFont="1" applyFill="1" applyAlignment="1">
      <alignment horizontal="center"/>
    </xf>
    <xf numFmtId="0" fontId="0" fillId="6" borderId="0" xfId="0" applyFill="1"/>
    <xf numFmtId="168" fontId="15" fillId="6" borderId="0" xfId="0" applyNumberFormat="1" applyFont="1" applyFill="1" applyAlignment="1">
      <alignment horizontal="left"/>
    </xf>
    <xf numFmtId="0" fontId="2" fillId="6" borderId="0" xfId="0" applyFont="1" applyFill="1" applyBorder="1"/>
    <xf numFmtId="0" fontId="0" fillId="6" borderId="0" xfId="0" applyFill="1" applyBorder="1"/>
    <xf numFmtId="0" fontId="12" fillId="6" borderId="0" xfId="0" applyFont="1" applyFill="1"/>
    <xf numFmtId="0" fontId="13" fillId="6" borderId="0" xfId="0" applyFont="1" applyFill="1"/>
    <xf numFmtId="0" fontId="9" fillId="6" borderId="0" xfId="0" applyFont="1" applyFill="1"/>
    <xf numFmtId="14" fontId="0" fillId="6" borderId="0" xfId="0" applyNumberFormat="1" applyFill="1"/>
    <xf numFmtId="0" fontId="12" fillId="6" borderId="0" xfId="0" applyFont="1" applyFill="1" applyAlignment="1">
      <alignment horizontal="left"/>
    </xf>
    <xf numFmtId="0" fontId="34" fillId="6" borderId="0" xfId="0" applyFont="1" applyFill="1"/>
    <xf numFmtId="0" fontId="9" fillId="6" borderId="0" xfId="0" applyFont="1" applyFill="1" applyBorder="1" applyAlignment="1">
      <alignment horizontal="left"/>
    </xf>
    <xf numFmtId="0" fontId="9" fillId="6" borderId="0" xfId="0" applyFont="1" applyFill="1" applyAlignment="1">
      <alignment horizontal="left"/>
    </xf>
    <xf numFmtId="0" fontId="3" fillId="6" borderId="11" xfId="0" applyFont="1" applyFill="1" applyBorder="1"/>
    <xf numFmtId="0" fontId="3" fillId="6" borderId="11" xfId="0" applyFont="1" applyFill="1" applyBorder="1" applyAlignment="1">
      <alignment horizontal="center"/>
    </xf>
    <xf numFmtId="0" fontId="14" fillId="6" borderId="8" xfId="0" applyFont="1" applyFill="1" applyBorder="1"/>
    <xf numFmtId="0" fontId="0" fillId="6" borderId="8" xfId="0" applyFill="1" applyBorder="1"/>
    <xf numFmtId="0" fontId="15" fillId="6" borderId="0" xfId="0" applyFont="1" applyFill="1"/>
    <xf numFmtId="3" fontId="8" fillId="6" borderId="0" xfId="0" applyNumberFormat="1" applyFont="1" applyFill="1"/>
    <xf numFmtId="0" fontId="6" fillId="6" borderId="0" xfId="0" applyFont="1" applyFill="1"/>
    <xf numFmtId="0" fontId="48" fillId="6" borderId="0" xfId="0" applyFont="1" applyFill="1"/>
    <xf numFmtId="44" fontId="8" fillId="6" borderId="0" xfId="10" applyNumberFormat="1" applyFont="1" applyFill="1"/>
    <xf numFmtId="0" fontId="0" fillId="6" borderId="2" xfId="0" applyFill="1" applyBorder="1" applyAlignment="1">
      <alignment horizontal="center"/>
    </xf>
    <xf numFmtId="0" fontId="0" fillId="6" borderId="1" xfId="0" applyFill="1" applyBorder="1" applyAlignment="1">
      <alignment horizontal="center"/>
    </xf>
    <xf numFmtId="0" fontId="3" fillId="6" borderId="1" xfId="0" applyFont="1" applyFill="1" applyBorder="1" applyAlignment="1">
      <alignment horizontal="center"/>
    </xf>
    <xf numFmtId="0" fontId="2" fillId="6" borderId="0" xfId="0" applyFont="1" applyFill="1" applyAlignment="1">
      <alignment horizontal="center"/>
    </xf>
    <xf numFmtId="44" fontId="0" fillId="6" borderId="1" xfId="10" applyNumberFormat="1" applyFont="1" applyFill="1" applyBorder="1"/>
    <xf numFmtId="44" fontId="0" fillId="6" borderId="1" xfId="0" applyNumberFormat="1" applyFill="1" applyBorder="1"/>
    <xf numFmtId="44" fontId="0" fillId="6" borderId="1" xfId="10" applyFont="1" applyFill="1" applyBorder="1"/>
    <xf numFmtId="14" fontId="16" fillId="6" borderId="0" xfId="0" quotePrefix="1" applyNumberFormat="1" applyFont="1" applyFill="1" applyBorder="1" applyAlignment="1">
      <alignment horizontal="center"/>
    </xf>
    <xf numFmtId="0" fontId="2" fillId="6" borderId="0" xfId="0" applyFont="1" applyFill="1"/>
    <xf numFmtId="3" fontId="0" fillId="6" borderId="0" xfId="0" applyNumberFormat="1" applyFill="1"/>
    <xf numFmtId="3" fontId="16" fillId="6" borderId="0" xfId="0" applyNumberFormat="1" applyFont="1" applyFill="1"/>
    <xf numFmtId="0" fontId="0" fillId="6" borderId="0" xfId="0" applyFill="1" applyAlignment="1">
      <alignment horizontal="center"/>
    </xf>
    <xf numFmtId="175" fontId="0" fillId="6" borderId="1" xfId="10" applyNumberFormat="1" applyFont="1" applyFill="1" applyBorder="1"/>
    <xf numFmtId="0" fontId="16" fillId="6" borderId="0" xfId="0" applyFont="1" applyFill="1"/>
    <xf numFmtId="0" fontId="3" fillId="6" borderId="0" xfId="0" applyFont="1" applyFill="1"/>
    <xf numFmtId="3" fontId="3" fillId="6" borderId="0" xfId="0" applyNumberFormat="1" applyFont="1" applyFill="1"/>
    <xf numFmtId="0" fontId="17" fillId="6" borderId="0" xfId="0" applyFont="1" applyFill="1"/>
    <xf numFmtId="44" fontId="3" fillId="6" borderId="0" xfId="10" applyFont="1" applyFill="1"/>
    <xf numFmtId="0" fontId="15" fillId="6" borderId="11" xfId="0" applyFont="1" applyFill="1" applyBorder="1"/>
    <xf numFmtId="0" fontId="6" fillId="6" borderId="11" xfId="0" applyFont="1" applyFill="1" applyBorder="1"/>
    <xf numFmtId="0" fontId="12" fillId="6" borderId="11" xfId="0" applyFont="1" applyFill="1" applyBorder="1"/>
    <xf numFmtId="0" fontId="14" fillId="6" borderId="0" xfId="0" applyFont="1" applyFill="1" applyBorder="1"/>
    <xf numFmtId="0" fontId="3" fillId="6" borderId="0" xfId="0" applyFont="1" applyFill="1" applyBorder="1"/>
    <xf numFmtId="3" fontId="3" fillId="6" borderId="0" xfId="0" applyNumberFormat="1" applyFont="1" applyFill="1" applyBorder="1"/>
    <xf numFmtId="0" fontId="0" fillId="6" borderId="0" xfId="0" applyNumberFormat="1" applyFill="1" applyBorder="1" applyAlignment="1">
      <alignment horizontal="center"/>
    </xf>
    <xf numFmtId="0" fontId="0" fillId="6" borderId="0" xfId="0" applyNumberFormat="1" applyFill="1" applyAlignment="1">
      <alignment horizontal="center"/>
    </xf>
    <xf numFmtId="0" fontId="1" fillId="6" borderId="0" xfId="0" applyFont="1" applyFill="1" applyBorder="1"/>
    <xf numFmtId="0" fontId="31" fillId="6" borderId="0" xfId="0" applyFont="1" applyFill="1" applyBorder="1"/>
    <xf numFmtId="166" fontId="1" fillId="6" borderId="1" xfId="10" applyNumberFormat="1" applyFill="1" applyBorder="1"/>
    <xf numFmtId="177" fontId="1" fillId="6" borderId="1" xfId="10" applyNumberFormat="1" applyFill="1" applyBorder="1"/>
    <xf numFmtId="171" fontId="0" fillId="6" borderId="1" xfId="0" applyNumberFormat="1" applyFill="1" applyBorder="1" applyAlignment="1">
      <alignment horizontal="right"/>
    </xf>
    <xf numFmtId="175" fontId="0" fillId="6" borderId="1" xfId="0" applyNumberFormat="1" applyFill="1" applyBorder="1" applyAlignment="1">
      <alignment horizontal="right"/>
    </xf>
    <xf numFmtId="0" fontId="0" fillId="6" borderId="0" xfId="0" applyFont="1" applyFill="1" applyBorder="1"/>
    <xf numFmtId="3" fontId="16" fillId="6" borderId="0" xfId="0" applyNumberFormat="1" applyFont="1" applyFill="1" applyBorder="1"/>
    <xf numFmtId="181" fontId="1" fillId="6" borderId="1" xfId="10" applyNumberFormat="1" applyFill="1" applyBorder="1"/>
    <xf numFmtId="44" fontId="0" fillId="6" borderId="1" xfId="0" applyNumberFormat="1" applyFill="1" applyBorder="1" applyAlignment="1">
      <alignment horizontal="right"/>
    </xf>
    <xf numFmtId="169" fontId="1" fillId="6" borderId="1" xfId="10" applyNumberFormat="1" applyFill="1" applyBorder="1"/>
    <xf numFmtId="165" fontId="0" fillId="6" borderId="1" xfId="0" applyNumberFormat="1" applyFill="1" applyBorder="1" applyAlignment="1">
      <alignment horizontal="right"/>
    </xf>
    <xf numFmtId="165" fontId="1" fillId="6" borderId="1" xfId="21" applyNumberFormat="1" applyFill="1" applyBorder="1" applyAlignment="1">
      <alignment horizontal="center"/>
    </xf>
    <xf numFmtId="0" fontId="0" fillId="6" borderId="0" xfId="0" applyFill="1" applyBorder="1" applyAlignment="1">
      <alignment horizontal="center"/>
    </xf>
    <xf numFmtId="7" fontId="0" fillId="6" borderId="1" xfId="0" applyNumberFormat="1" applyFill="1" applyBorder="1" applyAlignment="1">
      <alignment horizontal="right"/>
    </xf>
    <xf numFmtId="7" fontId="1" fillId="6" borderId="1" xfId="10" applyNumberFormat="1" applyFill="1" applyBorder="1"/>
    <xf numFmtId="175" fontId="1" fillId="6" borderId="1" xfId="10" applyNumberFormat="1" applyFill="1" applyBorder="1"/>
    <xf numFmtId="175" fontId="0" fillId="6" borderId="1" xfId="10" applyNumberFormat="1" applyFont="1" applyFill="1" applyBorder="1" applyAlignment="1">
      <alignment horizontal="right"/>
    </xf>
    <xf numFmtId="175" fontId="0" fillId="6" borderId="1" xfId="12" applyNumberFormat="1" applyFont="1" applyFill="1" applyBorder="1"/>
    <xf numFmtId="44" fontId="0" fillId="6" borderId="1" xfId="12" applyFont="1" applyFill="1" applyBorder="1"/>
    <xf numFmtId="188" fontId="16" fillId="6" borderId="0" xfId="0" quotePrefix="1" applyNumberFormat="1" applyFont="1" applyFill="1" applyBorder="1" applyAlignment="1">
      <alignment horizontal="center"/>
    </xf>
    <xf numFmtId="0" fontId="12" fillId="6" borderId="0" xfId="0" applyFont="1" applyFill="1" applyBorder="1"/>
    <xf numFmtId="3" fontId="14" fillId="6" borderId="0" xfId="0" applyNumberFormat="1" applyFont="1" applyFill="1"/>
    <xf numFmtId="3" fontId="32" fillId="6" borderId="0" xfId="0" applyNumberFormat="1" applyFont="1" applyFill="1" applyBorder="1"/>
    <xf numFmtId="0" fontId="14" fillId="6" borderId="0" xfId="0" applyFont="1" applyFill="1" applyBorder="1" applyAlignment="1">
      <alignment horizontal="center"/>
    </xf>
    <xf numFmtId="0" fontId="32" fillId="6" borderId="0" xfId="0" applyFont="1" applyFill="1"/>
    <xf numFmtId="44" fontId="12" fillId="6" borderId="0" xfId="0" applyNumberFormat="1" applyFont="1" applyFill="1" applyBorder="1" applyAlignment="1">
      <alignment horizontal="center"/>
    </xf>
    <xf numFmtId="17" fontId="32" fillId="6" borderId="0" xfId="0" quotePrefix="1" applyNumberFormat="1" applyFont="1" applyFill="1" applyBorder="1" applyAlignment="1">
      <alignment horizontal="center"/>
    </xf>
    <xf numFmtId="175" fontId="1" fillId="6" borderId="0" xfId="10" applyNumberFormat="1" applyFill="1" applyBorder="1"/>
    <xf numFmtId="17" fontId="16" fillId="6" borderId="0" xfId="0" quotePrefix="1" applyNumberFormat="1" applyFont="1" applyFill="1" applyBorder="1" applyAlignment="1">
      <alignment horizontal="center"/>
    </xf>
    <xf numFmtId="0" fontId="14" fillId="6" borderId="11" xfId="0" applyFont="1" applyFill="1" applyBorder="1"/>
    <xf numFmtId="44" fontId="14" fillId="6" borderId="11" xfId="0" applyNumberFormat="1" applyFont="1" applyFill="1" applyBorder="1" applyAlignment="1">
      <alignment horizontal="center"/>
    </xf>
    <xf numFmtId="44" fontId="14" fillId="6" borderId="11" xfId="10" applyNumberFormat="1" applyFont="1" applyFill="1" applyBorder="1"/>
    <xf numFmtId="44" fontId="1" fillId="6" borderId="0" xfId="10" applyFill="1" applyBorder="1"/>
    <xf numFmtId="44" fontId="14" fillId="6" borderId="0" xfId="10" applyFont="1" applyFill="1" applyBorder="1"/>
    <xf numFmtId="39" fontId="3" fillId="6" borderId="0" xfId="0" applyNumberFormat="1" applyFont="1" applyFill="1"/>
    <xf numFmtId="170" fontId="3" fillId="6" borderId="0" xfId="21" applyNumberFormat="1" applyFont="1" applyFill="1"/>
    <xf numFmtId="0" fontId="45" fillId="6" borderId="0" xfId="0" applyFont="1" applyFill="1" applyAlignment="1">
      <alignment horizontal="left"/>
    </xf>
    <xf numFmtId="39" fontId="45" fillId="6" borderId="0" xfId="0" applyNumberFormat="1" applyFont="1" applyFill="1"/>
    <xf numFmtId="17" fontId="21" fillId="2" borderId="11" xfId="0" applyNumberFormat="1" applyFont="1" applyFill="1" applyBorder="1" applyAlignment="1"/>
    <xf numFmtId="17" fontId="21" fillId="2" borderId="11" xfId="0" applyNumberFormat="1" applyFont="1" applyFill="1" applyBorder="1" applyAlignment="1">
      <alignment horizontal="center"/>
    </xf>
    <xf numFmtId="0" fontId="6" fillId="2" borderId="0" xfId="0" applyFont="1" applyFill="1" applyBorder="1"/>
    <xf numFmtId="0" fontId="0" fillId="6" borderId="0" xfId="0" applyFill="1" applyAlignment="1">
      <alignment horizontal="right"/>
    </xf>
    <xf numFmtId="183" fontId="0" fillId="6" borderId="0" xfId="0" applyNumberFormat="1" applyFill="1" applyBorder="1"/>
    <xf numFmtId="165" fontId="1" fillId="6" borderId="0" xfId="21" applyNumberFormat="1" applyFill="1" applyBorder="1"/>
    <xf numFmtId="0" fontId="16" fillId="6" borderId="0" xfId="0" applyFont="1" applyFill="1" applyBorder="1"/>
    <xf numFmtId="0" fontId="2" fillId="6" borderId="0" xfId="10" applyNumberFormat="1" applyFont="1" applyFill="1" applyBorder="1"/>
    <xf numFmtId="175" fontId="1" fillId="6" borderId="0" xfId="10" applyNumberFormat="1" applyFont="1" applyFill="1" applyBorder="1"/>
    <xf numFmtId="44" fontId="3" fillId="6" borderId="0" xfId="10" applyFont="1" applyFill="1" applyBorder="1"/>
    <xf numFmtId="44" fontId="2" fillId="0" borderId="0" xfId="10" applyNumberFormat="1" applyFont="1" applyFill="1" applyBorder="1" applyAlignment="1">
      <alignment horizontal="center" vertical="center"/>
    </xf>
    <xf numFmtId="44" fontId="0" fillId="0" borderId="0" xfId="10" applyNumberFormat="1" applyFont="1" applyFill="1" applyBorder="1" applyAlignment="1">
      <alignment horizontal="center" vertical="center"/>
    </xf>
    <xf numFmtId="44" fontId="0" fillId="0" borderId="0" xfId="0" applyNumberFormat="1" applyFill="1" applyBorder="1" applyAlignment="1">
      <alignment horizontal="center" vertical="center"/>
    </xf>
    <xf numFmtId="175" fontId="2" fillId="0" borderId="0" xfId="10" applyNumberFormat="1" applyFont="1" applyFill="1" applyBorder="1" applyAlignment="1">
      <alignment horizontal="center" vertical="center"/>
    </xf>
    <xf numFmtId="175" fontId="0" fillId="0" borderId="0" xfId="10" applyNumberFormat="1" applyFont="1" applyFill="1" applyBorder="1" applyAlignment="1">
      <alignment horizontal="center" vertical="center"/>
    </xf>
    <xf numFmtId="165" fontId="2" fillId="0" borderId="0" xfId="21" applyNumberFormat="1" applyFont="1" applyFill="1" applyBorder="1" applyAlignment="1">
      <alignment horizontal="center"/>
    </xf>
    <xf numFmtId="14" fontId="1" fillId="0" borderId="0" xfId="0" applyNumberFormat="1" applyFont="1" applyAlignment="1">
      <alignment horizontal="right"/>
    </xf>
    <xf numFmtId="175" fontId="1" fillId="0" borderId="15" xfId="10" applyNumberFormat="1" applyFont="1" applyBorder="1" applyAlignment="1">
      <alignment horizontal="center"/>
    </xf>
    <xf numFmtId="175" fontId="1" fillId="0" borderId="15" xfId="10" applyNumberFormat="1" applyFont="1" applyFill="1" applyBorder="1" applyAlignment="1">
      <alignment horizontal="center"/>
    </xf>
    <xf numFmtId="175" fontId="2" fillId="0" borderId="0" xfId="10" applyNumberFormat="1" applyFont="1" applyFill="1" applyBorder="1" applyAlignment="1">
      <alignment horizontal="center"/>
    </xf>
    <xf numFmtId="165" fontId="42" fillId="0" borderId="0" xfId="22" applyNumberFormat="1" applyFill="1" applyBorder="1"/>
    <xf numFmtId="44" fontId="1" fillId="0" borderId="0" xfId="10" applyFont="1" applyBorder="1" applyAlignment="1">
      <alignment horizontal="center"/>
    </xf>
    <xf numFmtId="44" fontId="1" fillId="0" borderId="0" xfId="10" applyFont="1" applyFill="1" applyBorder="1" applyAlignment="1">
      <alignment horizontal="center"/>
    </xf>
    <xf numFmtId="7" fontId="2" fillId="0" borderId="1" xfId="0" applyNumberFormat="1" applyFont="1" applyBorder="1" applyAlignment="1">
      <alignment horizontal="center"/>
    </xf>
    <xf numFmtId="0" fontId="7" fillId="2" borderId="0" xfId="0" applyFont="1" applyFill="1" applyAlignment="1">
      <alignment horizontal="center"/>
    </xf>
    <xf numFmtId="0" fontId="22" fillId="2" borderId="0" xfId="0" applyFont="1" applyFill="1" applyAlignment="1">
      <alignment vertical="center" wrapText="1"/>
    </xf>
    <xf numFmtId="0" fontId="26" fillId="2" borderId="0" xfId="0" applyFont="1" applyFill="1" applyAlignment="1">
      <alignment horizontal="center"/>
    </xf>
    <xf numFmtId="0" fontId="27" fillId="2" borderId="0" xfId="0" applyFont="1" applyFill="1" applyAlignment="1">
      <alignment horizontal="center"/>
    </xf>
    <xf numFmtId="0" fontId="3" fillId="2" borderId="0" xfId="0" applyFont="1" applyFill="1" applyAlignment="1">
      <alignment horizontal="center"/>
    </xf>
    <xf numFmtId="0" fontId="0" fillId="2" borderId="0" xfId="0" applyFill="1" applyAlignment="1">
      <alignment horizontal="center"/>
    </xf>
    <xf numFmtId="0" fontId="8" fillId="2" borderId="0" xfId="0" applyFont="1" applyFill="1"/>
    <xf numFmtId="0" fontId="6" fillId="0" borderId="1" xfId="0" applyFont="1" applyFill="1" applyBorder="1" applyAlignment="1" applyProtection="1">
      <alignment horizontal="left"/>
      <protection locked="0"/>
    </xf>
    <xf numFmtId="44" fontId="33" fillId="0" borderId="14" xfId="10" applyFont="1" applyFill="1" applyBorder="1" applyProtection="1">
      <protection locked="0"/>
    </xf>
    <xf numFmtId="44" fontId="33" fillId="0" borderId="13" xfId="10" applyFont="1" applyFill="1" applyBorder="1" applyProtection="1">
      <protection locked="0"/>
    </xf>
    <xf numFmtId="44" fontId="33" fillId="0" borderId="15" xfId="10" applyFont="1" applyFill="1" applyBorder="1" applyProtection="1">
      <protection locked="0"/>
    </xf>
    <xf numFmtId="0" fontId="6" fillId="0" borderId="14" xfId="0" applyFont="1" applyFill="1" applyBorder="1" applyAlignment="1" applyProtection="1">
      <alignment horizontal="left"/>
      <protection locked="0"/>
    </xf>
    <xf numFmtId="0" fontId="6" fillId="0" borderId="13"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24" fillId="0" borderId="0" xfId="0" applyFont="1" applyAlignment="1">
      <alignment vertical="center" wrapText="1"/>
    </xf>
    <xf numFmtId="0" fontId="6" fillId="0" borderId="0" xfId="0" applyFont="1" applyBorder="1" applyAlignment="1">
      <alignment horizontal="center"/>
    </xf>
    <xf numFmtId="0" fontId="10" fillId="4" borderId="0" xfId="0" applyFont="1" applyFill="1" applyAlignment="1">
      <alignment horizontal="center"/>
    </xf>
    <xf numFmtId="44" fontId="29" fillId="0" borderId="0" xfId="0" applyNumberFormat="1" applyFont="1" applyAlignment="1">
      <alignment horizontal="center"/>
    </xf>
    <xf numFmtId="0" fontId="3" fillId="4" borderId="14" xfId="0" applyFont="1" applyFill="1" applyBorder="1" applyAlignment="1">
      <alignment horizontal="center"/>
    </xf>
    <xf numFmtId="0" fontId="0" fillId="0" borderId="13" xfId="0" applyBorder="1"/>
    <xf numFmtId="0" fontId="0" fillId="0" borderId="15" xfId="0" applyBorder="1"/>
    <xf numFmtId="0" fontId="0" fillId="4" borderId="14" xfId="0" applyFill="1" applyBorder="1" applyAlignment="1">
      <alignment horizontal="center"/>
    </xf>
    <xf numFmtId="0" fontId="0" fillId="4" borderId="13" xfId="0" applyFill="1" applyBorder="1" applyAlignment="1">
      <alignment horizontal="center"/>
    </xf>
    <xf numFmtId="0" fontId="0" fillId="4" borderId="15" xfId="0" applyFill="1" applyBorder="1" applyAlignment="1">
      <alignment horizontal="center"/>
    </xf>
    <xf numFmtId="168" fontId="15" fillId="0" borderId="0" xfId="0" applyNumberFormat="1" applyFont="1" applyAlignment="1">
      <alignment horizontal="left"/>
    </xf>
    <xf numFmtId="0" fontId="11" fillId="0" borderId="0" xfId="0" applyFont="1" applyAlignment="1">
      <alignment horizontal="center" vertical="center"/>
    </xf>
    <xf numFmtId="0" fontId="14" fillId="0" borderId="11" xfId="0" applyFont="1" applyBorder="1"/>
    <xf numFmtId="0" fontId="0" fillId="0" borderId="14"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3" fillId="0" borderId="1" xfId="0" applyFont="1" applyBorder="1" applyAlignment="1">
      <alignment horizontal="center"/>
    </xf>
    <xf numFmtId="0" fontId="10" fillId="0" borderId="0" xfId="0" applyFont="1" applyAlignment="1">
      <alignment horizontal="center"/>
    </xf>
    <xf numFmtId="0" fontId="11" fillId="0" borderId="0" xfId="0" applyFont="1" applyAlignment="1">
      <alignment horizontal="center"/>
    </xf>
    <xf numFmtId="0" fontId="35" fillId="0" borderId="0" xfId="0" applyFont="1" applyBorder="1" applyAlignment="1">
      <alignment horizontal="center"/>
    </xf>
    <xf numFmtId="168" fontId="15" fillId="0" borderId="0" xfId="0" applyNumberFormat="1" applyFont="1" applyAlignment="1">
      <alignment horizontal="center"/>
    </xf>
    <xf numFmtId="0" fontId="15" fillId="4" borderId="0" xfId="0" applyFont="1" applyFill="1" applyBorder="1"/>
    <xf numFmtId="0" fontId="0" fillId="6" borderId="14" xfId="0" applyFill="1" applyBorder="1" applyAlignment="1">
      <alignment horizontal="center"/>
    </xf>
    <xf numFmtId="0" fontId="0" fillId="6" borderId="13" xfId="0" applyFill="1" applyBorder="1" applyAlignment="1">
      <alignment horizontal="center"/>
    </xf>
    <xf numFmtId="0" fontId="0" fillId="6" borderId="15" xfId="0" applyFill="1" applyBorder="1" applyAlignment="1">
      <alignment horizontal="center"/>
    </xf>
    <xf numFmtId="0" fontId="3" fillId="6" borderId="1" xfId="0" applyFont="1" applyFill="1" applyBorder="1" applyAlignment="1">
      <alignment horizontal="center"/>
    </xf>
    <xf numFmtId="0" fontId="10" fillId="6" borderId="0" xfId="0" applyFont="1" applyFill="1" applyAlignment="1">
      <alignment horizontal="center"/>
    </xf>
    <xf numFmtId="0" fontId="11" fillId="6" borderId="0" xfId="0" applyFont="1" applyFill="1" applyAlignment="1">
      <alignment horizontal="center"/>
    </xf>
    <xf numFmtId="44" fontId="29" fillId="6" borderId="0" xfId="0" applyNumberFormat="1" applyFont="1" applyFill="1" applyAlignment="1">
      <alignment horizontal="center"/>
    </xf>
    <xf numFmtId="0" fontId="35" fillId="6" borderId="0" xfId="0" applyFont="1" applyFill="1" applyBorder="1" applyAlignment="1">
      <alignment horizontal="center"/>
    </xf>
    <xf numFmtId="0" fontId="14" fillId="6" borderId="11" xfId="0" applyFont="1" applyFill="1" applyBorder="1"/>
    <xf numFmtId="0" fontId="10" fillId="4" borderId="0" xfId="30" applyFont="1" applyFill="1" applyAlignment="1">
      <alignment horizontal="center"/>
    </xf>
    <xf numFmtId="0" fontId="35" fillId="0" borderId="0" xfId="30" applyFont="1" applyBorder="1" applyAlignment="1">
      <alignment horizontal="center"/>
    </xf>
    <xf numFmtId="0" fontId="8" fillId="0" borderId="0" xfId="30" applyFont="1" applyAlignment="1">
      <alignment vertical="center" wrapText="1"/>
    </xf>
    <xf numFmtId="0" fontId="15" fillId="4" borderId="0" xfId="30" applyFont="1" applyFill="1" applyBorder="1"/>
    <xf numFmtId="0" fontId="1" fillId="0" borderId="14" xfId="30" applyBorder="1" applyAlignment="1">
      <alignment horizontal="center"/>
    </xf>
    <xf numFmtId="0" fontId="1" fillId="0" borderId="13" xfId="30" applyBorder="1" applyAlignment="1">
      <alignment horizontal="center"/>
    </xf>
    <xf numFmtId="0" fontId="1" fillId="0" borderId="15" xfId="30" applyBorder="1" applyAlignment="1">
      <alignment horizontal="center"/>
    </xf>
    <xf numFmtId="0" fontId="10" fillId="0" borderId="0" xfId="30" applyFont="1" applyAlignment="1">
      <alignment horizontal="center"/>
    </xf>
    <xf numFmtId="0" fontId="11" fillId="0" borderId="0" xfId="30" applyFont="1" applyAlignment="1">
      <alignment horizontal="center"/>
    </xf>
    <xf numFmtId="44" fontId="29" fillId="0" borderId="0" xfId="30" applyNumberFormat="1" applyFont="1" applyAlignment="1">
      <alignment horizontal="center"/>
    </xf>
    <xf numFmtId="0" fontId="3" fillId="0" borderId="1" xfId="30" applyFont="1" applyBorder="1" applyAlignment="1">
      <alignment horizontal="center"/>
    </xf>
    <xf numFmtId="0" fontId="14" fillId="0" borderId="11" xfId="30" applyFont="1" applyBorder="1"/>
    <xf numFmtId="0" fontId="2" fillId="0" borderId="0" xfId="0" applyFont="1" applyBorder="1" applyAlignment="1">
      <alignment horizontal="center"/>
    </xf>
    <xf numFmtId="0" fontId="0" fillId="0" borderId="0" xfId="0" applyBorder="1" applyAlignment="1">
      <alignment horizontal="center"/>
    </xf>
    <xf numFmtId="0" fontId="8" fillId="0" borderId="0" xfId="0" applyFont="1" applyBorder="1" applyAlignment="1">
      <alignment vertical="center"/>
    </xf>
    <xf numFmtId="0" fontId="0" fillId="3" borderId="12"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xf>
    <xf numFmtId="0" fontId="19" fillId="3" borderId="16" xfId="0" applyFont="1" applyFill="1" applyBorder="1" applyAlignment="1" applyProtection="1">
      <alignment horizontal="center"/>
      <protection locked="0"/>
    </xf>
    <xf numFmtId="0" fontId="19" fillId="3" borderId="17" xfId="0" applyFont="1" applyFill="1" applyBorder="1" applyAlignment="1" applyProtection="1">
      <alignment horizontal="center"/>
      <protection locked="0"/>
    </xf>
    <xf numFmtId="0" fontId="19" fillId="3" borderId="10" xfId="0" applyFont="1" applyFill="1" applyBorder="1" applyAlignment="1" applyProtection="1">
      <alignment horizontal="center"/>
      <protection locked="0"/>
    </xf>
  </cellXfs>
  <cellStyles count="32">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4" xfId="7" xr:uid="{00000000-0005-0000-0000-000006000000}"/>
    <cellStyle name="Comma 4 2" xfId="8" xr:uid="{00000000-0005-0000-0000-000007000000}"/>
    <cellStyle name="Comma 5" xfId="9" xr:uid="{00000000-0005-0000-0000-000008000000}"/>
    <cellStyle name="Currency" xfId="10" builtinId="4"/>
    <cellStyle name="Currency 2" xfId="11" xr:uid="{00000000-0005-0000-0000-00000A000000}"/>
    <cellStyle name="Currency 2 2" xfId="12" xr:uid="{00000000-0005-0000-0000-00000B000000}"/>
    <cellStyle name="Currency 2 2 2" xfId="31" xr:uid="{00000000-0005-0000-0000-00000C000000}"/>
    <cellStyle name="Currency 2 3" xfId="13" xr:uid="{00000000-0005-0000-0000-00000D000000}"/>
    <cellStyle name="Currency 2 4" xfId="14" xr:uid="{00000000-0005-0000-0000-00000E000000}"/>
    <cellStyle name="Currency 3" xfId="15" xr:uid="{00000000-0005-0000-0000-00000F000000}"/>
    <cellStyle name="Currency 4" xfId="16" xr:uid="{00000000-0005-0000-0000-000010000000}"/>
    <cellStyle name="Currency 4 2" xfId="17" xr:uid="{00000000-0005-0000-0000-000011000000}"/>
    <cellStyle name="Currency 5" xfId="18" xr:uid="{00000000-0005-0000-0000-000012000000}"/>
    <cellStyle name="Hyperlink" xfId="19" builtinId="8"/>
    <cellStyle name="Normal" xfId="0" builtinId="0"/>
    <cellStyle name="Normal 2" xfId="20" xr:uid="{00000000-0005-0000-0000-000015000000}"/>
    <cellStyle name="Normal 3" xfId="30" xr:uid="{00000000-0005-0000-0000-000016000000}"/>
    <cellStyle name="Percent" xfId="21" builtinId="5"/>
    <cellStyle name="Percent 2" xfId="22" xr:uid="{00000000-0005-0000-0000-000018000000}"/>
    <cellStyle name="Percent 2 2" xfId="23" xr:uid="{00000000-0005-0000-0000-000019000000}"/>
    <cellStyle name="Percent 2 3" xfId="24" xr:uid="{00000000-0005-0000-0000-00001A000000}"/>
    <cellStyle name="Percent 2 4" xfId="25" xr:uid="{00000000-0005-0000-0000-00001B000000}"/>
    <cellStyle name="Percent 3" xfId="26" xr:uid="{00000000-0005-0000-0000-00001C000000}"/>
    <cellStyle name="Percent 4" xfId="27" xr:uid="{00000000-0005-0000-0000-00001D000000}"/>
    <cellStyle name="Percent 4 2" xfId="28" xr:uid="{00000000-0005-0000-0000-00001E000000}"/>
    <cellStyle name="Percent 5"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CheckBox" fmlaLink="$C$34" lockText="1" noThreeD="1"/>
</file>

<file path=xl/ctrlProps/ctrlProp3.xml><?xml version="1.0" encoding="utf-8"?>
<formControlPr xmlns="http://schemas.microsoft.com/office/spreadsheetml/2009/9/main" objectType="CheckBox" fmlaLink="$C$35" lockText="1" noThreeD="1"/>
</file>

<file path=xl/ctrlProps/ctrlProp4.xml><?xml version="1.0" encoding="utf-8"?>
<formControlPr xmlns="http://schemas.microsoft.com/office/spreadsheetml/2009/9/main" objectType="Radio" checked="Checked" firstButton="1" fmlaLink="E1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CheckBox" checked="Checked" fmlaLink="E4" lockText="1" noThreeD="1"/>
</file>

<file path=xl/ctrlProps/ctrlProp574.xml><?xml version="1.0" encoding="utf-8"?>
<formControlPr xmlns="http://schemas.microsoft.com/office/spreadsheetml/2009/9/main" objectType="CheckBox" checked="Checked" fmlaLink="E5" lockText="1" noThreeD="1"/>
</file>

<file path=xl/ctrlProps/ctrlProp575.xml><?xml version="1.0" encoding="utf-8"?>
<formControlPr xmlns="http://schemas.microsoft.com/office/spreadsheetml/2009/9/main" objectType="CheckBox" checked="Checked" fmlaLink="E7" lockText="1" noThreeD="1"/>
</file>

<file path=xl/ctrlProps/ctrlProp576.xml><?xml version="1.0" encoding="utf-8"?>
<formControlPr xmlns="http://schemas.microsoft.com/office/spreadsheetml/2009/9/main" objectType="CheckBox" checked="Checked" fmlaLink="E8" lockText="1" noThreeD="1"/>
</file>

<file path=xl/ctrlProps/ctrlProp577.xml><?xml version="1.0" encoding="utf-8"?>
<formControlPr xmlns="http://schemas.microsoft.com/office/spreadsheetml/2009/9/main" objectType="CheckBox" checked="Checked" fmlaLink="E11" lockText="1" noThreeD="1"/>
</file>

<file path=xl/ctrlProps/ctrlProp578.xml><?xml version="1.0" encoding="utf-8"?>
<formControlPr xmlns="http://schemas.microsoft.com/office/spreadsheetml/2009/9/main" objectType="CheckBox" checked="Checked" fmlaLink="E12" lockText="1" noThreeD="1"/>
</file>

<file path=xl/ctrlProps/ctrlProp579.xml><?xml version="1.0" encoding="utf-8"?>
<formControlPr xmlns="http://schemas.microsoft.com/office/spreadsheetml/2009/9/main" objectType="CheckBox" checked="Checked" fmlaLink="E13" lockText="1" noThreeD="1"/>
</file>

<file path=xl/ctrlProps/ctrlProp580.xml><?xml version="1.0" encoding="utf-8"?>
<formControlPr xmlns="http://schemas.microsoft.com/office/spreadsheetml/2009/9/main" objectType="CheckBox" checked="Checked" fmlaLink="E14" lockText="1" noThreeD="1"/>
</file>

<file path=xl/ctrlProps/ctrlProp581.xml><?xml version="1.0" encoding="utf-8"?>
<formControlPr xmlns="http://schemas.microsoft.com/office/spreadsheetml/2009/9/main" objectType="CheckBox" checked="Checked" fmlaLink="E15" lockText="1" noThreeD="1"/>
</file>

<file path=xl/ctrlProps/ctrlProp582.xml><?xml version="1.0" encoding="utf-8"?>
<formControlPr xmlns="http://schemas.microsoft.com/office/spreadsheetml/2009/9/main" objectType="CheckBox" checked="Checked" fmlaLink="E16" lockText="1" noThreeD="1"/>
</file>

<file path=xl/ctrlProps/ctrlProp583.xml><?xml version="1.0" encoding="utf-8"?>
<formControlPr xmlns="http://schemas.microsoft.com/office/spreadsheetml/2009/9/main" objectType="CheckBox" checked="Checked" fmlaLink="E17" lockText="1" noThreeD="1"/>
</file>

<file path=xl/ctrlProps/ctrlProp584.xml><?xml version="1.0" encoding="utf-8"?>
<formControlPr xmlns="http://schemas.microsoft.com/office/spreadsheetml/2009/9/main" objectType="CheckBox" checked="Checked" fmlaLink="E18" lockText="1" noThreeD="1"/>
</file>

<file path=xl/ctrlProps/ctrlProp585.xml><?xml version="1.0" encoding="utf-8"?>
<formControlPr xmlns="http://schemas.microsoft.com/office/spreadsheetml/2009/9/main" objectType="CheckBox" checked="Checked" fmlaLink="E19" lockText="1" noThreeD="1"/>
</file>

<file path=xl/ctrlProps/ctrlProp586.xml><?xml version="1.0" encoding="utf-8"?>
<formControlPr xmlns="http://schemas.microsoft.com/office/spreadsheetml/2009/9/main" objectType="CheckBox" checked="Checked" fmlaLink="E20" lockText="1" noThreeD="1"/>
</file>

<file path=xl/ctrlProps/ctrlProp587.xml><?xml version="1.0" encoding="utf-8"?>
<formControlPr xmlns="http://schemas.microsoft.com/office/spreadsheetml/2009/9/main" objectType="CheckBox" checked="Checked" fmlaLink="E21" lockText="1" noThreeD="1"/>
</file>

<file path=xl/ctrlProps/ctrlProp588.xml><?xml version="1.0" encoding="utf-8"?>
<formControlPr xmlns="http://schemas.microsoft.com/office/spreadsheetml/2009/9/main" objectType="CheckBox" checked="Checked" fmlaLink="E22" lockText="1" noThreeD="1"/>
</file>

<file path=xl/ctrlProps/ctrlProp589.xml><?xml version="1.0" encoding="utf-8"?>
<formControlPr xmlns="http://schemas.microsoft.com/office/spreadsheetml/2009/9/main" objectType="CheckBox" checked="Checked" fmlaLink="E23" lockText="1" noThreeD="1"/>
</file>

<file path=xl/ctrlProps/ctrlProp590.xml><?xml version="1.0" encoding="utf-8"?>
<formControlPr xmlns="http://schemas.microsoft.com/office/spreadsheetml/2009/9/main" objectType="CheckBox" checked="Checked" fmlaLink="E24" lockText="1" noThreeD="1"/>
</file>

<file path=xl/ctrlProps/ctrlProp591.xml><?xml version="1.0" encoding="utf-8"?>
<formControlPr xmlns="http://schemas.microsoft.com/office/spreadsheetml/2009/9/main" objectType="CheckBox" checked="Checked" fmlaLink="E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31</xdr:row>
          <xdr:rowOff>106680</xdr:rowOff>
        </xdr:from>
        <xdr:to>
          <xdr:col>1</xdr:col>
          <xdr:colOff>457200</xdr:colOff>
          <xdr:row>33</xdr:row>
          <xdr:rowOff>30480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106680</xdr:rowOff>
        </xdr:from>
        <xdr:to>
          <xdr:col>5</xdr:col>
          <xdr:colOff>678180</xdr:colOff>
          <xdr:row>15</xdr:row>
          <xdr:rowOff>30480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30480</xdr:rowOff>
        </xdr:from>
        <xdr:to>
          <xdr:col>5</xdr:col>
          <xdr:colOff>678180</xdr:colOff>
          <xdr:row>16</xdr:row>
          <xdr:rowOff>68580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68580</xdr:rowOff>
        </xdr:from>
        <xdr:to>
          <xdr:col>5</xdr:col>
          <xdr:colOff>678180</xdr:colOff>
          <xdr:row>17</xdr:row>
          <xdr:rowOff>106680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68580</xdr:rowOff>
        </xdr:from>
        <xdr:to>
          <xdr:col>5</xdr:col>
          <xdr:colOff>678180</xdr:colOff>
          <xdr:row>18</xdr:row>
          <xdr:rowOff>7620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68580</xdr:rowOff>
        </xdr:from>
        <xdr:to>
          <xdr:col>2</xdr:col>
          <xdr:colOff>106680</xdr:colOff>
          <xdr:row>34</xdr:row>
          <xdr:rowOff>45720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83820</xdr:rowOff>
        </xdr:from>
        <xdr:to>
          <xdr:col>1</xdr:col>
          <xdr:colOff>601980</xdr:colOff>
          <xdr:row>35</xdr:row>
          <xdr:rowOff>7620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388620</xdr:colOff>
          <xdr:row>86</xdr:row>
          <xdr:rowOff>38100</xdr:rowOff>
        </xdr:from>
        <xdr:to>
          <xdr:col>30</xdr:col>
          <xdr:colOff>160020</xdr:colOff>
          <xdr:row>87</xdr:row>
          <xdr:rowOff>83820</xdr:rowOff>
        </xdr:to>
        <xdr:sp macro="" textlink="">
          <xdr:nvSpPr>
            <xdr:cNvPr id="21521" name="Button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6977" name="Button 1" hidden="1">
              <a:extLst>
                <a:ext uri="{63B3BB69-23CF-44E3-9099-C40C66FF867C}">
                  <a14:compatExt spid="_x0000_s126977"/>
                </a:ext>
                <a:ext uri="{FF2B5EF4-FFF2-40B4-BE49-F238E27FC236}">
                  <a16:creationId xmlns:a16="http://schemas.microsoft.com/office/drawing/2014/main" id="{00000000-0008-0000-0300-000001F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6978" name="Button 2" hidden="1">
              <a:extLst>
                <a:ext uri="{63B3BB69-23CF-44E3-9099-C40C66FF867C}">
                  <a14:compatExt spid="_x0000_s126978"/>
                </a:ext>
                <a:ext uri="{FF2B5EF4-FFF2-40B4-BE49-F238E27FC236}">
                  <a16:creationId xmlns:a16="http://schemas.microsoft.com/office/drawing/2014/main" id="{00000000-0008-0000-0300-000002F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6979" name="Button 3" hidden="1">
              <a:extLst>
                <a:ext uri="{63B3BB69-23CF-44E3-9099-C40C66FF867C}">
                  <a14:compatExt spid="_x0000_s126979"/>
                </a:ext>
                <a:ext uri="{FF2B5EF4-FFF2-40B4-BE49-F238E27FC236}">
                  <a16:creationId xmlns:a16="http://schemas.microsoft.com/office/drawing/2014/main" id="{00000000-0008-0000-0300-000003F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4753" name="Button 1" hidden="1">
              <a:extLst>
                <a:ext uri="{63B3BB69-23CF-44E3-9099-C40C66FF867C}">
                  <a14:compatExt spid="_x0000_s74753"/>
                </a:ext>
                <a:ext uri="{FF2B5EF4-FFF2-40B4-BE49-F238E27FC236}">
                  <a16:creationId xmlns:a16="http://schemas.microsoft.com/office/drawing/2014/main" id="{00000000-0008-0000-0500-0000012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388620</xdr:colOff>
          <xdr:row>87</xdr:row>
          <xdr:rowOff>38100</xdr:rowOff>
        </xdr:from>
        <xdr:to>
          <xdr:col>30</xdr:col>
          <xdr:colOff>160020</xdr:colOff>
          <xdr:row>88</xdr:row>
          <xdr:rowOff>83820</xdr:rowOff>
        </xdr:to>
        <xdr:sp macro="" textlink="">
          <xdr:nvSpPr>
            <xdr:cNvPr id="74754" name="Button 2" hidden="1">
              <a:extLst>
                <a:ext uri="{63B3BB69-23CF-44E3-9099-C40C66FF867C}">
                  <a14:compatExt spid="_x0000_s74754"/>
                </a:ext>
                <a:ext uri="{FF2B5EF4-FFF2-40B4-BE49-F238E27FC236}">
                  <a16:creationId xmlns:a16="http://schemas.microsoft.com/office/drawing/2014/main" id="{00000000-0008-0000-0500-0000022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185345" name="Button 1" hidden="1">
              <a:extLst>
                <a:ext uri="{63B3BB69-23CF-44E3-9099-C40C66FF867C}">
                  <a14:compatExt spid="_x0000_s185345"/>
                </a:ext>
                <a:ext uri="{FF2B5EF4-FFF2-40B4-BE49-F238E27FC236}">
                  <a16:creationId xmlns:a16="http://schemas.microsoft.com/office/drawing/2014/main" id="{00000000-0008-0000-0600-000001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388620</xdr:colOff>
          <xdr:row>83</xdr:row>
          <xdr:rowOff>38100</xdr:rowOff>
        </xdr:from>
        <xdr:to>
          <xdr:col>30</xdr:col>
          <xdr:colOff>160020</xdr:colOff>
          <xdr:row>84</xdr:row>
          <xdr:rowOff>83820</xdr:rowOff>
        </xdr:to>
        <xdr:sp macro="" textlink="">
          <xdr:nvSpPr>
            <xdr:cNvPr id="185346" name="Button 2" hidden="1">
              <a:extLst>
                <a:ext uri="{63B3BB69-23CF-44E3-9099-C40C66FF867C}">
                  <a14:compatExt spid="_x0000_s185346"/>
                </a:ext>
                <a:ext uri="{FF2B5EF4-FFF2-40B4-BE49-F238E27FC236}">
                  <a16:creationId xmlns:a16="http://schemas.microsoft.com/office/drawing/2014/main" id="{00000000-0008-0000-0600-000002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411480</xdr:colOff>
          <xdr:row>1</xdr:row>
          <xdr:rowOff>45720</xdr:rowOff>
        </xdr:to>
        <xdr:sp macro="" textlink="">
          <xdr:nvSpPr>
            <xdr:cNvPr id="185347" name="Button 3" hidden="1">
              <a:extLst>
                <a:ext uri="{63B3BB69-23CF-44E3-9099-C40C66FF867C}">
                  <a14:compatExt spid="_x0000_s185347"/>
                </a:ext>
                <a:ext uri="{FF2B5EF4-FFF2-40B4-BE49-F238E27FC236}">
                  <a16:creationId xmlns:a16="http://schemas.microsoft.com/office/drawing/2014/main" id="{00000000-0008-0000-0600-000003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388620</xdr:colOff>
          <xdr:row>87</xdr:row>
          <xdr:rowOff>38100</xdr:rowOff>
        </xdr:from>
        <xdr:to>
          <xdr:col>30</xdr:col>
          <xdr:colOff>160020</xdr:colOff>
          <xdr:row>88</xdr:row>
          <xdr:rowOff>83820</xdr:rowOff>
        </xdr:to>
        <xdr:sp macro="" textlink="">
          <xdr:nvSpPr>
            <xdr:cNvPr id="185348" name="Button 4" hidden="1">
              <a:extLst>
                <a:ext uri="{63B3BB69-23CF-44E3-9099-C40C66FF867C}">
                  <a14:compatExt spid="_x0000_s185348"/>
                </a:ext>
                <a:ext uri="{FF2B5EF4-FFF2-40B4-BE49-F238E27FC236}">
                  <a16:creationId xmlns:a16="http://schemas.microsoft.com/office/drawing/2014/main" id="{00000000-0008-0000-0600-000004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2705" name="Button 1" hidden="1">
              <a:extLst>
                <a:ext uri="{63B3BB69-23CF-44E3-9099-C40C66FF867C}">
                  <a14:compatExt spid="_x0000_s72705"/>
                </a:ext>
                <a:ext uri="{FF2B5EF4-FFF2-40B4-BE49-F238E27FC236}">
                  <a16:creationId xmlns:a16="http://schemas.microsoft.com/office/drawing/2014/main" id="{00000000-0008-0000-0700-000001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2706" name="Button 2" hidden="1">
              <a:extLst>
                <a:ext uri="{63B3BB69-23CF-44E3-9099-C40C66FF867C}">
                  <a14:compatExt spid="_x0000_s72706"/>
                </a:ext>
                <a:ext uri="{FF2B5EF4-FFF2-40B4-BE49-F238E27FC236}">
                  <a16:creationId xmlns:a16="http://schemas.microsoft.com/office/drawing/2014/main" id="{00000000-0008-0000-0700-000002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2707" name="Button 3" hidden="1">
              <a:extLst>
                <a:ext uri="{63B3BB69-23CF-44E3-9099-C40C66FF867C}">
                  <a14:compatExt spid="_x0000_s72707"/>
                </a:ext>
                <a:ext uri="{FF2B5EF4-FFF2-40B4-BE49-F238E27FC236}">
                  <a16:creationId xmlns:a16="http://schemas.microsoft.com/office/drawing/2014/main" id="{00000000-0008-0000-0700-000003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2708" name="Button 4" hidden="1">
              <a:extLst>
                <a:ext uri="{63B3BB69-23CF-44E3-9099-C40C66FF867C}">
                  <a14:compatExt spid="_x0000_s72708"/>
                </a:ext>
                <a:ext uri="{FF2B5EF4-FFF2-40B4-BE49-F238E27FC236}">
                  <a16:creationId xmlns:a16="http://schemas.microsoft.com/office/drawing/2014/main" id="{00000000-0008-0000-0700-000004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78</xdr:row>
          <xdr:rowOff>30480</xdr:rowOff>
        </xdr:from>
        <xdr:to>
          <xdr:col>14</xdr:col>
          <xdr:colOff>754380</xdr:colOff>
          <xdr:row>79</xdr:row>
          <xdr:rowOff>76200</xdr:rowOff>
        </xdr:to>
        <xdr:sp macro="" textlink="">
          <xdr:nvSpPr>
            <xdr:cNvPr id="72709" name="Button 5" hidden="1">
              <a:extLst>
                <a:ext uri="{63B3BB69-23CF-44E3-9099-C40C66FF867C}">
                  <a14:compatExt spid="_x0000_s72709"/>
                </a:ext>
                <a:ext uri="{FF2B5EF4-FFF2-40B4-BE49-F238E27FC236}">
                  <a16:creationId xmlns:a16="http://schemas.microsoft.com/office/drawing/2014/main" id="{00000000-0008-0000-0700-000005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800-0000019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388620</xdr:colOff>
          <xdr:row>87</xdr:row>
          <xdr:rowOff>38100</xdr:rowOff>
        </xdr:from>
        <xdr:to>
          <xdr:col>30</xdr:col>
          <xdr:colOff>160020</xdr:colOff>
          <xdr:row>88</xdr:row>
          <xdr:rowOff>83820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800-0000029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0</xdr:row>
          <xdr:rowOff>160020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45720</xdr:rowOff>
        </xdr:from>
        <xdr:to>
          <xdr:col>15</xdr:col>
          <xdr:colOff>541020</xdr:colOff>
          <xdr:row>73</xdr:row>
          <xdr:rowOff>106680</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900-00000F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900-000010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900-000011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900-000012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900-000013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0</xdr:row>
          <xdr:rowOff>160020</xdr:rowOff>
        </xdr:to>
        <xdr:sp macro="" textlink="">
          <xdr:nvSpPr>
            <xdr:cNvPr id="75777" name="Button 1" hidden="1">
              <a:extLst>
                <a:ext uri="{63B3BB69-23CF-44E3-9099-C40C66FF867C}">
                  <a14:compatExt spid="_x0000_s75777"/>
                </a:ext>
                <a:ext uri="{FF2B5EF4-FFF2-40B4-BE49-F238E27FC236}">
                  <a16:creationId xmlns:a16="http://schemas.microsoft.com/office/drawing/2014/main" id="{00000000-0008-0000-0A00-000001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45720</xdr:rowOff>
        </xdr:from>
        <xdr:to>
          <xdr:col>15</xdr:col>
          <xdr:colOff>541020</xdr:colOff>
          <xdr:row>74</xdr:row>
          <xdr:rowOff>106680</xdr:rowOff>
        </xdr:to>
        <xdr:sp macro="" textlink="">
          <xdr:nvSpPr>
            <xdr:cNvPr id="75778" name="Button 2" hidden="1">
              <a:extLst>
                <a:ext uri="{63B3BB69-23CF-44E3-9099-C40C66FF867C}">
                  <a14:compatExt spid="_x0000_s75778"/>
                </a:ext>
                <a:ext uri="{FF2B5EF4-FFF2-40B4-BE49-F238E27FC236}">
                  <a16:creationId xmlns:a16="http://schemas.microsoft.com/office/drawing/2014/main" id="{00000000-0008-0000-0A00-000002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75779" name="Button 3" hidden="1">
              <a:extLst>
                <a:ext uri="{63B3BB69-23CF-44E3-9099-C40C66FF867C}">
                  <a14:compatExt spid="_x0000_s75779"/>
                </a:ext>
                <a:ext uri="{FF2B5EF4-FFF2-40B4-BE49-F238E27FC236}">
                  <a16:creationId xmlns:a16="http://schemas.microsoft.com/office/drawing/2014/main" id="{00000000-0008-0000-0A00-000003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75780" name="Button 4" hidden="1">
              <a:extLst>
                <a:ext uri="{63B3BB69-23CF-44E3-9099-C40C66FF867C}">
                  <a14:compatExt spid="_x0000_s75780"/>
                </a:ext>
                <a:ext uri="{FF2B5EF4-FFF2-40B4-BE49-F238E27FC236}">
                  <a16:creationId xmlns:a16="http://schemas.microsoft.com/office/drawing/2014/main" id="{00000000-0008-0000-0A00-000004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75781" name="Button 5" hidden="1">
              <a:extLst>
                <a:ext uri="{63B3BB69-23CF-44E3-9099-C40C66FF867C}">
                  <a14:compatExt spid="_x0000_s75781"/>
                </a:ext>
                <a:ext uri="{FF2B5EF4-FFF2-40B4-BE49-F238E27FC236}">
                  <a16:creationId xmlns:a16="http://schemas.microsoft.com/office/drawing/2014/main" id="{00000000-0008-0000-0A00-000005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75782" name="Button 6" hidden="1">
              <a:extLst>
                <a:ext uri="{63B3BB69-23CF-44E3-9099-C40C66FF867C}">
                  <a14:compatExt spid="_x0000_s75782"/>
                </a:ext>
                <a:ext uri="{FF2B5EF4-FFF2-40B4-BE49-F238E27FC236}">
                  <a16:creationId xmlns:a16="http://schemas.microsoft.com/office/drawing/2014/main" id="{00000000-0008-0000-0A00-000006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64513" name="Button 1" hidden="1">
              <a:extLst>
                <a:ext uri="{63B3BB69-23CF-44E3-9099-C40C66FF867C}">
                  <a14:compatExt spid="_x0000_s64513"/>
                </a:ext>
                <a:ext uri="{FF2B5EF4-FFF2-40B4-BE49-F238E27FC236}">
                  <a16:creationId xmlns:a16="http://schemas.microsoft.com/office/drawing/2014/main" id="{00000000-0008-0000-0B00-000001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64514" name="Button 2" hidden="1">
              <a:extLst>
                <a:ext uri="{63B3BB69-23CF-44E3-9099-C40C66FF867C}">
                  <a14:compatExt spid="_x0000_s64514"/>
                </a:ext>
                <a:ext uri="{FF2B5EF4-FFF2-40B4-BE49-F238E27FC236}">
                  <a16:creationId xmlns:a16="http://schemas.microsoft.com/office/drawing/2014/main" id="{00000000-0008-0000-0B00-000002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64515" name="Button 3" hidden="1">
              <a:extLst>
                <a:ext uri="{63B3BB69-23CF-44E3-9099-C40C66FF867C}">
                  <a14:compatExt spid="_x0000_s64515"/>
                </a:ext>
                <a:ext uri="{FF2B5EF4-FFF2-40B4-BE49-F238E27FC236}">
                  <a16:creationId xmlns:a16="http://schemas.microsoft.com/office/drawing/2014/main" id="{00000000-0008-0000-0B00-000003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64516" name="Button 4" hidden="1">
              <a:extLst>
                <a:ext uri="{63B3BB69-23CF-44E3-9099-C40C66FF867C}">
                  <a14:compatExt spid="_x0000_s64516"/>
                </a:ext>
                <a:ext uri="{FF2B5EF4-FFF2-40B4-BE49-F238E27FC236}">
                  <a16:creationId xmlns:a16="http://schemas.microsoft.com/office/drawing/2014/main" id="{00000000-0008-0000-0B00-000004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373380</xdr:colOff>
          <xdr:row>77</xdr:row>
          <xdr:rowOff>7620</xdr:rowOff>
        </xdr:from>
        <xdr:to>
          <xdr:col>14</xdr:col>
          <xdr:colOff>723900</xdr:colOff>
          <xdr:row>78</xdr:row>
          <xdr:rowOff>68580</xdr:rowOff>
        </xdr:to>
        <xdr:sp macro="" textlink="">
          <xdr:nvSpPr>
            <xdr:cNvPr id="64517" name="Button 5" hidden="1">
              <a:extLst>
                <a:ext uri="{63B3BB69-23CF-44E3-9099-C40C66FF867C}">
                  <a14:compatExt spid="_x0000_s64517"/>
                </a:ext>
                <a:ext uri="{FF2B5EF4-FFF2-40B4-BE49-F238E27FC236}">
                  <a16:creationId xmlns:a16="http://schemas.microsoft.com/office/drawing/2014/main" id="{00000000-0008-0000-0B00-000005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0</xdr:row>
          <xdr:rowOff>160020</xdr:rowOff>
        </xdr:to>
        <xdr:sp macro="" textlink="">
          <xdr:nvSpPr>
            <xdr:cNvPr id="168961" name="Button 1" hidden="1">
              <a:extLst>
                <a:ext uri="{63B3BB69-23CF-44E3-9099-C40C66FF867C}">
                  <a14:compatExt spid="_x0000_s168961"/>
                </a:ext>
                <a:ext uri="{FF2B5EF4-FFF2-40B4-BE49-F238E27FC236}">
                  <a16:creationId xmlns:a16="http://schemas.microsoft.com/office/drawing/2014/main" id="{00000000-0008-0000-0C00-000001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45720</xdr:rowOff>
        </xdr:from>
        <xdr:to>
          <xdr:col>15</xdr:col>
          <xdr:colOff>541020</xdr:colOff>
          <xdr:row>74</xdr:row>
          <xdr:rowOff>106680</xdr:rowOff>
        </xdr:to>
        <xdr:sp macro="" textlink="">
          <xdr:nvSpPr>
            <xdr:cNvPr id="168962" name="Button 2" hidden="1">
              <a:extLst>
                <a:ext uri="{63B3BB69-23CF-44E3-9099-C40C66FF867C}">
                  <a14:compatExt spid="_x0000_s168962"/>
                </a:ext>
                <a:ext uri="{FF2B5EF4-FFF2-40B4-BE49-F238E27FC236}">
                  <a16:creationId xmlns:a16="http://schemas.microsoft.com/office/drawing/2014/main" id="{00000000-0008-0000-0C00-000002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168963" name="Button 3" hidden="1">
              <a:extLst>
                <a:ext uri="{63B3BB69-23CF-44E3-9099-C40C66FF867C}">
                  <a14:compatExt spid="_x0000_s168963"/>
                </a:ext>
                <a:ext uri="{FF2B5EF4-FFF2-40B4-BE49-F238E27FC236}">
                  <a16:creationId xmlns:a16="http://schemas.microsoft.com/office/drawing/2014/main" id="{00000000-0008-0000-0C00-000003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168964" name="Button 4" hidden="1">
              <a:extLst>
                <a:ext uri="{63B3BB69-23CF-44E3-9099-C40C66FF867C}">
                  <a14:compatExt spid="_x0000_s168964"/>
                </a:ext>
                <a:ext uri="{FF2B5EF4-FFF2-40B4-BE49-F238E27FC236}">
                  <a16:creationId xmlns:a16="http://schemas.microsoft.com/office/drawing/2014/main" id="{00000000-0008-0000-0C00-000004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168965" name="Button 5" hidden="1">
              <a:extLst>
                <a:ext uri="{63B3BB69-23CF-44E3-9099-C40C66FF867C}">
                  <a14:compatExt spid="_x0000_s168965"/>
                </a:ext>
                <a:ext uri="{FF2B5EF4-FFF2-40B4-BE49-F238E27FC236}">
                  <a16:creationId xmlns:a16="http://schemas.microsoft.com/office/drawing/2014/main" id="{00000000-0008-0000-0C00-000005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168966" name="Button 6" hidden="1">
              <a:extLst>
                <a:ext uri="{63B3BB69-23CF-44E3-9099-C40C66FF867C}">
                  <a14:compatExt spid="_x0000_s168966"/>
                </a:ext>
                <a:ext uri="{FF2B5EF4-FFF2-40B4-BE49-F238E27FC236}">
                  <a16:creationId xmlns:a16="http://schemas.microsoft.com/office/drawing/2014/main" id="{00000000-0008-0000-0C00-000006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0</xdr:col>
          <xdr:colOff>373380</xdr:colOff>
          <xdr:row>1</xdr:row>
          <xdr:rowOff>30480</xdr:rowOff>
        </xdr:to>
        <xdr:sp macro="" textlink="">
          <xdr:nvSpPr>
            <xdr:cNvPr id="93185" name="Button 1" hidden="1">
              <a:extLst>
                <a:ext uri="{63B3BB69-23CF-44E3-9099-C40C66FF867C}">
                  <a14:compatExt spid="_x0000_s93185"/>
                </a:ext>
                <a:ext uri="{FF2B5EF4-FFF2-40B4-BE49-F238E27FC236}">
                  <a16:creationId xmlns:a16="http://schemas.microsoft.com/office/drawing/2014/main" id="{00000000-0008-0000-0D00-00000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82</xdr:row>
          <xdr:rowOff>45720</xdr:rowOff>
        </xdr:from>
        <xdr:to>
          <xdr:col>16</xdr:col>
          <xdr:colOff>30480</xdr:colOff>
          <xdr:row>83</xdr:row>
          <xdr:rowOff>83820</xdr:rowOff>
        </xdr:to>
        <xdr:sp macro="" textlink="">
          <xdr:nvSpPr>
            <xdr:cNvPr id="93186" name="Button 2" hidden="1">
              <a:extLst>
                <a:ext uri="{63B3BB69-23CF-44E3-9099-C40C66FF867C}">
                  <a14:compatExt spid="_x0000_s93186"/>
                </a:ext>
                <a:ext uri="{FF2B5EF4-FFF2-40B4-BE49-F238E27FC236}">
                  <a16:creationId xmlns:a16="http://schemas.microsoft.com/office/drawing/2014/main" id="{00000000-0008-0000-0D00-00000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93187" name="Button 3" hidden="1">
              <a:extLst>
                <a:ext uri="{63B3BB69-23CF-44E3-9099-C40C66FF867C}">
                  <a14:compatExt spid="_x0000_s93187"/>
                </a:ext>
                <a:ext uri="{FF2B5EF4-FFF2-40B4-BE49-F238E27FC236}">
                  <a16:creationId xmlns:a16="http://schemas.microsoft.com/office/drawing/2014/main" id="{00000000-0008-0000-0D00-00000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93188" name="Button 4" hidden="1">
              <a:extLst>
                <a:ext uri="{63B3BB69-23CF-44E3-9099-C40C66FF867C}">
                  <a14:compatExt spid="_x0000_s93188"/>
                </a:ext>
                <a:ext uri="{FF2B5EF4-FFF2-40B4-BE49-F238E27FC236}">
                  <a16:creationId xmlns:a16="http://schemas.microsoft.com/office/drawing/2014/main" id="{00000000-0008-0000-0D00-00000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93189" name="Button 5" hidden="1">
              <a:extLst>
                <a:ext uri="{63B3BB69-23CF-44E3-9099-C40C66FF867C}">
                  <a14:compatExt spid="_x0000_s93189"/>
                </a:ext>
                <a:ext uri="{FF2B5EF4-FFF2-40B4-BE49-F238E27FC236}">
                  <a16:creationId xmlns:a16="http://schemas.microsoft.com/office/drawing/2014/main" id="{00000000-0008-0000-0D00-00000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93190" name="Button 6" hidden="1">
              <a:extLst>
                <a:ext uri="{63B3BB69-23CF-44E3-9099-C40C66FF867C}">
                  <a14:compatExt spid="_x0000_s93190"/>
                </a:ext>
                <a:ext uri="{FF2B5EF4-FFF2-40B4-BE49-F238E27FC236}">
                  <a16:creationId xmlns:a16="http://schemas.microsoft.com/office/drawing/2014/main" id="{00000000-0008-0000-0D00-00000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93191" name="Button 7" hidden="1">
              <a:extLst>
                <a:ext uri="{63B3BB69-23CF-44E3-9099-C40C66FF867C}">
                  <a14:compatExt spid="_x0000_s93191"/>
                </a:ext>
                <a:ext uri="{FF2B5EF4-FFF2-40B4-BE49-F238E27FC236}">
                  <a16:creationId xmlns:a16="http://schemas.microsoft.com/office/drawing/2014/main" id="{00000000-0008-0000-0D00-00000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93192" name="Button 8" hidden="1">
              <a:extLst>
                <a:ext uri="{63B3BB69-23CF-44E3-9099-C40C66FF867C}">
                  <a14:compatExt spid="_x0000_s93192"/>
                </a:ext>
                <a:ext uri="{FF2B5EF4-FFF2-40B4-BE49-F238E27FC236}">
                  <a16:creationId xmlns:a16="http://schemas.microsoft.com/office/drawing/2014/main" id="{00000000-0008-0000-0D00-00000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93193" name="Button 9" hidden="1">
              <a:extLst>
                <a:ext uri="{63B3BB69-23CF-44E3-9099-C40C66FF867C}">
                  <a14:compatExt spid="_x0000_s93193"/>
                </a:ext>
                <a:ext uri="{FF2B5EF4-FFF2-40B4-BE49-F238E27FC236}">
                  <a16:creationId xmlns:a16="http://schemas.microsoft.com/office/drawing/2014/main" id="{00000000-0008-0000-0D00-00000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93194" name="Button 10" hidden="1">
              <a:extLst>
                <a:ext uri="{63B3BB69-23CF-44E3-9099-C40C66FF867C}">
                  <a14:compatExt spid="_x0000_s93194"/>
                </a:ext>
                <a:ext uri="{FF2B5EF4-FFF2-40B4-BE49-F238E27FC236}">
                  <a16:creationId xmlns:a16="http://schemas.microsoft.com/office/drawing/2014/main" id="{00000000-0008-0000-0D00-00000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93195" name="Button 11" hidden="1">
              <a:extLst>
                <a:ext uri="{63B3BB69-23CF-44E3-9099-C40C66FF867C}">
                  <a14:compatExt spid="_x0000_s93195"/>
                </a:ext>
                <a:ext uri="{FF2B5EF4-FFF2-40B4-BE49-F238E27FC236}">
                  <a16:creationId xmlns:a16="http://schemas.microsoft.com/office/drawing/2014/main" id="{00000000-0008-0000-0D00-00000B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93196" name="Button 12" hidden="1">
              <a:extLst>
                <a:ext uri="{63B3BB69-23CF-44E3-9099-C40C66FF867C}">
                  <a14:compatExt spid="_x0000_s93196"/>
                </a:ext>
                <a:ext uri="{FF2B5EF4-FFF2-40B4-BE49-F238E27FC236}">
                  <a16:creationId xmlns:a16="http://schemas.microsoft.com/office/drawing/2014/main" id="{00000000-0008-0000-0D00-00000C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93197" name="Button 13" hidden="1">
              <a:extLst>
                <a:ext uri="{63B3BB69-23CF-44E3-9099-C40C66FF867C}">
                  <a14:compatExt spid="_x0000_s93197"/>
                </a:ext>
                <a:ext uri="{FF2B5EF4-FFF2-40B4-BE49-F238E27FC236}">
                  <a16:creationId xmlns:a16="http://schemas.microsoft.com/office/drawing/2014/main" id="{00000000-0008-0000-0D00-00000D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93198" name="Button 14" hidden="1">
              <a:extLst>
                <a:ext uri="{63B3BB69-23CF-44E3-9099-C40C66FF867C}">
                  <a14:compatExt spid="_x0000_s93198"/>
                </a:ext>
                <a:ext uri="{FF2B5EF4-FFF2-40B4-BE49-F238E27FC236}">
                  <a16:creationId xmlns:a16="http://schemas.microsoft.com/office/drawing/2014/main" id="{00000000-0008-0000-0D00-00000E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93199" name="Button 15" hidden="1">
              <a:extLst>
                <a:ext uri="{63B3BB69-23CF-44E3-9099-C40C66FF867C}">
                  <a14:compatExt spid="_x0000_s93199"/>
                </a:ext>
                <a:ext uri="{FF2B5EF4-FFF2-40B4-BE49-F238E27FC236}">
                  <a16:creationId xmlns:a16="http://schemas.microsoft.com/office/drawing/2014/main" id="{00000000-0008-0000-0D00-00000F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93200" name="Button 16" hidden="1">
              <a:extLst>
                <a:ext uri="{63B3BB69-23CF-44E3-9099-C40C66FF867C}">
                  <a14:compatExt spid="_x0000_s93200"/>
                </a:ext>
                <a:ext uri="{FF2B5EF4-FFF2-40B4-BE49-F238E27FC236}">
                  <a16:creationId xmlns:a16="http://schemas.microsoft.com/office/drawing/2014/main" id="{00000000-0008-0000-0D00-000010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93201" name="Button 17" hidden="1">
              <a:extLst>
                <a:ext uri="{63B3BB69-23CF-44E3-9099-C40C66FF867C}">
                  <a14:compatExt spid="_x0000_s93201"/>
                </a:ext>
                <a:ext uri="{FF2B5EF4-FFF2-40B4-BE49-F238E27FC236}">
                  <a16:creationId xmlns:a16="http://schemas.microsoft.com/office/drawing/2014/main" id="{00000000-0008-0000-0D00-00001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93202" name="Button 18" hidden="1">
              <a:extLst>
                <a:ext uri="{63B3BB69-23CF-44E3-9099-C40C66FF867C}">
                  <a14:compatExt spid="_x0000_s93202"/>
                </a:ext>
                <a:ext uri="{FF2B5EF4-FFF2-40B4-BE49-F238E27FC236}">
                  <a16:creationId xmlns:a16="http://schemas.microsoft.com/office/drawing/2014/main" id="{00000000-0008-0000-0D00-00001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93203" name="Button 19" hidden="1">
              <a:extLst>
                <a:ext uri="{63B3BB69-23CF-44E3-9099-C40C66FF867C}">
                  <a14:compatExt spid="_x0000_s93203"/>
                </a:ext>
                <a:ext uri="{FF2B5EF4-FFF2-40B4-BE49-F238E27FC236}">
                  <a16:creationId xmlns:a16="http://schemas.microsoft.com/office/drawing/2014/main" id="{00000000-0008-0000-0D00-00001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93204" name="Button 20" hidden="1">
              <a:extLst>
                <a:ext uri="{63B3BB69-23CF-44E3-9099-C40C66FF867C}">
                  <a14:compatExt spid="_x0000_s93204"/>
                </a:ext>
                <a:ext uri="{FF2B5EF4-FFF2-40B4-BE49-F238E27FC236}">
                  <a16:creationId xmlns:a16="http://schemas.microsoft.com/office/drawing/2014/main" id="{00000000-0008-0000-0D00-00001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93205" name="Button 21" hidden="1">
              <a:extLst>
                <a:ext uri="{63B3BB69-23CF-44E3-9099-C40C66FF867C}">
                  <a14:compatExt spid="_x0000_s93205"/>
                </a:ext>
                <a:ext uri="{FF2B5EF4-FFF2-40B4-BE49-F238E27FC236}">
                  <a16:creationId xmlns:a16="http://schemas.microsoft.com/office/drawing/2014/main" id="{00000000-0008-0000-0D00-00001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93206" name="Button 22" hidden="1">
              <a:extLst>
                <a:ext uri="{63B3BB69-23CF-44E3-9099-C40C66FF867C}">
                  <a14:compatExt spid="_x0000_s93206"/>
                </a:ext>
                <a:ext uri="{FF2B5EF4-FFF2-40B4-BE49-F238E27FC236}">
                  <a16:creationId xmlns:a16="http://schemas.microsoft.com/office/drawing/2014/main" id="{00000000-0008-0000-0D00-00001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93207" name="Button 23" hidden="1">
              <a:extLst>
                <a:ext uri="{63B3BB69-23CF-44E3-9099-C40C66FF867C}">
                  <a14:compatExt spid="_x0000_s93207"/>
                </a:ext>
                <a:ext uri="{FF2B5EF4-FFF2-40B4-BE49-F238E27FC236}">
                  <a16:creationId xmlns:a16="http://schemas.microsoft.com/office/drawing/2014/main" id="{00000000-0008-0000-0D00-00001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93208" name="Button 24" hidden="1">
              <a:extLst>
                <a:ext uri="{63B3BB69-23CF-44E3-9099-C40C66FF867C}">
                  <a14:compatExt spid="_x0000_s93208"/>
                </a:ext>
                <a:ext uri="{FF2B5EF4-FFF2-40B4-BE49-F238E27FC236}">
                  <a16:creationId xmlns:a16="http://schemas.microsoft.com/office/drawing/2014/main" id="{00000000-0008-0000-0D00-00001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93209" name="Button 25" hidden="1">
              <a:extLst>
                <a:ext uri="{63B3BB69-23CF-44E3-9099-C40C66FF867C}">
                  <a14:compatExt spid="_x0000_s93209"/>
                </a:ext>
                <a:ext uri="{FF2B5EF4-FFF2-40B4-BE49-F238E27FC236}">
                  <a16:creationId xmlns:a16="http://schemas.microsoft.com/office/drawing/2014/main" id="{00000000-0008-0000-0D00-00001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93210" name="Button 26" hidden="1">
              <a:extLst>
                <a:ext uri="{63B3BB69-23CF-44E3-9099-C40C66FF867C}">
                  <a14:compatExt spid="_x0000_s93210"/>
                </a:ext>
                <a:ext uri="{FF2B5EF4-FFF2-40B4-BE49-F238E27FC236}">
                  <a16:creationId xmlns:a16="http://schemas.microsoft.com/office/drawing/2014/main" id="{00000000-0008-0000-0D00-00001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93211" name="Button 27" hidden="1">
              <a:extLst>
                <a:ext uri="{63B3BB69-23CF-44E3-9099-C40C66FF867C}">
                  <a14:compatExt spid="_x0000_s93211"/>
                </a:ext>
                <a:ext uri="{FF2B5EF4-FFF2-40B4-BE49-F238E27FC236}">
                  <a16:creationId xmlns:a16="http://schemas.microsoft.com/office/drawing/2014/main" id="{00000000-0008-0000-0D00-00001B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93212" name="Button 28" hidden="1">
              <a:extLst>
                <a:ext uri="{63B3BB69-23CF-44E3-9099-C40C66FF867C}">
                  <a14:compatExt spid="_x0000_s93212"/>
                </a:ext>
                <a:ext uri="{FF2B5EF4-FFF2-40B4-BE49-F238E27FC236}">
                  <a16:creationId xmlns:a16="http://schemas.microsoft.com/office/drawing/2014/main" id="{00000000-0008-0000-0D00-00001C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93213" name="Button 29" hidden="1">
              <a:extLst>
                <a:ext uri="{63B3BB69-23CF-44E3-9099-C40C66FF867C}">
                  <a14:compatExt spid="_x0000_s93213"/>
                </a:ext>
                <a:ext uri="{FF2B5EF4-FFF2-40B4-BE49-F238E27FC236}">
                  <a16:creationId xmlns:a16="http://schemas.microsoft.com/office/drawing/2014/main" id="{00000000-0008-0000-0D00-00001D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93214" name="Button 30" hidden="1">
              <a:extLst>
                <a:ext uri="{63B3BB69-23CF-44E3-9099-C40C66FF867C}">
                  <a14:compatExt spid="_x0000_s93214"/>
                </a:ext>
                <a:ext uri="{FF2B5EF4-FFF2-40B4-BE49-F238E27FC236}">
                  <a16:creationId xmlns:a16="http://schemas.microsoft.com/office/drawing/2014/main" id="{00000000-0008-0000-0D00-00001E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93215" name="Button 31" hidden="1">
              <a:extLst>
                <a:ext uri="{63B3BB69-23CF-44E3-9099-C40C66FF867C}">
                  <a14:compatExt spid="_x0000_s93215"/>
                </a:ext>
                <a:ext uri="{FF2B5EF4-FFF2-40B4-BE49-F238E27FC236}">
                  <a16:creationId xmlns:a16="http://schemas.microsoft.com/office/drawing/2014/main" id="{00000000-0008-0000-0D00-00001F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93216" name="Button 32" hidden="1">
              <a:extLst>
                <a:ext uri="{63B3BB69-23CF-44E3-9099-C40C66FF867C}">
                  <a14:compatExt spid="_x0000_s93216"/>
                </a:ext>
                <a:ext uri="{FF2B5EF4-FFF2-40B4-BE49-F238E27FC236}">
                  <a16:creationId xmlns:a16="http://schemas.microsoft.com/office/drawing/2014/main" id="{00000000-0008-0000-0D00-000020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93217" name="Button 33" hidden="1">
              <a:extLst>
                <a:ext uri="{63B3BB69-23CF-44E3-9099-C40C66FF867C}">
                  <a14:compatExt spid="_x0000_s93217"/>
                </a:ext>
                <a:ext uri="{FF2B5EF4-FFF2-40B4-BE49-F238E27FC236}">
                  <a16:creationId xmlns:a16="http://schemas.microsoft.com/office/drawing/2014/main" id="{00000000-0008-0000-0D00-00002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93218" name="Button 34" hidden="1">
              <a:extLst>
                <a:ext uri="{63B3BB69-23CF-44E3-9099-C40C66FF867C}">
                  <a14:compatExt spid="_x0000_s93218"/>
                </a:ext>
                <a:ext uri="{FF2B5EF4-FFF2-40B4-BE49-F238E27FC236}">
                  <a16:creationId xmlns:a16="http://schemas.microsoft.com/office/drawing/2014/main" id="{00000000-0008-0000-0D00-00002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93219" name="Button 35" hidden="1">
              <a:extLst>
                <a:ext uri="{63B3BB69-23CF-44E3-9099-C40C66FF867C}">
                  <a14:compatExt spid="_x0000_s93219"/>
                </a:ext>
                <a:ext uri="{FF2B5EF4-FFF2-40B4-BE49-F238E27FC236}">
                  <a16:creationId xmlns:a16="http://schemas.microsoft.com/office/drawing/2014/main" id="{00000000-0008-0000-0D00-00002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93220" name="Button 36" hidden="1">
              <a:extLst>
                <a:ext uri="{63B3BB69-23CF-44E3-9099-C40C66FF867C}">
                  <a14:compatExt spid="_x0000_s93220"/>
                </a:ext>
                <a:ext uri="{FF2B5EF4-FFF2-40B4-BE49-F238E27FC236}">
                  <a16:creationId xmlns:a16="http://schemas.microsoft.com/office/drawing/2014/main" id="{00000000-0008-0000-0D00-00002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93221" name="Button 37" hidden="1">
              <a:extLst>
                <a:ext uri="{63B3BB69-23CF-44E3-9099-C40C66FF867C}">
                  <a14:compatExt spid="_x0000_s93221"/>
                </a:ext>
                <a:ext uri="{FF2B5EF4-FFF2-40B4-BE49-F238E27FC236}">
                  <a16:creationId xmlns:a16="http://schemas.microsoft.com/office/drawing/2014/main" id="{00000000-0008-0000-0D00-00002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93222" name="Button 38" hidden="1">
              <a:extLst>
                <a:ext uri="{63B3BB69-23CF-44E3-9099-C40C66FF867C}">
                  <a14:compatExt spid="_x0000_s93222"/>
                </a:ext>
                <a:ext uri="{FF2B5EF4-FFF2-40B4-BE49-F238E27FC236}">
                  <a16:creationId xmlns:a16="http://schemas.microsoft.com/office/drawing/2014/main" id="{00000000-0008-0000-0D00-00002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93223" name="Button 39" hidden="1">
              <a:extLst>
                <a:ext uri="{63B3BB69-23CF-44E3-9099-C40C66FF867C}">
                  <a14:compatExt spid="_x0000_s93223"/>
                </a:ext>
                <a:ext uri="{FF2B5EF4-FFF2-40B4-BE49-F238E27FC236}">
                  <a16:creationId xmlns:a16="http://schemas.microsoft.com/office/drawing/2014/main" id="{00000000-0008-0000-0D00-00002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93224" name="Button 40" hidden="1">
              <a:extLst>
                <a:ext uri="{63B3BB69-23CF-44E3-9099-C40C66FF867C}">
                  <a14:compatExt spid="_x0000_s93224"/>
                </a:ext>
                <a:ext uri="{FF2B5EF4-FFF2-40B4-BE49-F238E27FC236}">
                  <a16:creationId xmlns:a16="http://schemas.microsoft.com/office/drawing/2014/main" id="{00000000-0008-0000-0D00-00002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93225" name="Button 41" hidden="1">
              <a:extLst>
                <a:ext uri="{63B3BB69-23CF-44E3-9099-C40C66FF867C}">
                  <a14:compatExt spid="_x0000_s93225"/>
                </a:ext>
                <a:ext uri="{FF2B5EF4-FFF2-40B4-BE49-F238E27FC236}">
                  <a16:creationId xmlns:a16="http://schemas.microsoft.com/office/drawing/2014/main" id="{00000000-0008-0000-0D00-00002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93226" name="Button 42" hidden="1">
              <a:extLst>
                <a:ext uri="{63B3BB69-23CF-44E3-9099-C40C66FF867C}">
                  <a14:compatExt spid="_x0000_s93226"/>
                </a:ext>
                <a:ext uri="{FF2B5EF4-FFF2-40B4-BE49-F238E27FC236}">
                  <a16:creationId xmlns:a16="http://schemas.microsoft.com/office/drawing/2014/main" id="{00000000-0008-0000-0D00-00002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93227" name="Button 43" hidden="1">
              <a:extLst>
                <a:ext uri="{63B3BB69-23CF-44E3-9099-C40C66FF867C}">
                  <a14:compatExt spid="_x0000_s93227"/>
                </a:ext>
                <a:ext uri="{FF2B5EF4-FFF2-40B4-BE49-F238E27FC236}">
                  <a16:creationId xmlns:a16="http://schemas.microsoft.com/office/drawing/2014/main" id="{00000000-0008-0000-0D00-00002B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93228" name="Button 44" hidden="1">
              <a:extLst>
                <a:ext uri="{63B3BB69-23CF-44E3-9099-C40C66FF867C}">
                  <a14:compatExt spid="_x0000_s93228"/>
                </a:ext>
                <a:ext uri="{FF2B5EF4-FFF2-40B4-BE49-F238E27FC236}">
                  <a16:creationId xmlns:a16="http://schemas.microsoft.com/office/drawing/2014/main" id="{00000000-0008-0000-0D00-00002C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93229" name="Button 45" hidden="1">
              <a:extLst>
                <a:ext uri="{63B3BB69-23CF-44E3-9099-C40C66FF867C}">
                  <a14:compatExt spid="_x0000_s93229"/>
                </a:ext>
                <a:ext uri="{FF2B5EF4-FFF2-40B4-BE49-F238E27FC236}">
                  <a16:creationId xmlns:a16="http://schemas.microsoft.com/office/drawing/2014/main" id="{00000000-0008-0000-0D00-00002D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93230" name="Button 46" hidden="1">
              <a:extLst>
                <a:ext uri="{63B3BB69-23CF-44E3-9099-C40C66FF867C}">
                  <a14:compatExt spid="_x0000_s93230"/>
                </a:ext>
                <a:ext uri="{FF2B5EF4-FFF2-40B4-BE49-F238E27FC236}">
                  <a16:creationId xmlns:a16="http://schemas.microsoft.com/office/drawing/2014/main" id="{00000000-0008-0000-0D00-00002E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93231" name="Button 47" hidden="1">
              <a:extLst>
                <a:ext uri="{63B3BB69-23CF-44E3-9099-C40C66FF867C}">
                  <a14:compatExt spid="_x0000_s93231"/>
                </a:ext>
                <a:ext uri="{FF2B5EF4-FFF2-40B4-BE49-F238E27FC236}">
                  <a16:creationId xmlns:a16="http://schemas.microsoft.com/office/drawing/2014/main" id="{00000000-0008-0000-0D00-00002F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93232" name="Button 48" hidden="1">
              <a:extLst>
                <a:ext uri="{63B3BB69-23CF-44E3-9099-C40C66FF867C}">
                  <a14:compatExt spid="_x0000_s93232"/>
                </a:ext>
                <a:ext uri="{FF2B5EF4-FFF2-40B4-BE49-F238E27FC236}">
                  <a16:creationId xmlns:a16="http://schemas.microsoft.com/office/drawing/2014/main" id="{00000000-0008-0000-0D00-000030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93233" name="Button 49" hidden="1">
              <a:extLst>
                <a:ext uri="{63B3BB69-23CF-44E3-9099-C40C66FF867C}">
                  <a14:compatExt spid="_x0000_s93233"/>
                </a:ext>
                <a:ext uri="{FF2B5EF4-FFF2-40B4-BE49-F238E27FC236}">
                  <a16:creationId xmlns:a16="http://schemas.microsoft.com/office/drawing/2014/main" id="{00000000-0008-0000-0D00-00003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93234" name="Button 50" hidden="1">
              <a:extLst>
                <a:ext uri="{63B3BB69-23CF-44E3-9099-C40C66FF867C}">
                  <a14:compatExt spid="_x0000_s93234"/>
                </a:ext>
                <a:ext uri="{FF2B5EF4-FFF2-40B4-BE49-F238E27FC236}">
                  <a16:creationId xmlns:a16="http://schemas.microsoft.com/office/drawing/2014/main" id="{00000000-0008-0000-0D00-00003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93235" name="Button 51" hidden="1">
              <a:extLst>
                <a:ext uri="{63B3BB69-23CF-44E3-9099-C40C66FF867C}">
                  <a14:compatExt spid="_x0000_s93235"/>
                </a:ext>
                <a:ext uri="{FF2B5EF4-FFF2-40B4-BE49-F238E27FC236}">
                  <a16:creationId xmlns:a16="http://schemas.microsoft.com/office/drawing/2014/main" id="{00000000-0008-0000-0D00-00003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93236" name="Button 52" hidden="1">
              <a:extLst>
                <a:ext uri="{63B3BB69-23CF-44E3-9099-C40C66FF867C}">
                  <a14:compatExt spid="_x0000_s93236"/>
                </a:ext>
                <a:ext uri="{FF2B5EF4-FFF2-40B4-BE49-F238E27FC236}">
                  <a16:creationId xmlns:a16="http://schemas.microsoft.com/office/drawing/2014/main" id="{00000000-0008-0000-0D00-00003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93237" name="Button 53" hidden="1">
              <a:extLst>
                <a:ext uri="{63B3BB69-23CF-44E3-9099-C40C66FF867C}">
                  <a14:compatExt spid="_x0000_s93237"/>
                </a:ext>
                <a:ext uri="{FF2B5EF4-FFF2-40B4-BE49-F238E27FC236}">
                  <a16:creationId xmlns:a16="http://schemas.microsoft.com/office/drawing/2014/main" id="{00000000-0008-0000-0D00-00003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93238" name="Button 54" hidden="1">
              <a:extLst>
                <a:ext uri="{63B3BB69-23CF-44E3-9099-C40C66FF867C}">
                  <a14:compatExt spid="_x0000_s93238"/>
                </a:ext>
                <a:ext uri="{FF2B5EF4-FFF2-40B4-BE49-F238E27FC236}">
                  <a16:creationId xmlns:a16="http://schemas.microsoft.com/office/drawing/2014/main" id="{00000000-0008-0000-0D00-00003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93239" name="Button 55" hidden="1">
              <a:extLst>
                <a:ext uri="{63B3BB69-23CF-44E3-9099-C40C66FF867C}">
                  <a14:compatExt spid="_x0000_s93239"/>
                </a:ext>
                <a:ext uri="{FF2B5EF4-FFF2-40B4-BE49-F238E27FC236}">
                  <a16:creationId xmlns:a16="http://schemas.microsoft.com/office/drawing/2014/main" id="{00000000-0008-0000-0D00-00003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93240" name="Button 56" hidden="1">
              <a:extLst>
                <a:ext uri="{63B3BB69-23CF-44E3-9099-C40C66FF867C}">
                  <a14:compatExt spid="_x0000_s93240"/>
                </a:ext>
                <a:ext uri="{FF2B5EF4-FFF2-40B4-BE49-F238E27FC236}">
                  <a16:creationId xmlns:a16="http://schemas.microsoft.com/office/drawing/2014/main" id="{00000000-0008-0000-0D00-00003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93241" name="Button 57" hidden="1">
              <a:extLst>
                <a:ext uri="{63B3BB69-23CF-44E3-9099-C40C66FF867C}">
                  <a14:compatExt spid="_x0000_s93241"/>
                </a:ext>
                <a:ext uri="{FF2B5EF4-FFF2-40B4-BE49-F238E27FC236}">
                  <a16:creationId xmlns:a16="http://schemas.microsoft.com/office/drawing/2014/main" id="{00000000-0008-0000-0D00-00003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93242" name="Button 58" hidden="1">
              <a:extLst>
                <a:ext uri="{63B3BB69-23CF-44E3-9099-C40C66FF867C}">
                  <a14:compatExt spid="_x0000_s93242"/>
                </a:ext>
                <a:ext uri="{FF2B5EF4-FFF2-40B4-BE49-F238E27FC236}">
                  <a16:creationId xmlns:a16="http://schemas.microsoft.com/office/drawing/2014/main" id="{00000000-0008-0000-0D00-00003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0</xdr:col>
          <xdr:colOff>373380</xdr:colOff>
          <xdr:row>1</xdr:row>
          <xdr:rowOff>30480</xdr:rowOff>
        </xdr:to>
        <xdr:sp macro="" textlink="">
          <xdr:nvSpPr>
            <xdr:cNvPr id="94209" name="Button 1" hidden="1">
              <a:extLst>
                <a:ext uri="{63B3BB69-23CF-44E3-9099-C40C66FF867C}">
                  <a14:compatExt spid="_x0000_s94209"/>
                </a:ext>
                <a:ext uri="{FF2B5EF4-FFF2-40B4-BE49-F238E27FC236}">
                  <a16:creationId xmlns:a16="http://schemas.microsoft.com/office/drawing/2014/main" id="{00000000-0008-0000-0E00-00000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82</xdr:row>
          <xdr:rowOff>45720</xdr:rowOff>
        </xdr:from>
        <xdr:to>
          <xdr:col>16</xdr:col>
          <xdr:colOff>30480</xdr:colOff>
          <xdr:row>83</xdr:row>
          <xdr:rowOff>83820</xdr:rowOff>
        </xdr:to>
        <xdr:sp macro="" textlink="">
          <xdr:nvSpPr>
            <xdr:cNvPr id="94210" name="Button 2" hidden="1">
              <a:extLst>
                <a:ext uri="{63B3BB69-23CF-44E3-9099-C40C66FF867C}">
                  <a14:compatExt spid="_x0000_s94210"/>
                </a:ext>
                <a:ext uri="{FF2B5EF4-FFF2-40B4-BE49-F238E27FC236}">
                  <a16:creationId xmlns:a16="http://schemas.microsoft.com/office/drawing/2014/main" id="{00000000-0008-0000-0E00-00000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94211" name="Button 3" hidden="1">
              <a:extLst>
                <a:ext uri="{63B3BB69-23CF-44E3-9099-C40C66FF867C}">
                  <a14:compatExt spid="_x0000_s94211"/>
                </a:ext>
                <a:ext uri="{FF2B5EF4-FFF2-40B4-BE49-F238E27FC236}">
                  <a16:creationId xmlns:a16="http://schemas.microsoft.com/office/drawing/2014/main" id="{00000000-0008-0000-0E00-00000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94212" name="Button 4" hidden="1">
              <a:extLst>
                <a:ext uri="{63B3BB69-23CF-44E3-9099-C40C66FF867C}">
                  <a14:compatExt spid="_x0000_s94212"/>
                </a:ext>
                <a:ext uri="{FF2B5EF4-FFF2-40B4-BE49-F238E27FC236}">
                  <a16:creationId xmlns:a16="http://schemas.microsoft.com/office/drawing/2014/main" id="{00000000-0008-0000-0E00-00000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94213" name="Button 5" hidden="1">
              <a:extLst>
                <a:ext uri="{63B3BB69-23CF-44E3-9099-C40C66FF867C}">
                  <a14:compatExt spid="_x0000_s94213"/>
                </a:ext>
                <a:ext uri="{FF2B5EF4-FFF2-40B4-BE49-F238E27FC236}">
                  <a16:creationId xmlns:a16="http://schemas.microsoft.com/office/drawing/2014/main" id="{00000000-0008-0000-0E00-00000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94214" name="Button 6" hidden="1">
              <a:extLst>
                <a:ext uri="{63B3BB69-23CF-44E3-9099-C40C66FF867C}">
                  <a14:compatExt spid="_x0000_s94214"/>
                </a:ext>
                <a:ext uri="{FF2B5EF4-FFF2-40B4-BE49-F238E27FC236}">
                  <a16:creationId xmlns:a16="http://schemas.microsoft.com/office/drawing/2014/main" id="{00000000-0008-0000-0E00-00000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94215" name="Button 7" hidden="1">
              <a:extLst>
                <a:ext uri="{63B3BB69-23CF-44E3-9099-C40C66FF867C}">
                  <a14:compatExt spid="_x0000_s94215"/>
                </a:ext>
                <a:ext uri="{FF2B5EF4-FFF2-40B4-BE49-F238E27FC236}">
                  <a16:creationId xmlns:a16="http://schemas.microsoft.com/office/drawing/2014/main" id="{00000000-0008-0000-0E00-00000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94216" name="Button 8" hidden="1">
              <a:extLst>
                <a:ext uri="{63B3BB69-23CF-44E3-9099-C40C66FF867C}">
                  <a14:compatExt spid="_x0000_s94216"/>
                </a:ext>
                <a:ext uri="{FF2B5EF4-FFF2-40B4-BE49-F238E27FC236}">
                  <a16:creationId xmlns:a16="http://schemas.microsoft.com/office/drawing/2014/main" id="{00000000-0008-0000-0E00-00000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94217" name="Button 9" hidden="1">
              <a:extLst>
                <a:ext uri="{63B3BB69-23CF-44E3-9099-C40C66FF867C}">
                  <a14:compatExt spid="_x0000_s94217"/>
                </a:ext>
                <a:ext uri="{FF2B5EF4-FFF2-40B4-BE49-F238E27FC236}">
                  <a16:creationId xmlns:a16="http://schemas.microsoft.com/office/drawing/2014/main" id="{00000000-0008-0000-0E00-00000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94218" name="Button 10" hidden="1">
              <a:extLst>
                <a:ext uri="{63B3BB69-23CF-44E3-9099-C40C66FF867C}">
                  <a14:compatExt spid="_x0000_s94218"/>
                </a:ext>
                <a:ext uri="{FF2B5EF4-FFF2-40B4-BE49-F238E27FC236}">
                  <a16:creationId xmlns:a16="http://schemas.microsoft.com/office/drawing/2014/main" id="{00000000-0008-0000-0E00-00000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94219" name="Button 11" hidden="1">
              <a:extLst>
                <a:ext uri="{63B3BB69-23CF-44E3-9099-C40C66FF867C}">
                  <a14:compatExt spid="_x0000_s94219"/>
                </a:ext>
                <a:ext uri="{FF2B5EF4-FFF2-40B4-BE49-F238E27FC236}">
                  <a16:creationId xmlns:a16="http://schemas.microsoft.com/office/drawing/2014/main" id="{00000000-0008-0000-0E00-00000B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94220" name="Button 12" hidden="1">
              <a:extLst>
                <a:ext uri="{63B3BB69-23CF-44E3-9099-C40C66FF867C}">
                  <a14:compatExt spid="_x0000_s94220"/>
                </a:ext>
                <a:ext uri="{FF2B5EF4-FFF2-40B4-BE49-F238E27FC236}">
                  <a16:creationId xmlns:a16="http://schemas.microsoft.com/office/drawing/2014/main" id="{00000000-0008-0000-0E00-00000C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94221" name="Button 13" hidden="1">
              <a:extLst>
                <a:ext uri="{63B3BB69-23CF-44E3-9099-C40C66FF867C}">
                  <a14:compatExt spid="_x0000_s94221"/>
                </a:ext>
                <a:ext uri="{FF2B5EF4-FFF2-40B4-BE49-F238E27FC236}">
                  <a16:creationId xmlns:a16="http://schemas.microsoft.com/office/drawing/2014/main" id="{00000000-0008-0000-0E00-00000D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94222" name="Button 14" hidden="1">
              <a:extLst>
                <a:ext uri="{63B3BB69-23CF-44E3-9099-C40C66FF867C}">
                  <a14:compatExt spid="_x0000_s94222"/>
                </a:ext>
                <a:ext uri="{FF2B5EF4-FFF2-40B4-BE49-F238E27FC236}">
                  <a16:creationId xmlns:a16="http://schemas.microsoft.com/office/drawing/2014/main" id="{00000000-0008-0000-0E00-00000E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94223" name="Button 15" hidden="1">
              <a:extLst>
                <a:ext uri="{63B3BB69-23CF-44E3-9099-C40C66FF867C}">
                  <a14:compatExt spid="_x0000_s94223"/>
                </a:ext>
                <a:ext uri="{FF2B5EF4-FFF2-40B4-BE49-F238E27FC236}">
                  <a16:creationId xmlns:a16="http://schemas.microsoft.com/office/drawing/2014/main" id="{00000000-0008-0000-0E00-00000F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94224" name="Button 16" hidden="1">
              <a:extLst>
                <a:ext uri="{63B3BB69-23CF-44E3-9099-C40C66FF867C}">
                  <a14:compatExt spid="_x0000_s94224"/>
                </a:ext>
                <a:ext uri="{FF2B5EF4-FFF2-40B4-BE49-F238E27FC236}">
                  <a16:creationId xmlns:a16="http://schemas.microsoft.com/office/drawing/2014/main" id="{00000000-0008-0000-0E00-000010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94225" name="Button 17" hidden="1">
              <a:extLst>
                <a:ext uri="{63B3BB69-23CF-44E3-9099-C40C66FF867C}">
                  <a14:compatExt spid="_x0000_s94225"/>
                </a:ext>
                <a:ext uri="{FF2B5EF4-FFF2-40B4-BE49-F238E27FC236}">
                  <a16:creationId xmlns:a16="http://schemas.microsoft.com/office/drawing/2014/main" id="{00000000-0008-0000-0E00-00001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94226" name="Button 18" hidden="1">
              <a:extLst>
                <a:ext uri="{63B3BB69-23CF-44E3-9099-C40C66FF867C}">
                  <a14:compatExt spid="_x0000_s94226"/>
                </a:ext>
                <a:ext uri="{FF2B5EF4-FFF2-40B4-BE49-F238E27FC236}">
                  <a16:creationId xmlns:a16="http://schemas.microsoft.com/office/drawing/2014/main" id="{00000000-0008-0000-0E00-00001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94227" name="Button 19" hidden="1">
              <a:extLst>
                <a:ext uri="{63B3BB69-23CF-44E3-9099-C40C66FF867C}">
                  <a14:compatExt spid="_x0000_s94227"/>
                </a:ext>
                <a:ext uri="{FF2B5EF4-FFF2-40B4-BE49-F238E27FC236}">
                  <a16:creationId xmlns:a16="http://schemas.microsoft.com/office/drawing/2014/main" id="{00000000-0008-0000-0E00-00001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94228" name="Button 20" hidden="1">
              <a:extLst>
                <a:ext uri="{63B3BB69-23CF-44E3-9099-C40C66FF867C}">
                  <a14:compatExt spid="_x0000_s94228"/>
                </a:ext>
                <a:ext uri="{FF2B5EF4-FFF2-40B4-BE49-F238E27FC236}">
                  <a16:creationId xmlns:a16="http://schemas.microsoft.com/office/drawing/2014/main" id="{00000000-0008-0000-0E00-00001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94229" name="Button 21" hidden="1">
              <a:extLst>
                <a:ext uri="{63B3BB69-23CF-44E3-9099-C40C66FF867C}">
                  <a14:compatExt spid="_x0000_s94229"/>
                </a:ext>
                <a:ext uri="{FF2B5EF4-FFF2-40B4-BE49-F238E27FC236}">
                  <a16:creationId xmlns:a16="http://schemas.microsoft.com/office/drawing/2014/main" id="{00000000-0008-0000-0E00-00001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94230" name="Button 22" hidden="1">
              <a:extLst>
                <a:ext uri="{63B3BB69-23CF-44E3-9099-C40C66FF867C}">
                  <a14:compatExt spid="_x0000_s94230"/>
                </a:ext>
                <a:ext uri="{FF2B5EF4-FFF2-40B4-BE49-F238E27FC236}">
                  <a16:creationId xmlns:a16="http://schemas.microsoft.com/office/drawing/2014/main" id="{00000000-0008-0000-0E00-00001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94231" name="Button 23" hidden="1">
              <a:extLst>
                <a:ext uri="{63B3BB69-23CF-44E3-9099-C40C66FF867C}">
                  <a14:compatExt spid="_x0000_s94231"/>
                </a:ext>
                <a:ext uri="{FF2B5EF4-FFF2-40B4-BE49-F238E27FC236}">
                  <a16:creationId xmlns:a16="http://schemas.microsoft.com/office/drawing/2014/main" id="{00000000-0008-0000-0E00-00001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94232" name="Button 24" hidden="1">
              <a:extLst>
                <a:ext uri="{63B3BB69-23CF-44E3-9099-C40C66FF867C}">
                  <a14:compatExt spid="_x0000_s94232"/>
                </a:ext>
                <a:ext uri="{FF2B5EF4-FFF2-40B4-BE49-F238E27FC236}">
                  <a16:creationId xmlns:a16="http://schemas.microsoft.com/office/drawing/2014/main" id="{00000000-0008-0000-0E00-00001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94233" name="Button 25" hidden="1">
              <a:extLst>
                <a:ext uri="{63B3BB69-23CF-44E3-9099-C40C66FF867C}">
                  <a14:compatExt spid="_x0000_s94233"/>
                </a:ext>
                <a:ext uri="{FF2B5EF4-FFF2-40B4-BE49-F238E27FC236}">
                  <a16:creationId xmlns:a16="http://schemas.microsoft.com/office/drawing/2014/main" id="{00000000-0008-0000-0E00-00001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94234" name="Button 26" hidden="1">
              <a:extLst>
                <a:ext uri="{63B3BB69-23CF-44E3-9099-C40C66FF867C}">
                  <a14:compatExt spid="_x0000_s94234"/>
                </a:ext>
                <a:ext uri="{FF2B5EF4-FFF2-40B4-BE49-F238E27FC236}">
                  <a16:creationId xmlns:a16="http://schemas.microsoft.com/office/drawing/2014/main" id="{00000000-0008-0000-0E00-00001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94235" name="Button 27" hidden="1">
              <a:extLst>
                <a:ext uri="{63B3BB69-23CF-44E3-9099-C40C66FF867C}">
                  <a14:compatExt spid="_x0000_s94235"/>
                </a:ext>
                <a:ext uri="{FF2B5EF4-FFF2-40B4-BE49-F238E27FC236}">
                  <a16:creationId xmlns:a16="http://schemas.microsoft.com/office/drawing/2014/main" id="{00000000-0008-0000-0E00-00001B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94236" name="Button 28" hidden="1">
              <a:extLst>
                <a:ext uri="{63B3BB69-23CF-44E3-9099-C40C66FF867C}">
                  <a14:compatExt spid="_x0000_s94236"/>
                </a:ext>
                <a:ext uri="{FF2B5EF4-FFF2-40B4-BE49-F238E27FC236}">
                  <a16:creationId xmlns:a16="http://schemas.microsoft.com/office/drawing/2014/main" id="{00000000-0008-0000-0E00-00001C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94237" name="Button 29" hidden="1">
              <a:extLst>
                <a:ext uri="{63B3BB69-23CF-44E3-9099-C40C66FF867C}">
                  <a14:compatExt spid="_x0000_s94237"/>
                </a:ext>
                <a:ext uri="{FF2B5EF4-FFF2-40B4-BE49-F238E27FC236}">
                  <a16:creationId xmlns:a16="http://schemas.microsoft.com/office/drawing/2014/main" id="{00000000-0008-0000-0E00-00001D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94238" name="Button 30" hidden="1">
              <a:extLst>
                <a:ext uri="{63B3BB69-23CF-44E3-9099-C40C66FF867C}">
                  <a14:compatExt spid="_x0000_s94238"/>
                </a:ext>
                <a:ext uri="{FF2B5EF4-FFF2-40B4-BE49-F238E27FC236}">
                  <a16:creationId xmlns:a16="http://schemas.microsoft.com/office/drawing/2014/main" id="{00000000-0008-0000-0E00-00001E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94239" name="Button 31" hidden="1">
              <a:extLst>
                <a:ext uri="{63B3BB69-23CF-44E3-9099-C40C66FF867C}">
                  <a14:compatExt spid="_x0000_s94239"/>
                </a:ext>
                <a:ext uri="{FF2B5EF4-FFF2-40B4-BE49-F238E27FC236}">
                  <a16:creationId xmlns:a16="http://schemas.microsoft.com/office/drawing/2014/main" id="{00000000-0008-0000-0E00-00001F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94240" name="Button 32" hidden="1">
              <a:extLst>
                <a:ext uri="{63B3BB69-23CF-44E3-9099-C40C66FF867C}">
                  <a14:compatExt spid="_x0000_s94240"/>
                </a:ext>
                <a:ext uri="{FF2B5EF4-FFF2-40B4-BE49-F238E27FC236}">
                  <a16:creationId xmlns:a16="http://schemas.microsoft.com/office/drawing/2014/main" id="{00000000-0008-0000-0E00-000020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94241" name="Button 33" hidden="1">
              <a:extLst>
                <a:ext uri="{63B3BB69-23CF-44E3-9099-C40C66FF867C}">
                  <a14:compatExt spid="_x0000_s94241"/>
                </a:ext>
                <a:ext uri="{FF2B5EF4-FFF2-40B4-BE49-F238E27FC236}">
                  <a16:creationId xmlns:a16="http://schemas.microsoft.com/office/drawing/2014/main" id="{00000000-0008-0000-0E00-00002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94242" name="Button 34" hidden="1">
              <a:extLst>
                <a:ext uri="{63B3BB69-23CF-44E3-9099-C40C66FF867C}">
                  <a14:compatExt spid="_x0000_s94242"/>
                </a:ext>
                <a:ext uri="{FF2B5EF4-FFF2-40B4-BE49-F238E27FC236}">
                  <a16:creationId xmlns:a16="http://schemas.microsoft.com/office/drawing/2014/main" id="{00000000-0008-0000-0E00-00002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94243" name="Button 35" hidden="1">
              <a:extLst>
                <a:ext uri="{63B3BB69-23CF-44E3-9099-C40C66FF867C}">
                  <a14:compatExt spid="_x0000_s94243"/>
                </a:ext>
                <a:ext uri="{FF2B5EF4-FFF2-40B4-BE49-F238E27FC236}">
                  <a16:creationId xmlns:a16="http://schemas.microsoft.com/office/drawing/2014/main" id="{00000000-0008-0000-0E00-00002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94244" name="Button 36" hidden="1">
              <a:extLst>
                <a:ext uri="{63B3BB69-23CF-44E3-9099-C40C66FF867C}">
                  <a14:compatExt spid="_x0000_s94244"/>
                </a:ext>
                <a:ext uri="{FF2B5EF4-FFF2-40B4-BE49-F238E27FC236}">
                  <a16:creationId xmlns:a16="http://schemas.microsoft.com/office/drawing/2014/main" id="{00000000-0008-0000-0E00-00002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94245" name="Button 37" hidden="1">
              <a:extLst>
                <a:ext uri="{63B3BB69-23CF-44E3-9099-C40C66FF867C}">
                  <a14:compatExt spid="_x0000_s94245"/>
                </a:ext>
                <a:ext uri="{FF2B5EF4-FFF2-40B4-BE49-F238E27FC236}">
                  <a16:creationId xmlns:a16="http://schemas.microsoft.com/office/drawing/2014/main" id="{00000000-0008-0000-0E00-00002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94246" name="Button 38" hidden="1">
              <a:extLst>
                <a:ext uri="{63B3BB69-23CF-44E3-9099-C40C66FF867C}">
                  <a14:compatExt spid="_x0000_s94246"/>
                </a:ext>
                <a:ext uri="{FF2B5EF4-FFF2-40B4-BE49-F238E27FC236}">
                  <a16:creationId xmlns:a16="http://schemas.microsoft.com/office/drawing/2014/main" id="{00000000-0008-0000-0E00-00002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94247" name="Button 39" hidden="1">
              <a:extLst>
                <a:ext uri="{63B3BB69-23CF-44E3-9099-C40C66FF867C}">
                  <a14:compatExt spid="_x0000_s94247"/>
                </a:ext>
                <a:ext uri="{FF2B5EF4-FFF2-40B4-BE49-F238E27FC236}">
                  <a16:creationId xmlns:a16="http://schemas.microsoft.com/office/drawing/2014/main" id="{00000000-0008-0000-0E00-00002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94248" name="Button 40" hidden="1">
              <a:extLst>
                <a:ext uri="{63B3BB69-23CF-44E3-9099-C40C66FF867C}">
                  <a14:compatExt spid="_x0000_s94248"/>
                </a:ext>
                <a:ext uri="{FF2B5EF4-FFF2-40B4-BE49-F238E27FC236}">
                  <a16:creationId xmlns:a16="http://schemas.microsoft.com/office/drawing/2014/main" id="{00000000-0008-0000-0E00-00002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94249" name="Button 41" hidden="1">
              <a:extLst>
                <a:ext uri="{63B3BB69-23CF-44E3-9099-C40C66FF867C}">
                  <a14:compatExt spid="_x0000_s94249"/>
                </a:ext>
                <a:ext uri="{FF2B5EF4-FFF2-40B4-BE49-F238E27FC236}">
                  <a16:creationId xmlns:a16="http://schemas.microsoft.com/office/drawing/2014/main" id="{00000000-0008-0000-0E00-00002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94250" name="Button 42" hidden="1">
              <a:extLst>
                <a:ext uri="{63B3BB69-23CF-44E3-9099-C40C66FF867C}">
                  <a14:compatExt spid="_x0000_s94250"/>
                </a:ext>
                <a:ext uri="{FF2B5EF4-FFF2-40B4-BE49-F238E27FC236}">
                  <a16:creationId xmlns:a16="http://schemas.microsoft.com/office/drawing/2014/main" id="{00000000-0008-0000-0E00-00002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94251" name="Button 43" hidden="1">
              <a:extLst>
                <a:ext uri="{63B3BB69-23CF-44E3-9099-C40C66FF867C}">
                  <a14:compatExt spid="_x0000_s94251"/>
                </a:ext>
                <a:ext uri="{FF2B5EF4-FFF2-40B4-BE49-F238E27FC236}">
                  <a16:creationId xmlns:a16="http://schemas.microsoft.com/office/drawing/2014/main" id="{00000000-0008-0000-0E00-00002B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94252" name="Button 44" hidden="1">
              <a:extLst>
                <a:ext uri="{63B3BB69-23CF-44E3-9099-C40C66FF867C}">
                  <a14:compatExt spid="_x0000_s94252"/>
                </a:ext>
                <a:ext uri="{FF2B5EF4-FFF2-40B4-BE49-F238E27FC236}">
                  <a16:creationId xmlns:a16="http://schemas.microsoft.com/office/drawing/2014/main" id="{00000000-0008-0000-0E00-00002C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94253" name="Button 45" hidden="1">
              <a:extLst>
                <a:ext uri="{63B3BB69-23CF-44E3-9099-C40C66FF867C}">
                  <a14:compatExt spid="_x0000_s94253"/>
                </a:ext>
                <a:ext uri="{FF2B5EF4-FFF2-40B4-BE49-F238E27FC236}">
                  <a16:creationId xmlns:a16="http://schemas.microsoft.com/office/drawing/2014/main" id="{00000000-0008-0000-0E00-00002D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94254" name="Button 46" hidden="1">
              <a:extLst>
                <a:ext uri="{63B3BB69-23CF-44E3-9099-C40C66FF867C}">
                  <a14:compatExt spid="_x0000_s94254"/>
                </a:ext>
                <a:ext uri="{FF2B5EF4-FFF2-40B4-BE49-F238E27FC236}">
                  <a16:creationId xmlns:a16="http://schemas.microsoft.com/office/drawing/2014/main" id="{00000000-0008-0000-0E00-00002E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94255" name="Button 47" hidden="1">
              <a:extLst>
                <a:ext uri="{63B3BB69-23CF-44E3-9099-C40C66FF867C}">
                  <a14:compatExt spid="_x0000_s94255"/>
                </a:ext>
                <a:ext uri="{FF2B5EF4-FFF2-40B4-BE49-F238E27FC236}">
                  <a16:creationId xmlns:a16="http://schemas.microsoft.com/office/drawing/2014/main" id="{00000000-0008-0000-0E00-00002F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94256" name="Button 48" hidden="1">
              <a:extLst>
                <a:ext uri="{63B3BB69-23CF-44E3-9099-C40C66FF867C}">
                  <a14:compatExt spid="_x0000_s94256"/>
                </a:ext>
                <a:ext uri="{FF2B5EF4-FFF2-40B4-BE49-F238E27FC236}">
                  <a16:creationId xmlns:a16="http://schemas.microsoft.com/office/drawing/2014/main" id="{00000000-0008-0000-0E00-000030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94257" name="Button 49" hidden="1">
              <a:extLst>
                <a:ext uri="{63B3BB69-23CF-44E3-9099-C40C66FF867C}">
                  <a14:compatExt spid="_x0000_s94257"/>
                </a:ext>
                <a:ext uri="{FF2B5EF4-FFF2-40B4-BE49-F238E27FC236}">
                  <a16:creationId xmlns:a16="http://schemas.microsoft.com/office/drawing/2014/main" id="{00000000-0008-0000-0E00-00003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94258" name="Button 50" hidden="1">
              <a:extLst>
                <a:ext uri="{63B3BB69-23CF-44E3-9099-C40C66FF867C}">
                  <a14:compatExt spid="_x0000_s94258"/>
                </a:ext>
                <a:ext uri="{FF2B5EF4-FFF2-40B4-BE49-F238E27FC236}">
                  <a16:creationId xmlns:a16="http://schemas.microsoft.com/office/drawing/2014/main" id="{00000000-0008-0000-0E00-00003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94259" name="Button 51" hidden="1">
              <a:extLst>
                <a:ext uri="{63B3BB69-23CF-44E3-9099-C40C66FF867C}">
                  <a14:compatExt spid="_x0000_s94259"/>
                </a:ext>
                <a:ext uri="{FF2B5EF4-FFF2-40B4-BE49-F238E27FC236}">
                  <a16:creationId xmlns:a16="http://schemas.microsoft.com/office/drawing/2014/main" id="{00000000-0008-0000-0E00-00003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94260" name="Button 52" hidden="1">
              <a:extLst>
                <a:ext uri="{63B3BB69-23CF-44E3-9099-C40C66FF867C}">
                  <a14:compatExt spid="_x0000_s94260"/>
                </a:ext>
                <a:ext uri="{FF2B5EF4-FFF2-40B4-BE49-F238E27FC236}">
                  <a16:creationId xmlns:a16="http://schemas.microsoft.com/office/drawing/2014/main" id="{00000000-0008-0000-0E00-00003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94261" name="Button 53" hidden="1">
              <a:extLst>
                <a:ext uri="{63B3BB69-23CF-44E3-9099-C40C66FF867C}">
                  <a14:compatExt spid="_x0000_s94261"/>
                </a:ext>
                <a:ext uri="{FF2B5EF4-FFF2-40B4-BE49-F238E27FC236}">
                  <a16:creationId xmlns:a16="http://schemas.microsoft.com/office/drawing/2014/main" id="{00000000-0008-0000-0E00-00003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94262" name="Button 54" hidden="1">
              <a:extLst>
                <a:ext uri="{63B3BB69-23CF-44E3-9099-C40C66FF867C}">
                  <a14:compatExt spid="_x0000_s94262"/>
                </a:ext>
                <a:ext uri="{FF2B5EF4-FFF2-40B4-BE49-F238E27FC236}">
                  <a16:creationId xmlns:a16="http://schemas.microsoft.com/office/drawing/2014/main" id="{00000000-0008-0000-0E00-00003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94263" name="Button 55" hidden="1">
              <a:extLst>
                <a:ext uri="{63B3BB69-23CF-44E3-9099-C40C66FF867C}">
                  <a14:compatExt spid="_x0000_s94263"/>
                </a:ext>
                <a:ext uri="{FF2B5EF4-FFF2-40B4-BE49-F238E27FC236}">
                  <a16:creationId xmlns:a16="http://schemas.microsoft.com/office/drawing/2014/main" id="{00000000-0008-0000-0E00-00003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94264" name="Button 56" hidden="1">
              <a:extLst>
                <a:ext uri="{63B3BB69-23CF-44E3-9099-C40C66FF867C}">
                  <a14:compatExt spid="_x0000_s94264"/>
                </a:ext>
                <a:ext uri="{FF2B5EF4-FFF2-40B4-BE49-F238E27FC236}">
                  <a16:creationId xmlns:a16="http://schemas.microsoft.com/office/drawing/2014/main" id="{00000000-0008-0000-0E00-00003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94265" name="Button 57" hidden="1">
              <a:extLst>
                <a:ext uri="{63B3BB69-23CF-44E3-9099-C40C66FF867C}">
                  <a14:compatExt spid="_x0000_s94265"/>
                </a:ext>
                <a:ext uri="{FF2B5EF4-FFF2-40B4-BE49-F238E27FC236}">
                  <a16:creationId xmlns:a16="http://schemas.microsoft.com/office/drawing/2014/main" id="{00000000-0008-0000-0E00-00003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94266" name="Button 58" hidden="1">
              <a:extLst>
                <a:ext uri="{63B3BB69-23CF-44E3-9099-C40C66FF867C}">
                  <a14:compatExt spid="_x0000_s94266"/>
                </a:ext>
                <a:ext uri="{FF2B5EF4-FFF2-40B4-BE49-F238E27FC236}">
                  <a16:creationId xmlns:a16="http://schemas.microsoft.com/office/drawing/2014/main" id="{00000000-0008-0000-0E00-00003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1</xdr:row>
          <xdr:rowOff>0</xdr:rowOff>
        </xdr:to>
        <xdr:sp macro="" textlink="">
          <xdr:nvSpPr>
            <xdr:cNvPr id="186369" name="Button 1" hidden="1">
              <a:extLst>
                <a:ext uri="{63B3BB69-23CF-44E3-9099-C40C66FF867C}">
                  <a14:compatExt spid="_x0000_s186369"/>
                </a:ext>
                <a:ext uri="{FF2B5EF4-FFF2-40B4-BE49-F238E27FC236}">
                  <a16:creationId xmlns:a16="http://schemas.microsoft.com/office/drawing/2014/main" id="{00000000-0008-0000-0F00-000001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45720</xdr:rowOff>
        </xdr:from>
        <xdr:to>
          <xdr:col>15</xdr:col>
          <xdr:colOff>541020</xdr:colOff>
          <xdr:row>74</xdr:row>
          <xdr:rowOff>106680</xdr:rowOff>
        </xdr:to>
        <xdr:sp macro="" textlink="">
          <xdr:nvSpPr>
            <xdr:cNvPr id="186370" name="Button 2" hidden="1">
              <a:extLst>
                <a:ext uri="{63B3BB69-23CF-44E3-9099-C40C66FF867C}">
                  <a14:compatExt spid="_x0000_s186370"/>
                </a:ext>
                <a:ext uri="{FF2B5EF4-FFF2-40B4-BE49-F238E27FC236}">
                  <a16:creationId xmlns:a16="http://schemas.microsoft.com/office/drawing/2014/main" id="{00000000-0008-0000-0F00-000002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144780</xdr:rowOff>
        </xdr:to>
        <xdr:sp macro="" textlink="">
          <xdr:nvSpPr>
            <xdr:cNvPr id="186371" name="Button 3" hidden="1">
              <a:extLst>
                <a:ext uri="{63B3BB69-23CF-44E3-9099-C40C66FF867C}">
                  <a14:compatExt spid="_x0000_s186371"/>
                </a:ext>
                <a:ext uri="{FF2B5EF4-FFF2-40B4-BE49-F238E27FC236}">
                  <a16:creationId xmlns:a16="http://schemas.microsoft.com/office/drawing/2014/main" id="{00000000-0008-0000-0F00-000003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144780</xdr:rowOff>
        </xdr:to>
        <xdr:sp macro="" textlink="">
          <xdr:nvSpPr>
            <xdr:cNvPr id="186372" name="Button 4" hidden="1">
              <a:extLst>
                <a:ext uri="{63B3BB69-23CF-44E3-9099-C40C66FF867C}">
                  <a14:compatExt spid="_x0000_s186372"/>
                </a:ext>
                <a:ext uri="{FF2B5EF4-FFF2-40B4-BE49-F238E27FC236}">
                  <a16:creationId xmlns:a16="http://schemas.microsoft.com/office/drawing/2014/main" id="{00000000-0008-0000-0F00-000004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144780</xdr:rowOff>
        </xdr:to>
        <xdr:sp macro="" textlink="">
          <xdr:nvSpPr>
            <xdr:cNvPr id="186373" name="Button 5" hidden="1">
              <a:extLst>
                <a:ext uri="{63B3BB69-23CF-44E3-9099-C40C66FF867C}">
                  <a14:compatExt spid="_x0000_s186373"/>
                </a:ext>
                <a:ext uri="{FF2B5EF4-FFF2-40B4-BE49-F238E27FC236}">
                  <a16:creationId xmlns:a16="http://schemas.microsoft.com/office/drawing/2014/main" id="{00000000-0008-0000-0F00-000005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144780</xdr:rowOff>
        </xdr:to>
        <xdr:sp macro="" textlink="">
          <xdr:nvSpPr>
            <xdr:cNvPr id="186374" name="Button 6" hidden="1">
              <a:extLst>
                <a:ext uri="{63B3BB69-23CF-44E3-9099-C40C66FF867C}">
                  <a14:compatExt spid="_x0000_s186374"/>
                </a:ext>
                <a:ext uri="{FF2B5EF4-FFF2-40B4-BE49-F238E27FC236}">
                  <a16:creationId xmlns:a16="http://schemas.microsoft.com/office/drawing/2014/main" id="{00000000-0008-0000-0F00-000006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1</xdr:row>
          <xdr:rowOff>106680</xdr:rowOff>
        </xdr:to>
        <xdr:sp macro="" textlink="">
          <xdr:nvSpPr>
            <xdr:cNvPr id="187393" name="Button 1" hidden="1">
              <a:extLst>
                <a:ext uri="{63B3BB69-23CF-44E3-9099-C40C66FF867C}">
                  <a14:compatExt spid="_x0000_s187393"/>
                </a:ext>
                <a:ext uri="{FF2B5EF4-FFF2-40B4-BE49-F238E27FC236}">
                  <a16:creationId xmlns:a16="http://schemas.microsoft.com/office/drawing/2014/main" id="{00000000-0008-0000-1000-000001D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45720</xdr:rowOff>
        </xdr:from>
        <xdr:to>
          <xdr:col>15</xdr:col>
          <xdr:colOff>541020</xdr:colOff>
          <xdr:row>74</xdr:row>
          <xdr:rowOff>106680</xdr:rowOff>
        </xdr:to>
        <xdr:sp macro="" textlink="">
          <xdr:nvSpPr>
            <xdr:cNvPr id="187394" name="Button 2" hidden="1">
              <a:extLst>
                <a:ext uri="{63B3BB69-23CF-44E3-9099-C40C66FF867C}">
                  <a14:compatExt spid="_x0000_s187394"/>
                </a:ext>
                <a:ext uri="{FF2B5EF4-FFF2-40B4-BE49-F238E27FC236}">
                  <a16:creationId xmlns:a16="http://schemas.microsoft.com/office/drawing/2014/main" id="{00000000-0008-0000-1000-000002D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2</xdr:row>
          <xdr:rowOff>68580</xdr:rowOff>
        </xdr:to>
        <xdr:sp macro="" textlink="">
          <xdr:nvSpPr>
            <xdr:cNvPr id="187395" name="Button 3" hidden="1">
              <a:extLst>
                <a:ext uri="{63B3BB69-23CF-44E3-9099-C40C66FF867C}">
                  <a14:compatExt spid="_x0000_s187395"/>
                </a:ext>
                <a:ext uri="{FF2B5EF4-FFF2-40B4-BE49-F238E27FC236}">
                  <a16:creationId xmlns:a16="http://schemas.microsoft.com/office/drawing/2014/main" id="{00000000-0008-0000-1000-000003D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2</xdr:row>
          <xdr:rowOff>68580</xdr:rowOff>
        </xdr:to>
        <xdr:sp macro="" textlink="">
          <xdr:nvSpPr>
            <xdr:cNvPr id="187396" name="Button 4" hidden="1">
              <a:extLst>
                <a:ext uri="{63B3BB69-23CF-44E3-9099-C40C66FF867C}">
                  <a14:compatExt spid="_x0000_s187396"/>
                </a:ext>
                <a:ext uri="{FF2B5EF4-FFF2-40B4-BE49-F238E27FC236}">
                  <a16:creationId xmlns:a16="http://schemas.microsoft.com/office/drawing/2014/main" id="{00000000-0008-0000-1000-000004D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2</xdr:row>
          <xdr:rowOff>68580</xdr:rowOff>
        </xdr:to>
        <xdr:sp macro="" textlink="">
          <xdr:nvSpPr>
            <xdr:cNvPr id="187397" name="Button 5" hidden="1">
              <a:extLst>
                <a:ext uri="{63B3BB69-23CF-44E3-9099-C40C66FF867C}">
                  <a14:compatExt spid="_x0000_s187397"/>
                </a:ext>
                <a:ext uri="{FF2B5EF4-FFF2-40B4-BE49-F238E27FC236}">
                  <a16:creationId xmlns:a16="http://schemas.microsoft.com/office/drawing/2014/main" id="{00000000-0008-0000-1000-000005D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2</xdr:row>
          <xdr:rowOff>68580</xdr:rowOff>
        </xdr:to>
        <xdr:sp macro="" textlink="">
          <xdr:nvSpPr>
            <xdr:cNvPr id="187398" name="Button 6" hidden="1">
              <a:extLst>
                <a:ext uri="{63B3BB69-23CF-44E3-9099-C40C66FF867C}">
                  <a14:compatExt spid="_x0000_s187398"/>
                </a:ext>
                <a:ext uri="{FF2B5EF4-FFF2-40B4-BE49-F238E27FC236}">
                  <a16:creationId xmlns:a16="http://schemas.microsoft.com/office/drawing/2014/main" id="{00000000-0008-0000-1000-000006D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2</xdr:row>
          <xdr:rowOff>30480</xdr:rowOff>
        </xdr:to>
        <xdr:sp macro="" textlink="">
          <xdr:nvSpPr>
            <xdr:cNvPr id="188417" name="Button 1" hidden="1">
              <a:extLst>
                <a:ext uri="{63B3BB69-23CF-44E3-9099-C40C66FF867C}">
                  <a14:compatExt spid="_x0000_s188417"/>
                </a:ext>
                <a:ext uri="{FF2B5EF4-FFF2-40B4-BE49-F238E27FC236}">
                  <a16:creationId xmlns:a16="http://schemas.microsoft.com/office/drawing/2014/main" id="{00000000-0008-0000-1100-000001E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45720</xdr:rowOff>
        </xdr:from>
        <xdr:to>
          <xdr:col>15</xdr:col>
          <xdr:colOff>541020</xdr:colOff>
          <xdr:row>74</xdr:row>
          <xdr:rowOff>106680</xdr:rowOff>
        </xdr:to>
        <xdr:sp macro="" textlink="">
          <xdr:nvSpPr>
            <xdr:cNvPr id="188418" name="Button 2" hidden="1">
              <a:extLst>
                <a:ext uri="{63B3BB69-23CF-44E3-9099-C40C66FF867C}">
                  <a14:compatExt spid="_x0000_s188418"/>
                </a:ext>
                <a:ext uri="{FF2B5EF4-FFF2-40B4-BE49-F238E27FC236}">
                  <a16:creationId xmlns:a16="http://schemas.microsoft.com/office/drawing/2014/main" id="{00000000-0008-0000-1100-000002E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3</xdr:row>
          <xdr:rowOff>106680</xdr:rowOff>
        </xdr:to>
        <xdr:sp macro="" textlink="">
          <xdr:nvSpPr>
            <xdr:cNvPr id="188419" name="Button 3" hidden="1">
              <a:extLst>
                <a:ext uri="{63B3BB69-23CF-44E3-9099-C40C66FF867C}">
                  <a14:compatExt spid="_x0000_s188419"/>
                </a:ext>
                <a:ext uri="{FF2B5EF4-FFF2-40B4-BE49-F238E27FC236}">
                  <a16:creationId xmlns:a16="http://schemas.microsoft.com/office/drawing/2014/main" id="{00000000-0008-0000-1100-000003E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3</xdr:row>
          <xdr:rowOff>106680</xdr:rowOff>
        </xdr:to>
        <xdr:sp macro="" textlink="">
          <xdr:nvSpPr>
            <xdr:cNvPr id="188420" name="Button 4" hidden="1">
              <a:extLst>
                <a:ext uri="{63B3BB69-23CF-44E3-9099-C40C66FF867C}">
                  <a14:compatExt spid="_x0000_s188420"/>
                </a:ext>
                <a:ext uri="{FF2B5EF4-FFF2-40B4-BE49-F238E27FC236}">
                  <a16:creationId xmlns:a16="http://schemas.microsoft.com/office/drawing/2014/main" id="{00000000-0008-0000-1100-000004E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3</xdr:row>
          <xdr:rowOff>106680</xdr:rowOff>
        </xdr:to>
        <xdr:sp macro="" textlink="">
          <xdr:nvSpPr>
            <xdr:cNvPr id="188421" name="Button 5" hidden="1">
              <a:extLst>
                <a:ext uri="{63B3BB69-23CF-44E3-9099-C40C66FF867C}">
                  <a14:compatExt spid="_x0000_s188421"/>
                </a:ext>
                <a:ext uri="{FF2B5EF4-FFF2-40B4-BE49-F238E27FC236}">
                  <a16:creationId xmlns:a16="http://schemas.microsoft.com/office/drawing/2014/main" id="{00000000-0008-0000-1100-000005E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3</xdr:row>
          <xdr:rowOff>106680</xdr:rowOff>
        </xdr:to>
        <xdr:sp macro="" textlink="">
          <xdr:nvSpPr>
            <xdr:cNvPr id="188422" name="Button 6" hidden="1">
              <a:extLst>
                <a:ext uri="{63B3BB69-23CF-44E3-9099-C40C66FF867C}">
                  <a14:compatExt spid="_x0000_s188422"/>
                </a:ext>
                <a:ext uri="{FF2B5EF4-FFF2-40B4-BE49-F238E27FC236}">
                  <a16:creationId xmlns:a16="http://schemas.microsoft.com/office/drawing/2014/main" id="{00000000-0008-0000-1100-000006E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0</xdr:col>
          <xdr:colOff>373380</xdr:colOff>
          <xdr:row>1</xdr:row>
          <xdr:rowOff>30480</xdr:rowOff>
        </xdr:to>
        <xdr:sp macro="" textlink="">
          <xdr:nvSpPr>
            <xdr:cNvPr id="158721" name="Button 1" hidden="1">
              <a:extLst>
                <a:ext uri="{63B3BB69-23CF-44E3-9099-C40C66FF867C}">
                  <a14:compatExt spid="_x0000_s158721"/>
                </a:ext>
                <a:ext uri="{FF2B5EF4-FFF2-40B4-BE49-F238E27FC236}">
                  <a16:creationId xmlns:a16="http://schemas.microsoft.com/office/drawing/2014/main" id="{00000000-0008-0000-1200-000001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89</xdr:row>
          <xdr:rowOff>45720</xdr:rowOff>
        </xdr:from>
        <xdr:to>
          <xdr:col>16</xdr:col>
          <xdr:colOff>30480</xdr:colOff>
          <xdr:row>90</xdr:row>
          <xdr:rowOff>106680</xdr:rowOff>
        </xdr:to>
        <xdr:sp macro="" textlink="">
          <xdr:nvSpPr>
            <xdr:cNvPr id="158722" name="Button 2" hidden="1">
              <a:extLst>
                <a:ext uri="{63B3BB69-23CF-44E3-9099-C40C66FF867C}">
                  <a14:compatExt spid="_x0000_s158722"/>
                </a:ext>
                <a:ext uri="{FF2B5EF4-FFF2-40B4-BE49-F238E27FC236}">
                  <a16:creationId xmlns:a16="http://schemas.microsoft.com/office/drawing/2014/main" id="{00000000-0008-0000-1200-000002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58723" name="Button 3" hidden="1">
              <a:extLst>
                <a:ext uri="{63B3BB69-23CF-44E3-9099-C40C66FF867C}">
                  <a14:compatExt spid="_x0000_s158723"/>
                </a:ext>
                <a:ext uri="{FF2B5EF4-FFF2-40B4-BE49-F238E27FC236}">
                  <a16:creationId xmlns:a16="http://schemas.microsoft.com/office/drawing/2014/main" id="{00000000-0008-0000-1200-000003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58724" name="Button 4" hidden="1">
              <a:extLst>
                <a:ext uri="{63B3BB69-23CF-44E3-9099-C40C66FF867C}">
                  <a14:compatExt spid="_x0000_s158724"/>
                </a:ext>
                <a:ext uri="{FF2B5EF4-FFF2-40B4-BE49-F238E27FC236}">
                  <a16:creationId xmlns:a16="http://schemas.microsoft.com/office/drawing/2014/main" id="{00000000-0008-0000-1200-000004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58725" name="Button 5" hidden="1">
              <a:extLst>
                <a:ext uri="{63B3BB69-23CF-44E3-9099-C40C66FF867C}">
                  <a14:compatExt spid="_x0000_s158725"/>
                </a:ext>
                <a:ext uri="{FF2B5EF4-FFF2-40B4-BE49-F238E27FC236}">
                  <a16:creationId xmlns:a16="http://schemas.microsoft.com/office/drawing/2014/main" id="{00000000-0008-0000-1200-000005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58726" name="Button 6" hidden="1">
              <a:extLst>
                <a:ext uri="{63B3BB69-23CF-44E3-9099-C40C66FF867C}">
                  <a14:compatExt spid="_x0000_s158726"/>
                </a:ext>
                <a:ext uri="{FF2B5EF4-FFF2-40B4-BE49-F238E27FC236}">
                  <a16:creationId xmlns:a16="http://schemas.microsoft.com/office/drawing/2014/main" id="{00000000-0008-0000-1200-000006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58727" name="Button 7" hidden="1">
              <a:extLst>
                <a:ext uri="{63B3BB69-23CF-44E3-9099-C40C66FF867C}">
                  <a14:compatExt spid="_x0000_s158727"/>
                </a:ext>
                <a:ext uri="{FF2B5EF4-FFF2-40B4-BE49-F238E27FC236}">
                  <a16:creationId xmlns:a16="http://schemas.microsoft.com/office/drawing/2014/main" id="{00000000-0008-0000-1200-000007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58728" name="Button 8" hidden="1">
              <a:extLst>
                <a:ext uri="{63B3BB69-23CF-44E3-9099-C40C66FF867C}">
                  <a14:compatExt spid="_x0000_s158728"/>
                </a:ext>
                <a:ext uri="{FF2B5EF4-FFF2-40B4-BE49-F238E27FC236}">
                  <a16:creationId xmlns:a16="http://schemas.microsoft.com/office/drawing/2014/main" id="{00000000-0008-0000-1200-000008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58729" name="Button 9" hidden="1">
              <a:extLst>
                <a:ext uri="{63B3BB69-23CF-44E3-9099-C40C66FF867C}">
                  <a14:compatExt spid="_x0000_s158729"/>
                </a:ext>
                <a:ext uri="{FF2B5EF4-FFF2-40B4-BE49-F238E27FC236}">
                  <a16:creationId xmlns:a16="http://schemas.microsoft.com/office/drawing/2014/main" id="{00000000-0008-0000-1200-000009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58730" name="Button 10" hidden="1">
              <a:extLst>
                <a:ext uri="{63B3BB69-23CF-44E3-9099-C40C66FF867C}">
                  <a14:compatExt spid="_x0000_s158730"/>
                </a:ext>
                <a:ext uri="{FF2B5EF4-FFF2-40B4-BE49-F238E27FC236}">
                  <a16:creationId xmlns:a16="http://schemas.microsoft.com/office/drawing/2014/main" id="{00000000-0008-0000-1200-00000A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58731" name="Button 11" hidden="1">
              <a:extLst>
                <a:ext uri="{63B3BB69-23CF-44E3-9099-C40C66FF867C}">
                  <a14:compatExt spid="_x0000_s158731"/>
                </a:ext>
                <a:ext uri="{FF2B5EF4-FFF2-40B4-BE49-F238E27FC236}">
                  <a16:creationId xmlns:a16="http://schemas.microsoft.com/office/drawing/2014/main" id="{00000000-0008-0000-1200-00000B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58732" name="Button 12" hidden="1">
              <a:extLst>
                <a:ext uri="{63B3BB69-23CF-44E3-9099-C40C66FF867C}">
                  <a14:compatExt spid="_x0000_s158732"/>
                </a:ext>
                <a:ext uri="{FF2B5EF4-FFF2-40B4-BE49-F238E27FC236}">
                  <a16:creationId xmlns:a16="http://schemas.microsoft.com/office/drawing/2014/main" id="{00000000-0008-0000-1200-00000C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58733" name="Button 13" hidden="1">
              <a:extLst>
                <a:ext uri="{63B3BB69-23CF-44E3-9099-C40C66FF867C}">
                  <a14:compatExt spid="_x0000_s158733"/>
                </a:ext>
                <a:ext uri="{FF2B5EF4-FFF2-40B4-BE49-F238E27FC236}">
                  <a16:creationId xmlns:a16="http://schemas.microsoft.com/office/drawing/2014/main" id="{00000000-0008-0000-1200-00000D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58734" name="Button 14" hidden="1">
              <a:extLst>
                <a:ext uri="{63B3BB69-23CF-44E3-9099-C40C66FF867C}">
                  <a14:compatExt spid="_x0000_s158734"/>
                </a:ext>
                <a:ext uri="{FF2B5EF4-FFF2-40B4-BE49-F238E27FC236}">
                  <a16:creationId xmlns:a16="http://schemas.microsoft.com/office/drawing/2014/main" id="{00000000-0008-0000-1200-00000E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58735" name="Button 15" hidden="1">
              <a:extLst>
                <a:ext uri="{63B3BB69-23CF-44E3-9099-C40C66FF867C}">
                  <a14:compatExt spid="_x0000_s158735"/>
                </a:ext>
                <a:ext uri="{FF2B5EF4-FFF2-40B4-BE49-F238E27FC236}">
                  <a16:creationId xmlns:a16="http://schemas.microsoft.com/office/drawing/2014/main" id="{00000000-0008-0000-1200-00000F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58736" name="Button 16" hidden="1">
              <a:extLst>
                <a:ext uri="{63B3BB69-23CF-44E3-9099-C40C66FF867C}">
                  <a14:compatExt spid="_x0000_s158736"/>
                </a:ext>
                <a:ext uri="{FF2B5EF4-FFF2-40B4-BE49-F238E27FC236}">
                  <a16:creationId xmlns:a16="http://schemas.microsoft.com/office/drawing/2014/main" id="{00000000-0008-0000-1200-000010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58737" name="Button 17" hidden="1">
              <a:extLst>
                <a:ext uri="{63B3BB69-23CF-44E3-9099-C40C66FF867C}">
                  <a14:compatExt spid="_x0000_s158737"/>
                </a:ext>
                <a:ext uri="{FF2B5EF4-FFF2-40B4-BE49-F238E27FC236}">
                  <a16:creationId xmlns:a16="http://schemas.microsoft.com/office/drawing/2014/main" id="{00000000-0008-0000-1200-000011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58738" name="Button 18" hidden="1">
              <a:extLst>
                <a:ext uri="{63B3BB69-23CF-44E3-9099-C40C66FF867C}">
                  <a14:compatExt spid="_x0000_s158738"/>
                </a:ext>
                <a:ext uri="{FF2B5EF4-FFF2-40B4-BE49-F238E27FC236}">
                  <a16:creationId xmlns:a16="http://schemas.microsoft.com/office/drawing/2014/main" id="{00000000-0008-0000-1200-000012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58739" name="Button 19" hidden="1">
              <a:extLst>
                <a:ext uri="{63B3BB69-23CF-44E3-9099-C40C66FF867C}">
                  <a14:compatExt spid="_x0000_s158739"/>
                </a:ext>
                <a:ext uri="{FF2B5EF4-FFF2-40B4-BE49-F238E27FC236}">
                  <a16:creationId xmlns:a16="http://schemas.microsoft.com/office/drawing/2014/main" id="{00000000-0008-0000-1200-000013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58740" name="Button 20" hidden="1">
              <a:extLst>
                <a:ext uri="{63B3BB69-23CF-44E3-9099-C40C66FF867C}">
                  <a14:compatExt spid="_x0000_s158740"/>
                </a:ext>
                <a:ext uri="{FF2B5EF4-FFF2-40B4-BE49-F238E27FC236}">
                  <a16:creationId xmlns:a16="http://schemas.microsoft.com/office/drawing/2014/main" id="{00000000-0008-0000-1200-000014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58741" name="Button 21" hidden="1">
              <a:extLst>
                <a:ext uri="{63B3BB69-23CF-44E3-9099-C40C66FF867C}">
                  <a14:compatExt spid="_x0000_s158741"/>
                </a:ext>
                <a:ext uri="{FF2B5EF4-FFF2-40B4-BE49-F238E27FC236}">
                  <a16:creationId xmlns:a16="http://schemas.microsoft.com/office/drawing/2014/main" id="{00000000-0008-0000-1200-000015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58742" name="Button 22" hidden="1">
              <a:extLst>
                <a:ext uri="{63B3BB69-23CF-44E3-9099-C40C66FF867C}">
                  <a14:compatExt spid="_x0000_s158742"/>
                </a:ext>
                <a:ext uri="{FF2B5EF4-FFF2-40B4-BE49-F238E27FC236}">
                  <a16:creationId xmlns:a16="http://schemas.microsoft.com/office/drawing/2014/main" id="{00000000-0008-0000-1200-000016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58743" name="Button 23" hidden="1">
              <a:extLst>
                <a:ext uri="{63B3BB69-23CF-44E3-9099-C40C66FF867C}">
                  <a14:compatExt spid="_x0000_s158743"/>
                </a:ext>
                <a:ext uri="{FF2B5EF4-FFF2-40B4-BE49-F238E27FC236}">
                  <a16:creationId xmlns:a16="http://schemas.microsoft.com/office/drawing/2014/main" id="{00000000-0008-0000-1200-000017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58744" name="Button 24" hidden="1">
              <a:extLst>
                <a:ext uri="{63B3BB69-23CF-44E3-9099-C40C66FF867C}">
                  <a14:compatExt spid="_x0000_s158744"/>
                </a:ext>
                <a:ext uri="{FF2B5EF4-FFF2-40B4-BE49-F238E27FC236}">
                  <a16:creationId xmlns:a16="http://schemas.microsoft.com/office/drawing/2014/main" id="{00000000-0008-0000-1200-000018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58745" name="Button 25" hidden="1">
              <a:extLst>
                <a:ext uri="{63B3BB69-23CF-44E3-9099-C40C66FF867C}">
                  <a14:compatExt spid="_x0000_s158745"/>
                </a:ext>
                <a:ext uri="{FF2B5EF4-FFF2-40B4-BE49-F238E27FC236}">
                  <a16:creationId xmlns:a16="http://schemas.microsoft.com/office/drawing/2014/main" id="{00000000-0008-0000-1200-000019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58746" name="Button 26" hidden="1">
              <a:extLst>
                <a:ext uri="{63B3BB69-23CF-44E3-9099-C40C66FF867C}">
                  <a14:compatExt spid="_x0000_s158746"/>
                </a:ext>
                <a:ext uri="{FF2B5EF4-FFF2-40B4-BE49-F238E27FC236}">
                  <a16:creationId xmlns:a16="http://schemas.microsoft.com/office/drawing/2014/main" id="{00000000-0008-0000-1200-00001A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58747" name="Button 27" hidden="1">
              <a:extLst>
                <a:ext uri="{63B3BB69-23CF-44E3-9099-C40C66FF867C}">
                  <a14:compatExt spid="_x0000_s158747"/>
                </a:ext>
                <a:ext uri="{FF2B5EF4-FFF2-40B4-BE49-F238E27FC236}">
                  <a16:creationId xmlns:a16="http://schemas.microsoft.com/office/drawing/2014/main" id="{00000000-0008-0000-1200-00001B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58748" name="Button 28" hidden="1">
              <a:extLst>
                <a:ext uri="{63B3BB69-23CF-44E3-9099-C40C66FF867C}">
                  <a14:compatExt spid="_x0000_s158748"/>
                </a:ext>
                <a:ext uri="{FF2B5EF4-FFF2-40B4-BE49-F238E27FC236}">
                  <a16:creationId xmlns:a16="http://schemas.microsoft.com/office/drawing/2014/main" id="{00000000-0008-0000-1200-00001C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58749" name="Button 29" hidden="1">
              <a:extLst>
                <a:ext uri="{63B3BB69-23CF-44E3-9099-C40C66FF867C}">
                  <a14:compatExt spid="_x0000_s158749"/>
                </a:ext>
                <a:ext uri="{FF2B5EF4-FFF2-40B4-BE49-F238E27FC236}">
                  <a16:creationId xmlns:a16="http://schemas.microsoft.com/office/drawing/2014/main" id="{00000000-0008-0000-1200-00001D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58750" name="Button 30" hidden="1">
              <a:extLst>
                <a:ext uri="{63B3BB69-23CF-44E3-9099-C40C66FF867C}">
                  <a14:compatExt spid="_x0000_s158750"/>
                </a:ext>
                <a:ext uri="{FF2B5EF4-FFF2-40B4-BE49-F238E27FC236}">
                  <a16:creationId xmlns:a16="http://schemas.microsoft.com/office/drawing/2014/main" id="{00000000-0008-0000-1200-00001E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58751" name="Button 31" hidden="1">
              <a:extLst>
                <a:ext uri="{63B3BB69-23CF-44E3-9099-C40C66FF867C}">
                  <a14:compatExt spid="_x0000_s158751"/>
                </a:ext>
                <a:ext uri="{FF2B5EF4-FFF2-40B4-BE49-F238E27FC236}">
                  <a16:creationId xmlns:a16="http://schemas.microsoft.com/office/drawing/2014/main" id="{00000000-0008-0000-1200-00001F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58752" name="Button 32" hidden="1">
              <a:extLst>
                <a:ext uri="{63B3BB69-23CF-44E3-9099-C40C66FF867C}">
                  <a14:compatExt spid="_x0000_s158752"/>
                </a:ext>
                <a:ext uri="{FF2B5EF4-FFF2-40B4-BE49-F238E27FC236}">
                  <a16:creationId xmlns:a16="http://schemas.microsoft.com/office/drawing/2014/main" id="{00000000-0008-0000-1200-000020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58753" name="Button 33" hidden="1">
              <a:extLst>
                <a:ext uri="{63B3BB69-23CF-44E3-9099-C40C66FF867C}">
                  <a14:compatExt spid="_x0000_s158753"/>
                </a:ext>
                <a:ext uri="{FF2B5EF4-FFF2-40B4-BE49-F238E27FC236}">
                  <a16:creationId xmlns:a16="http://schemas.microsoft.com/office/drawing/2014/main" id="{00000000-0008-0000-1200-000021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58754" name="Button 34" hidden="1">
              <a:extLst>
                <a:ext uri="{63B3BB69-23CF-44E3-9099-C40C66FF867C}">
                  <a14:compatExt spid="_x0000_s158754"/>
                </a:ext>
                <a:ext uri="{FF2B5EF4-FFF2-40B4-BE49-F238E27FC236}">
                  <a16:creationId xmlns:a16="http://schemas.microsoft.com/office/drawing/2014/main" id="{00000000-0008-0000-1200-000022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58755" name="Button 35" hidden="1">
              <a:extLst>
                <a:ext uri="{63B3BB69-23CF-44E3-9099-C40C66FF867C}">
                  <a14:compatExt spid="_x0000_s158755"/>
                </a:ext>
                <a:ext uri="{FF2B5EF4-FFF2-40B4-BE49-F238E27FC236}">
                  <a16:creationId xmlns:a16="http://schemas.microsoft.com/office/drawing/2014/main" id="{00000000-0008-0000-1200-000023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58756" name="Button 36" hidden="1">
              <a:extLst>
                <a:ext uri="{63B3BB69-23CF-44E3-9099-C40C66FF867C}">
                  <a14:compatExt spid="_x0000_s158756"/>
                </a:ext>
                <a:ext uri="{FF2B5EF4-FFF2-40B4-BE49-F238E27FC236}">
                  <a16:creationId xmlns:a16="http://schemas.microsoft.com/office/drawing/2014/main" id="{00000000-0008-0000-1200-000024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58757" name="Button 37" hidden="1">
              <a:extLst>
                <a:ext uri="{63B3BB69-23CF-44E3-9099-C40C66FF867C}">
                  <a14:compatExt spid="_x0000_s158757"/>
                </a:ext>
                <a:ext uri="{FF2B5EF4-FFF2-40B4-BE49-F238E27FC236}">
                  <a16:creationId xmlns:a16="http://schemas.microsoft.com/office/drawing/2014/main" id="{00000000-0008-0000-1200-000025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58758" name="Button 38" hidden="1">
              <a:extLst>
                <a:ext uri="{63B3BB69-23CF-44E3-9099-C40C66FF867C}">
                  <a14:compatExt spid="_x0000_s158758"/>
                </a:ext>
                <a:ext uri="{FF2B5EF4-FFF2-40B4-BE49-F238E27FC236}">
                  <a16:creationId xmlns:a16="http://schemas.microsoft.com/office/drawing/2014/main" id="{00000000-0008-0000-1200-000026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58759" name="Button 39" hidden="1">
              <a:extLst>
                <a:ext uri="{63B3BB69-23CF-44E3-9099-C40C66FF867C}">
                  <a14:compatExt spid="_x0000_s158759"/>
                </a:ext>
                <a:ext uri="{FF2B5EF4-FFF2-40B4-BE49-F238E27FC236}">
                  <a16:creationId xmlns:a16="http://schemas.microsoft.com/office/drawing/2014/main" id="{00000000-0008-0000-1200-000027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58760" name="Button 40" hidden="1">
              <a:extLst>
                <a:ext uri="{63B3BB69-23CF-44E3-9099-C40C66FF867C}">
                  <a14:compatExt spid="_x0000_s158760"/>
                </a:ext>
                <a:ext uri="{FF2B5EF4-FFF2-40B4-BE49-F238E27FC236}">
                  <a16:creationId xmlns:a16="http://schemas.microsoft.com/office/drawing/2014/main" id="{00000000-0008-0000-1200-000028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58761" name="Button 41" hidden="1">
              <a:extLst>
                <a:ext uri="{63B3BB69-23CF-44E3-9099-C40C66FF867C}">
                  <a14:compatExt spid="_x0000_s158761"/>
                </a:ext>
                <a:ext uri="{FF2B5EF4-FFF2-40B4-BE49-F238E27FC236}">
                  <a16:creationId xmlns:a16="http://schemas.microsoft.com/office/drawing/2014/main" id="{00000000-0008-0000-1200-000029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58762" name="Button 42" hidden="1">
              <a:extLst>
                <a:ext uri="{63B3BB69-23CF-44E3-9099-C40C66FF867C}">
                  <a14:compatExt spid="_x0000_s158762"/>
                </a:ext>
                <a:ext uri="{FF2B5EF4-FFF2-40B4-BE49-F238E27FC236}">
                  <a16:creationId xmlns:a16="http://schemas.microsoft.com/office/drawing/2014/main" id="{00000000-0008-0000-1200-00002A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58763" name="Button 43" hidden="1">
              <a:extLst>
                <a:ext uri="{63B3BB69-23CF-44E3-9099-C40C66FF867C}">
                  <a14:compatExt spid="_x0000_s158763"/>
                </a:ext>
                <a:ext uri="{FF2B5EF4-FFF2-40B4-BE49-F238E27FC236}">
                  <a16:creationId xmlns:a16="http://schemas.microsoft.com/office/drawing/2014/main" id="{00000000-0008-0000-1200-00002B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58764" name="Button 44" hidden="1">
              <a:extLst>
                <a:ext uri="{63B3BB69-23CF-44E3-9099-C40C66FF867C}">
                  <a14:compatExt spid="_x0000_s158764"/>
                </a:ext>
                <a:ext uri="{FF2B5EF4-FFF2-40B4-BE49-F238E27FC236}">
                  <a16:creationId xmlns:a16="http://schemas.microsoft.com/office/drawing/2014/main" id="{00000000-0008-0000-1200-00002C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58765" name="Button 45" hidden="1">
              <a:extLst>
                <a:ext uri="{63B3BB69-23CF-44E3-9099-C40C66FF867C}">
                  <a14:compatExt spid="_x0000_s158765"/>
                </a:ext>
                <a:ext uri="{FF2B5EF4-FFF2-40B4-BE49-F238E27FC236}">
                  <a16:creationId xmlns:a16="http://schemas.microsoft.com/office/drawing/2014/main" id="{00000000-0008-0000-1200-00002D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58766" name="Button 46" hidden="1">
              <a:extLst>
                <a:ext uri="{63B3BB69-23CF-44E3-9099-C40C66FF867C}">
                  <a14:compatExt spid="_x0000_s158766"/>
                </a:ext>
                <a:ext uri="{FF2B5EF4-FFF2-40B4-BE49-F238E27FC236}">
                  <a16:creationId xmlns:a16="http://schemas.microsoft.com/office/drawing/2014/main" id="{00000000-0008-0000-1200-00002E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58767" name="Button 47" hidden="1">
              <a:extLst>
                <a:ext uri="{63B3BB69-23CF-44E3-9099-C40C66FF867C}">
                  <a14:compatExt spid="_x0000_s158767"/>
                </a:ext>
                <a:ext uri="{FF2B5EF4-FFF2-40B4-BE49-F238E27FC236}">
                  <a16:creationId xmlns:a16="http://schemas.microsoft.com/office/drawing/2014/main" id="{00000000-0008-0000-1200-00002F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58768" name="Button 48" hidden="1">
              <a:extLst>
                <a:ext uri="{63B3BB69-23CF-44E3-9099-C40C66FF867C}">
                  <a14:compatExt spid="_x0000_s158768"/>
                </a:ext>
                <a:ext uri="{FF2B5EF4-FFF2-40B4-BE49-F238E27FC236}">
                  <a16:creationId xmlns:a16="http://schemas.microsoft.com/office/drawing/2014/main" id="{00000000-0008-0000-1200-000030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58769" name="Button 49" hidden="1">
              <a:extLst>
                <a:ext uri="{63B3BB69-23CF-44E3-9099-C40C66FF867C}">
                  <a14:compatExt spid="_x0000_s158769"/>
                </a:ext>
                <a:ext uri="{FF2B5EF4-FFF2-40B4-BE49-F238E27FC236}">
                  <a16:creationId xmlns:a16="http://schemas.microsoft.com/office/drawing/2014/main" id="{00000000-0008-0000-1200-000031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58770" name="Button 50" hidden="1">
              <a:extLst>
                <a:ext uri="{63B3BB69-23CF-44E3-9099-C40C66FF867C}">
                  <a14:compatExt spid="_x0000_s158770"/>
                </a:ext>
                <a:ext uri="{FF2B5EF4-FFF2-40B4-BE49-F238E27FC236}">
                  <a16:creationId xmlns:a16="http://schemas.microsoft.com/office/drawing/2014/main" id="{00000000-0008-0000-1200-000032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58771" name="Button 51" hidden="1">
              <a:extLst>
                <a:ext uri="{63B3BB69-23CF-44E3-9099-C40C66FF867C}">
                  <a14:compatExt spid="_x0000_s158771"/>
                </a:ext>
                <a:ext uri="{FF2B5EF4-FFF2-40B4-BE49-F238E27FC236}">
                  <a16:creationId xmlns:a16="http://schemas.microsoft.com/office/drawing/2014/main" id="{00000000-0008-0000-1200-000033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58772" name="Button 52" hidden="1">
              <a:extLst>
                <a:ext uri="{63B3BB69-23CF-44E3-9099-C40C66FF867C}">
                  <a14:compatExt spid="_x0000_s158772"/>
                </a:ext>
                <a:ext uri="{FF2B5EF4-FFF2-40B4-BE49-F238E27FC236}">
                  <a16:creationId xmlns:a16="http://schemas.microsoft.com/office/drawing/2014/main" id="{00000000-0008-0000-1200-000034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58773" name="Button 53" hidden="1">
              <a:extLst>
                <a:ext uri="{63B3BB69-23CF-44E3-9099-C40C66FF867C}">
                  <a14:compatExt spid="_x0000_s158773"/>
                </a:ext>
                <a:ext uri="{FF2B5EF4-FFF2-40B4-BE49-F238E27FC236}">
                  <a16:creationId xmlns:a16="http://schemas.microsoft.com/office/drawing/2014/main" id="{00000000-0008-0000-1200-000035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58774" name="Button 54" hidden="1">
              <a:extLst>
                <a:ext uri="{63B3BB69-23CF-44E3-9099-C40C66FF867C}">
                  <a14:compatExt spid="_x0000_s158774"/>
                </a:ext>
                <a:ext uri="{FF2B5EF4-FFF2-40B4-BE49-F238E27FC236}">
                  <a16:creationId xmlns:a16="http://schemas.microsoft.com/office/drawing/2014/main" id="{00000000-0008-0000-1200-000036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58775" name="Button 55" hidden="1">
              <a:extLst>
                <a:ext uri="{63B3BB69-23CF-44E3-9099-C40C66FF867C}">
                  <a14:compatExt spid="_x0000_s158775"/>
                </a:ext>
                <a:ext uri="{FF2B5EF4-FFF2-40B4-BE49-F238E27FC236}">
                  <a16:creationId xmlns:a16="http://schemas.microsoft.com/office/drawing/2014/main" id="{00000000-0008-0000-1200-000037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58776" name="Button 56" hidden="1">
              <a:extLst>
                <a:ext uri="{63B3BB69-23CF-44E3-9099-C40C66FF867C}">
                  <a14:compatExt spid="_x0000_s158776"/>
                </a:ext>
                <a:ext uri="{FF2B5EF4-FFF2-40B4-BE49-F238E27FC236}">
                  <a16:creationId xmlns:a16="http://schemas.microsoft.com/office/drawing/2014/main" id="{00000000-0008-0000-1200-000038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58777" name="Button 57" hidden="1">
              <a:extLst>
                <a:ext uri="{63B3BB69-23CF-44E3-9099-C40C66FF867C}">
                  <a14:compatExt spid="_x0000_s158777"/>
                </a:ext>
                <a:ext uri="{FF2B5EF4-FFF2-40B4-BE49-F238E27FC236}">
                  <a16:creationId xmlns:a16="http://schemas.microsoft.com/office/drawing/2014/main" id="{00000000-0008-0000-1200-000039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58778" name="Button 58" hidden="1">
              <a:extLst>
                <a:ext uri="{63B3BB69-23CF-44E3-9099-C40C66FF867C}">
                  <a14:compatExt spid="_x0000_s158778"/>
                </a:ext>
                <a:ext uri="{FF2B5EF4-FFF2-40B4-BE49-F238E27FC236}">
                  <a16:creationId xmlns:a16="http://schemas.microsoft.com/office/drawing/2014/main" id="{00000000-0008-0000-1200-00003A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0</xdr:col>
          <xdr:colOff>373380</xdr:colOff>
          <xdr:row>1</xdr:row>
          <xdr:rowOff>30480</xdr:rowOff>
        </xdr:to>
        <xdr:sp macro="" textlink="">
          <xdr:nvSpPr>
            <xdr:cNvPr id="76801" name="Button 1" hidden="1">
              <a:extLst>
                <a:ext uri="{63B3BB69-23CF-44E3-9099-C40C66FF867C}">
                  <a14:compatExt spid="_x0000_s76801"/>
                </a:ext>
                <a:ext uri="{FF2B5EF4-FFF2-40B4-BE49-F238E27FC236}">
                  <a16:creationId xmlns:a16="http://schemas.microsoft.com/office/drawing/2014/main" id="{00000000-0008-0000-1300-00000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89</xdr:row>
          <xdr:rowOff>45720</xdr:rowOff>
        </xdr:from>
        <xdr:to>
          <xdr:col>16</xdr:col>
          <xdr:colOff>30480</xdr:colOff>
          <xdr:row>90</xdr:row>
          <xdr:rowOff>83820</xdr:rowOff>
        </xdr:to>
        <xdr:sp macro="" textlink="">
          <xdr:nvSpPr>
            <xdr:cNvPr id="76802" name="Button 2" hidden="1">
              <a:extLst>
                <a:ext uri="{63B3BB69-23CF-44E3-9099-C40C66FF867C}">
                  <a14:compatExt spid="_x0000_s76802"/>
                </a:ext>
                <a:ext uri="{FF2B5EF4-FFF2-40B4-BE49-F238E27FC236}">
                  <a16:creationId xmlns:a16="http://schemas.microsoft.com/office/drawing/2014/main" id="{00000000-0008-0000-1300-00000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6803" name="Button 3" hidden="1">
              <a:extLst>
                <a:ext uri="{63B3BB69-23CF-44E3-9099-C40C66FF867C}">
                  <a14:compatExt spid="_x0000_s76803"/>
                </a:ext>
                <a:ext uri="{FF2B5EF4-FFF2-40B4-BE49-F238E27FC236}">
                  <a16:creationId xmlns:a16="http://schemas.microsoft.com/office/drawing/2014/main" id="{00000000-0008-0000-1300-00000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6804" name="Button 4" hidden="1">
              <a:extLst>
                <a:ext uri="{63B3BB69-23CF-44E3-9099-C40C66FF867C}">
                  <a14:compatExt spid="_x0000_s76804"/>
                </a:ext>
                <a:ext uri="{FF2B5EF4-FFF2-40B4-BE49-F238E27FC236}">
                  <a16:creationId xmlns:a16="http://schemas.microsoft.com/office/drawing/2014/main" id="{00000000-0008-0000-1300-00000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6805" name="Button 5" hidden="1">
              <a:extLst>
                <a:ext uri="{63B3BB69-23CF-44E3-9099-C40C66FF867C}">
                  <a14:compatExt spid="_x0000_s76805"/>
                </a:ext>
                <a:ext uri="{FF2B5EF4-FFF2-40B4-BE49-F238E27FC236}">
                  <a16:creationId xmlns:a16="http://schemas.microsoft.com/office/drawing/2014/main" id="{00000000-0008-0000-1300-00000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6806" name="Button 6" hidden="1">
              <a:extLst>
                <a:ext uri="{63B3BB69-23CF-44E3-9099-C40C66FF867C}">
                  <a14:compatExt spid="_x0000_s76806"/>
                </a:ext>
                <a:ext uri="{FF2B5EF4-FFF2-40B4-BE49-F238E27FC236}">
                  <a16:creationId xmlns:a16="http://schemas.microsoft.com/office/drawing/2014/main" id="{00000000-0008-0000-1300-00000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76807" name="Button 7" hidden="1">
              <a:extLst>
                <a:ext uri="{63B3BB69-23CF-44E3-9099-C40C66FF867C}">
                  <a14:compatExt spid="_x0000_s76807"/>
                </a:ext>
                <a:ext uri="{FF2B5EF4-FFF2-40B4-BE49-F238E27FC236}">
                  <a16:creationId xmlns:a16="http://schemas.microsoft.com/office/drawing/2014/main" id="{00000000-0008-0000-1300-00000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76808" name="Button 8" hidden="1">
              <a:extLst>
                <a:ext uri="{63B3BB69-23CF-44E3-9099-C40C66FF867C}">
                  <a14:compatExt spid="_x0000_s76808"/>
                </a:ext>
                <a:ext uri="{FF2B5EF4-FFF2-40B4-BE49-F238E27FC236}">
                  <a16:creationId xmlns:a16="http://schemas.microsoft.com/office/drawing/2014/main" id="{00000000-0008-0000-1300-00000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76809" name="Button 9" hidden="1">
              <a:extLst>
                <a:ext uri="{63B3BB69-23CF-44E3-9099-C40C66FF867C}">
                  <a14:compatExt spid="_x0000_s76809"/>
                </a:ext>
                <a:ext uri="{FF2B5EF4-FFF2-40B4-BE49-F238E27FC236}">
                  <a16:creationId xmlns:a16="http://schemas.microsoft.com/office/drawing/2014/main" id="{00000000-0008-0000-1300-00000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76810" name="Button 10" hidden="1">
              <a:extLst>
                <a:ext uri="{63B3BB69-23CF-44E3-9099-C40C66FF867C}">
                  <a14:compatExt spid="_x0000_s76810"/>
                </a:ext>
                <a:ext uri="{FF2B5EF4-FFF2-40B4-BE49-F238E27FC236}">
                  <a16:creationId xmlns:a16="http://schemas.microsoft.com/office/drawing/2014/main" id="{00000000-0008-0000-1300-00000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76811" name="Button 11" hidden="1">
              <a:extLst>
                <a:ext uri="{63B3BB69-23CF-44E3-9099-C40C66FF867C}">
                  <a14:compatExt spid="_x0000_s76811"/>
                </a:ext>
                <a:ext uri="{FF2B5EF4-FFF2-40B4-BE49-F238E27FC236}">
                  <a16:creationId xmlns:a16="http://schemas.microsoft.com/office/drawing/2014/main" id="{00000000-0008-0000-1300-00000B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76812" name="Button 12" hidden="1">
              <a:extLst>
                <a:ext uri="{63B3BB69-23CF-44E3-9099-C40C66FF867C}">
                  <a14:compatExt spid="_x0000_s76812"/>
                </a:ext>
                <a:ext uri="{FF2B5EF4-FFF2-40B4-BE49-F238E27FC236}">
                  <a16:creationId xmlns:a16="http://schemas.microsoft.com/office/drawing/2014/main" id="{00000000-0008-0000-1300-00000C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76813" name="Button 13" hidden="1">
              <a:extLst>
                <a:ext uri="{63B3BB69-23CF-44E3-9099-C40C66FF867C}">
                  <a14:compatExt spid="_x0000_s76813"/>
                </a:ext>
                <a:ext uri="{FF2B5EF4-FFF2-40B4-BE49-F238E27FC236}">
                  <a16:creationId xmlns:a16="http://schemas.microsoft.com/office/drawing/2014/main" id="{00000000-0008-0000-1300-00000D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76814" name="Button 14" hidden="1">
              <a:extLst>
                <a:ext uri="{63B3BB69-23CF-44E3-9099-C40C66FF867C}">
                  <a14:compatExt spid="_x0000_s76814"/>
                </a:ext>
                <a:ext uri="{FF2B5EF4-FFF2-40B4-BE49-F238E27FC236}">
                  <a16:creationId xmlns:a16="http://schemas.microsoft.com/office/drawing/2014/main" id="{00000000-0008-0000-1300-00000E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76815" name="Button 15" hidden="1">
              <a:extLst>
                <a:ext uri="{63B3BB69-23CF-44E3-9099-C40C66FF867C}">
                  <a14:compatExt spid="_x0000_s76815"/>
                </a:ext>
                <a:ext uri="{FF2B5EF4-FFF2-40B4-BE49-F238E27FC236}">
                  <a16:creationId xmlns:a16="http://schemas.microsoft.com/office/drawing/2014/main" id="{00000000-0008-0000-1300-00000F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76816" name="Button 16" hidden="1">
              <a:extLst>
                <a:ext uri="{63B3BB69-23CF-44E3-9099-C40C66FF867C}">
                  <a14:compatExt spid="_x0000_s76816"/>
                </a:ext>
                <a:ext uri="{FF2B5EF4-FFF2-40B4-BE49-F238E27FC236}">
                  <a16:creationId xmlns:a16="http://schemas.microsoft.com/office/drawing/2014/main" id="{00000000-0008-0000-1300-000010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76817" name="Button 17" hidden="1">
              <a:extLst>
                <a:ext uri="{63B3BB69-23CF-44E3-9099-C40C66FF867C}">
                  <a14:compatExt spid="_x0000_s76817"/>
                </a:ext>
                <a:ext uri="{FF2B5EF4-FFF2-40B4-BE49-F238E27FC236}">
                  <a16:creationId xmlns:a16="http://schemas.microsoft.com/office/drawing/2014/main" id="{00000000-0008-0000-1300-00001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76818" name="Button 18" hidden="1">
              <a:extLst>
                <a:ext uri="{63B3BB69-23CF-44E3-9099-C40C66FF867C}">
                  <a14:compatExt spid="_x0000_s76818"/>
                </a:ext>
                <a:ext uri="{FF2B5EF4-FFF2-40B4-BE49-F238E27FC236}">
                  <a16:creationId xmlns:a16="http://schemas.microsoft.com/office/drawing/2014/main" id="{00000000-0008-0000-1300-00001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76819" name="Button 19" hidden="1">
              <a:extLst>
                <a:ext uri="{63B3BB69-23CF-44E3-9099-C40C66FF867C}">
                  <a14:compatExt spid="_x0000_s76819"/>
                </a:ext>
                <a:ext uri="{FF2B5EF4-FFF2-40B4-BE49-F238E27FC236}">
                  <a16:creationId xmlns:a16="http://schemas.microsoft.com/office/drawing/2014/main" id="{00000000-0008-0000-1300-00001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76820" name="Button 20" hidden="1">
              <a:extLst>
                <a:ext uri="{63B3BB69-23CF-44E3-9099-C40C66FF867C}">
                  <a14:compatExt spid="_x0000_s76820"/>
                </a:ext>
                <a:ext uri="{FF2B5EF4-FFF2-40B4-BE49-F238E27FC236}">
                  <a16:creationId xmlns:a16="http://schemas.microsoft.com/office/drawing/2014/main" id="{00000000-0008-0000-1300-00001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76821" name="Button 21" hidden="1">
              <a:extLst>
                <a:ext uri="{63B3BB69-23CF-44E3-9099-C40C66FF867C}">
                  <a14:compatExt spid="_x0000_s76821"/>
                </a:ext>
                <a:ext uri="{FF2B5EF4-FFF2-40B4-BE49-F238E27FC236}">
                  <a16:creationId xmlns:a16="http://schemas.microsoft.com/office/drawing/2014/main" id="{00000000-0008-0000-1300-00001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76822" name="Button 22" hidden="1">
              <a:extLst>
                <a:ext uri="{63B3BB69-23CF-44E3-9099-C40C66FF867C}">
                  <a14:compatExt spid="_x0000_s76822"/>
                </a:ext>
                <a:ext uri="{FF2B5EF4-FFF2-40B4-BE49-F238E27FC236}">
                  <a16:creationId xmlns:a16="http://schemas.microsoft.com/office/drawing/2014/main" id="{00000000-0008-0000-1300-00001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76823" name="Button 23" hidden="1">
              <a:extLst>
                <a:ext uri="{63B3BB69-23CF-44E3-9099-C40C66FF867C}">
                  <a14:compatExt spid="_x0000_s76823"/>
                </a:ext>
                <a:ext uri="{FF2B5EF4-FFF2-40B4-BE49-F238E27FC236}">
                  <a16:creationId xmlns:a16="http://schemas.microsoft.com/office/drawing/2014/main" id="{00000000-0008-0000-1300-00001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76824" name="Button 24" hidden="1">
              <a:extLst>
                <a:ext uri="{63B3BB69-23CF-44E3-9099-C40C66FF867C}">
                  <a14:compatExt spid="_x0000_s76824"/>
                </a:ext>
                <a:ext uri="{FF2B5EF4-FFF2-40B4-BE49-F238E27FC236}">
                  <a16:creationId xmlns:a16="http://schemas.microsoft.com/office/drawing/2014/main" id="{00000000-0008-0000-1300-00001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76825" name="Button 25" hidden="1">
              <a:extLst>
                <a:ext uri="{63B3BB69-23CF-44E3-9099-C40C66FF867C}">
                  <a14:compatExt spid="_x0000_s76825"/>
                </a:ext>
                <a:ext uri="{FF2B5EF4-FFF2-40B4-BE49-F238E27FC236}">
                  <a16:creationId xmlns:a16="http://schemas.microsoft.com/office/drawing/2014/main" id="{00000000-0008-0000-1300-00001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76826" name="Button 26" hidden="1">
              <a:extLst>
                <a:ext uri="{63B3BB69-23CF-44E3-9099-C40C66FF867C}">
                  <a14:compatExt spid="_x0000_s76826"/>
                </a:ext>
                <a:ext uri="{FF2B5EF4-FFF2-40B4-BE49-F238E27FC236}">
                  <a16:creationId xmlns:a16="http://schemas.microsoft.com/office/drawing/2014/main" id="{00000000-0008-0000-1300-00001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76827" name="Button 27" hidden="1">
              <a:extLst>
                <a:ext uri="{63B3BB69-23CF-44E3-9099-C40C66FF867C}">
                  <a14:compatExt spid="_x0000_s76827"/>
                </a:ext>
                <a:ext uri="{FF2B5EF4-FFF2-40B4-BE49-F238E27FC236}">
                  <a16:creationId xmlns:a16="http://schemas.microsoft.com/office/drawing/2014/main" id="{00000000-0008-0000-1300-00001B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76828" name="Button 28" hidden="1">
              <a:extLst>
                <a:ext uri="{63B3BB69-23CF-44E3-9099-C40C66FF867C}">
                  <a14:compatExt spid="_x0000_s76828"/>
                </a:ext>
                <a:ext uri="{FF2B5EF4-FFF2-40B4-BE49-F238E27FC236}">
                  <a16:creationId xmlns:a16="http://schemas.microsoft.com/office/drawing/2014/main" id="{00000000-0008-0000-1300-00001C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76829" name="Button 29" hidden="1">
              <a:extLst>
                <a:ext uri="{63B3BB69-23CF-44E3-9099-C40C66FF867C}">
                  <a14:compatExt spid="_x0000_s76829"/>
                </a:ext>
                <a:ext uri="{FF2B5EF4-FFF2-40B4-BE49-F238E27FC236}">
                  <a16:creationId xmlns:a16="http://schemas.microsoft.com/office/drawing/2014/main" id="{00000000-0008-0000-1300-00001D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76830" name="Button 30" hidden="1">
              <a:extLst>
                <a:ext uri="{63B3BB69-23CF-44E3-9099-C40C66FF867C}">
                  <a14:compatExt spid="_x0000_s76830"/>
                </a:ext>
                <a:ext uri="{FF2B5EF4-FFF2-40B4-BE49-F238E27FC236}">
                  <a16:creationId xmlns:a16="http://schemas.microsoft.com/office/drawing/2014/main" id="{00000000-0008-0000-1300-00001E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76831" name="Button 31" hidden="1">
              <a:extLst>
                <a:ext uri="{63B3BB69-23CF-44E3-9099-C40C66FF867C}">
                  <a14:compatExt spid="_x0000_s76831"/>
                </a:ext>
                <a:ext uri="{FF2B5EF4-FFF2-40B4-BE49-F238E27FC236}">
                  <a16:creationId xmlns:a16="http://schemas.microsoft.com/office/drawing/2014/main" id="{00000000-0008-0000-1300-00001F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76832" name="Button 32" hidden="1">
              <a:extLst>
                <a:ext uri="{63B3BB69-23CF-44E3-9099-C40C66FF867C}">
                  <a14:compatExt spid="_x0000_s76832"/>
                </a:ext>
                <a:ext uri="{FF2B5EF4-FFF2-40B4-BE49-F238E27FC236}">
                  <a16:creationId xmlns:a16="http://schemas.microsoft.com/office/drawing/2014/main" id="{00000000-0008-0000-1300-000020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76833" name="Button 33" hidden="1">
              <a:extLst>
                <a:ext uri="{63B3BB69-23CF-44E3-9099-C40C66FF867C}">
                  <a14:compatExt spid="_x0000_s76833"/>
                </a:ext>
                <a:ext uri="{FF2B5EF4-FFF2-40B4-BE49-F238E27FC236}">
                  <a16:creationId xmlns:a16="http://schemas.microsoft.com/office/drawing/2014/main" id="{00000000-0008-0000-1300-00002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76834" name="Button 34" hidden="1">
              <a:extLst>
                <a:ext uri="{63B3BB69-23CF-44E3-9099-C40C66FF867C}">
                  <a14:compatExt spid="_x0000_s76834"/>
                </a:ext>
                <a:ext uri="{FF2B5EF4-FFF2-40B4-BE49-F238E27FC236}">
                  <a16:creationId xmlns:a16="http://schemas.microsoft.com/office/drawing/2014/main" id="{00000000-0008-0000-1300-00002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76835" name="Button 35" hidden="1">
              <a:extLst>
                <a:ext uri="{63B3BB69-23CF-44E3-9099-C40C66FF867C}">
                  <a14:compatExt spid="_x0000_s76835"/>
                </a:ext>
                <a:ext uri="{FF2B5EF4-FFF2-40B4-BE49-F238E27FC236}">
                  <a16:creationId xmlns:a16="http://schemas.microsoft.com/office/drawing/2014/main" id="{00000000-0008-0000-1300-00002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76836" name="Button 36" hidden="1">
              <a:extLst>
                <a:ext uri="{63B3BB69-23CF-44E3-9099-C40C66FF867C}">
                  <a14:compatExt spid="_x0000_s76836"/>
                </a:ext>
                <a:ext uri="{FF2B5EF4-FFF2-40B4-BE49-F238E27FC236}">
                  <a16:creationId xmlns:a16="http://schemas.microsoft.com/office/drawing/2014/main" id="{00000000-0008-0000-1300-00002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76837" name="Button 37" hidden="1">
              <a:extLst>
                <a:ext uri="{63B3BB69-23CF-44E3-9099-C40C66FF867C}">
                  <a14:compatExt spid="_x0000_s76837"/>
                </a:ext>
                <a:ext uri="{FF2B5EF4-FFF2-40B4-BE49-F238E27FC236}">
                  <a16:creationId xmlns:a16="http://schemas.microsoft.com/office/drawing/2014/main" id="{00000000-0008-0000-1300-00002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76838" name="Button 38" hidden="1">
              <a:extLst>
                <a:ext uri="{63B3BB69-23CF-44E3-9099-C40C66FF867C}">
                  <a14:compatExt spid="_x0000_s76838"/>
                </a:ext>
                <a:ext uri="{FF2B5EF4-FFF2-40B4-BE49-F238E27FC236}">
                  <a16:creationId xmlns:a16="http://schemas.microsoft.com/office/drawing/2014/main" id="{00000000-0008-0000-1300-00002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76839" name="Button 39" hidden="1">
              <a:extLst>
                <a:ext uri="{63B3BB69-23CF-44E3-9099-C40C66FF867C}">
                  <a14:compatExt spid="_x0000_s76839"/>
                </a:ext>
                <a:ext uri="{FF2B5EF4-FFF2-40B4-BE49-F238E27FC236}">
                  <a16:creationId xmlns:a16="http://schemas.microsoft.com/office/drawing/2014/main" id="{00000000-0008-0000-1300-00002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76840" name="Button 40" hidden="1">
              <a:extLst>
                <a:ext uri="{63B3BB69-23CF-44E3-9099-C40C66FF867C}">
                  <a14:compatExt spid="_x0000_s76840"/>
                </a:ext>
                <a:ext uri="{FF2B5EF4-FFF2-40B4-BE49-F238E27FC236}">
                  <a16:creationId xmlns:a16="http://schemas.microsoft.com/office/drawing/2014/main" id="{00000000-0008-0000-1300-00002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76841" name="Button 41" hidden="1">
              <a:extLst>
                <a:ext uri="{63B3BB69-23CF-44E3-9099-C40C66FF867C}">
                  <a14:compatExt spid="_x0000_s76841"/>
                </a:ext>
                <a:ext uri="{FF2B5EF4-FFF2-40B4-BE49-F238E27FC236}">
                  <a16:creationId xmlns:a16="http://schemas.microsoft.com/office/drawing/2014/main" id="{00000000-0008-0000-1300-00002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76842" name="Button 42" hidden="1">
              <a:extLst>
                <a:ext uri="{63B3BB69-23CF-44E3-9099-C40C66FF867C}">
                  <a14:compatExt spid="_x0000_s76842"/>
                </a:ext>
                <a:ext uri="{FF2B5EF4-FFF2-40B4-BE49-F238E27FC236}">
                  <a16:creationId xmlns:a16="http://schemas.microsoft.com/office/drawing/2014/main" id="{00000000-0008-0000-1300-00002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76843" name="Button 43" hidden="1">
              <a:extLst>
                <a:ext uri="{63B3BB69-23CF-44E3-9099-C40C66FF867C}">
                  <a14:compatExt spid="_x0000_s76843"/>
                </a:ext>
                <a:ext uri="{FF2B5EF4-FFF2-40B4-BE49-F238E27FC236}">
                  <a16:creationId xmlns:a16="http://schemas.microsoft.com/office/drawing/2014/main" id="{00000000-0008-0000-1300-00002B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76844" name="Button 44" hidden="1">
              <a:extLst>
                <a:ext uri="{63B3BB69-23CF-44E3-9099-C40C66FF867C}">
                  <a14:compatExt spid="_x0000_s76844"/>
                </a:ext>
                <a:ext uri="{FF2B5EF4-FFF2-40B4-BE49-F238E27FC236}">
                  <a16:creationId xmlns:a16="http://schemas.microsoft.com/office/drawing/2014/main" id="{00000000-0008-0000-1300-00002C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76845" name="Button 45" hidden="1">
              <a:extLst>
                <a:ext uri="{63B3BB69-23CF-44E3-9099-C40C66FF867C}">
                  <a14:compatExt spid="_x0000_s76845"/>
                </a:ext>
                <a:ext uri="{FF2B5EF4-FFF2-40B4-BE49-F238E27FC236}">
                  <a16:creationId xmlns:a16="http://schemas.microsoft.com/office/drawing/2014/main" id="{00000000-0008-0000-1300-00002D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76846" name="Button 46" hidden="1">
              <a:extLst>
                <a:ext uri="{63B3BB69-23CF-44E3-9099-C40C66FF867C}">
                  <a14:compatExt spid="_x0000_s76846"/>
                </a:ext>
                <a:ext uri="{FF2B5EF4-FFF2-40B4-BE49-F238E27FC236}">
                  <a16:creationId xmlns:a16="http://schemas.microsoft.com/office/drawing/2014/main" id="{00000000-0008-0000-1300-00002E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76847" name="Button 47" hidden="1">
              <a:extLst>
                <a:ext uri="{63B3BB69-23CF-44E3-9099-C40C66FF867C}">
                  <a14:compatExt spid="_x0000_s76847"/>
                </a:ext>
                <a:ext uri="{FF2B5EF4-FFF2-40B4-BE49-F238E27FC236}">
                  <a16:creationId xmlns:a16="http://schemas.microsoft.com/office/drawing/2014/main" id="{00000000-0008-0000-1300-00002F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76848" name="Button 48" hidden="1">
              <a:extLst>
                <a:ext uri="{63B3BB69-23CF-44E3-9099-C40C66FF867C}">
                  <a14:compatExt spid="_x0000_s76848"/>
                </a:ext>
                <a:ext uri="{FF2B5EF4-FFF2-40B4-BE49-F238E27FC236}">
                  <a16:creationId xmlns:a16="http://schemas.microsoft.com/office/drawing/2014/main" id="{00000000-0008-0000-1300-000030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76849" name="Button 49" hidden="1">
              <a:extLst>
                <a:ext uri="{63B3BB69-23CF-44E3-9099-C40C66FF867C}">
                  <a14:compatExt spid="_x0000_s76849"/>
                </a:ext>
                <a:ext uri="{FF2B5EF4-FFF2-40B4-BE49-F238E27FC236}">
                  <a16:creationId xmlns:a16="http://schemas.microsoft.com/office/drawing/2014/main" id="{00000000-0008-0000-1300-00003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76850" name="Button 50" hidden="1">
              <a:extLst>
                <a:ext uri="{63B3BB69-23CF-44E3-9099-C40C66FF867C}">
                  <a14:compatExt spid="_x0000_s76850"/>
                </a:ext>
                <a:ext uri="{FF2B5EF4-FFF2-40B4-BE49-F238E27FC236}">
                  <a16:creationId xmlns:a16="http://schemas.microsoft.com/office/drawing/2014/main" id="{00000000-0008-0000-1300-00003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76851" name="Button 51" hidden="1">
              <a:extLst>
                <a:ext uri="{63B3BB69-23CF-44E3-9099-C40C66FF867C}">
                  <a14:compatExt spid="_x0000_s76851"/>
                </a:ext>
                <a:ext uri="{FF2B5EF4-FFF2-40B4-BE49-F238E27FC236}">
                  <a16:creationId xmlns:a16="http://schemas.microsoft.com/office/drawing/2014/main" id="{00000000-0008-0000-1300-00003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76852" name="Button 52" hidden="1">
              <a:extLst>
                <a:ext uri="{63B3BB69-23CF-44E3-9099-C40C66FF867C}">
                  <a14:compatExt spid="_x0000_s76852"/>
                </a:ext>
                <a:ext uri="{FF2B5EF4-FFF2-40B4-BE49-F238E27FC236}">
                  <a16:creationId xmlns:a16="http://schemas.microsoft.com/office/drawing/2014/main" id="{00000000-0008-0000-1300-00003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76853" name="Button 53" hidden="1">
              <a:extLst>
                <a:ext uri="{63B3BB69-23CF-44E3-9099-C40C66FF867C}">
                  <a14:compatExt spid="_x0000_s76853"/>
                </a:ext>
                <a:ext uri="{FF2B5EF4-FFF2-40B4-BE49-F238E27FC236}">
                  <a16:creationId xmlns:a16="http://schemas.microsoft.com/office/drawing/2014/main" id="{00000000-0008-0000-1300-00003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76854" name="Button 54" hidden="1">
              <a:extLst>
                <a:ext uri="{63B3BB69-23CF-44E3-9099-C40C66FF867C}">
                  <a14:compatExt spid="_x0000_s76854"/>
                </a:ext>
                <a:ext uri="{FF2B5EF4-FFF2-40B4-BE49-F238E27FC236}">
                  <a16:creationId xmlns:a16="http://schemas.microsoft.com/office/drawing/2014/main" id="{00000000-0008-0000-1300-00003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76855" name="Button 55" hidden="1">
              <a:extLst>
                <a:ext uri="{63B3BB69-23CF-44E3-9099-C40C66FF867C}">
                  <a14:compatExt spid="_x0000_s76855"/>
                </a:ext>
                <a:ext uri="{FF2B5EF4-FFF2-40B4-BE49-F238E27FC236}">
                  <a16:creationId xmlns:a16="http://schemas.microsoft.com/office/drawing/2014/main" id="{00000000-0008-0000-1300-00003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76856" name="Button 56" hidden="1">
              <a:extLst>
                <a:ext uri="{63B3BB69-23CF-44E3-9099-C40C66FF867C}">
                  <a14:compatExt spid="_x0000_s76856"/>
                </a:ext>
                <a:ext uri="{FF2B5EF4-FFF2-40B4-BE49-F238E27FC236}">
                  <a16:creationId xmlns:a16="http://schemas.microsoft.com/office/drawing/2014/main" id="{00000000-0008-0000-1300-00003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76857" name="Button 57" hidden="1">
              <a:extLst>
                <a:ext uri="{63B3BB69-23CF-44E3-9099-C40C66FF867C}">
                  <a14:compatExt spid="_x0000_s76857"/>
                </a:ext>
                <a:ext uri="{FF2B5EF4-FFF2-40B4-BE49-F238E27FC236}">
                  <a16:creationId xmlns:a16="http://schemas.microsoft.com/office/drawing/2014/main" id="{00000000-0008-0000-1300-00003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76858" name="Button 58" hidden="1">
              <a:extLst>
                <a:ext uri="{63B3BB69-23CF-44E3-9099-C40C66FF867C}">
                  <a14:compatExt spid="_x0000_s76858"/>
                </a:ext>
                <a:ext uri="{FF2B5EF4-FFF2-40B4-BE49-F238E27FC236}">
                  <a16:creationId xmlns:a16="http://schemas.microsoft.com/office/drawing/2014/main" id="{00000000-0008-0000-1300-00003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0</xdr:col>
          <xdr:colOff>373380</xdr:colOff>
          <xdr:row>1</xdr:row>
          <xdr:rowOff>30480</xdr:rowOff>
        </xdr:to>
        <xdr:sp macro="" textlink="">
          <xdr:nvSpPr>
            <xdr:cNvPr id="77825" name="Button 1" hidden="1">
              <a:extLst>
                <a:ext uri="{63B3BB69-23CF-44E3-9099-C40C66FF867C}">
                  <a14:compatExt spid="_x0000_s77825"/>
                </a:ext>
                <a:ext uri="{FF2B5EF4-FFF2-40B4-BE49-F238E27FC236}">
                  <a16:creationId xmlns:a16="http://schemas.microsoft.com/office/drawing/2014/main" id="{00000000-0008-0000-1400-00000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88</xdr:row>
          <xdr:rowOff>45720</xdr:rowOff>
        </xdr:from>
        <xdr:to>
          <xdr:col>16</xdr:col>
          <xdr:colOff>30480</xdr:colOff>
          <xdr:row>89</xdr:row>
          <xdr:rowOff>83820</xdr:rowOff>
        </xdr:to>
        <xdr:sp macro="" textlink="">
          <xdr:nvSpPr>
            <xdr:cNvPr id="77826" name="Button 2" hidden="1">
              <a:extLst>
                <a:ext uri="{63B3BB69-23CF-44E3-9099-C40C66FF867C}">
                  <a14:compatExt spid="_x0000_s77826"/>
                </a:ext>
                <a:ext uri="{FF2B5EF4-FFF2-40B4-BE49-F238E27FC236}">
                  <a16:creationId xmlns:a16="http://schemas.microsoft.com/office/drawing/2014/main" id="{00000000-0008-0000-1400-00000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7827" name="Button 3" hidden="1">
              <a:extLst>
                <a:ext uri="{63B3BB69-23CF-44E3-9099-C40C66FF867C}">
                  <a14:compatExt spid="_x0000_s77827"/>
                </a:ext>
                <a:ext uri="{FF2B5EF4-FFF2-40B4-BE49-F238E27FC236}">
                  <a16:creationId xmlns:a16="http://schemas.microsoft.com/office/drawing/2014/main" id="{00000000-0008-0000-1400-00000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7828" name="Button 4" hidden="1">
              <a:extLst>
                <a:ext uri="{63B3BB69-23CF-44E3-9099-C40C66FF867C}">
                  <a14:compatExt spid="_x0000_s77828"/>
                </a:ext>
                <a:ext uri="{FF2B5EF4-FFF2-40B4-BE49-F238E27FC236}">
                  <a16:creationId xmlns:a16="http://schemas.microsoft.com/office/drawing/2014/main" id="{00000000-0008-0000-1400-00000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7829" name="Button 5" hidden="1">
              <a:extLst>
                <a:ext uri="{63B3BB69-23CF-44E3-9099-C40C66FF867C}">
                  <a14:compatExt spid="_x0000_s77829"/>
                </a:ext>
                <a:ext uri="{FF2B5EF4-FFF2-40B4-BE49-F238E27FC236}">
                  <a16:creationId xmlns:a16="http://schemas.microsoft.com/office/drawing/2014/main" id="{00000000-0008-0000-1400-00000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7830" name="Button 6" hidden="1">
              <a:extLst>
                <a:ext uri="{63B3BB69-23CF-44E3-9099-C40C66FF867C}">
                  <a14:compatExt spid="_x0000_s77830"/>
                </a:ext>
                <a:ext uri="{FF2B5EF4-FFF2-40B4-BE49-F238E27FC236}">
                  <a16:creationId xmlns:a16="http://schemas.microsoft.com/office/drawing/2014/main" id="{00000000-0008-0000-1400-00000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77831" name="Button 7" hidden="1">
              <a:extLst>
                <a:ext uri="{63B3BB69-23CF-44E3-9099-C40C66FF867C}">
                  <a14:compatExt spid="_x0000_s77831"/>
                </a:ext>
                <a:ext uri="{FF2B5EF4-FFF2-40B4-BE49-F238E27FC236}">
                  <a16:creationId xmlns:a16="http://schemas.microsoft.com/office/drawing/2014/main" id="{00000000-0008-0000-1400-00000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77832" name="Button 8" hidden="1">
              <a:extLst>
                <a:ext uri="{63B3BB69-23CF-44E3-9099-C40C66FF867C}">
                  <a14:compatExt spid="_x0000_s77832"/>
                </a:ext>
                <a:ext uri="{FF2B5EF4-FFF2-40B4-BE49-F238E27FC236}">
                  <a16:creationId xmlns:a16="http://schemas.microsoft.com/office/drawing/2014/main" id="{00000000-0008-0000-1400-00000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77833" name="Button 9" hidden="1">
              <a:extLst>
                <a:ext uri="{63B3BB69-23CF-44E3-9099-C40C66FF867C}">
                  <a14:compatExt spid="_x0000_s77833"/>
                </a:ext>
                <a:ext uri="{FF2B5EF4-FFF2-40B4-BE49-F238E27FC236}">
                  <a16:creationId xmlns:a16="http://schemas.microsoft.com/office/drawing/2014/main" id="{00000000-0008-0000-1400-00000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77834" name="Button 10" hidden="1">
              <a:extLst>
                <a:ext uri="{63B3BB69-23CF-44E3-9099-C40C66FF867C}">
                  <a14:compatExt spid="_x0000_s77834"/>
                </a:ext>
                <a:ext uri="{FF2B5EF4-FFF2-40B4-BE49-F238E27FC236}">
                  <a16:creationId xmlns:a16="http://schemas.microsoft.com/office/drawing/2014/main" id="{00000000-0008-0000-1400-00000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77835" name="Button 11" hidden="1">
              <a:extLst>
                <a:ext uri="{63B3BB69-23CF-44E3-9099-C40C66FF867C}">
                  <a14:compatExt spid="_x0000_s77835"/>
                </a:ext>
                <a:ext uri="{FF2B5EF4-FFF2-40B4-BE49-F238E27FC236}">
                  <a16:creationId xmlns:a16="http://schemas.microsoft.com/office/drawing/2014/main" id="{00000000-0008-0000-1400-00000B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77836" name="Button 12" hidden="1">
              <a:extLst>
                <a:ext uri="{63B3BB69-23CF-44E3-9099-C40C66FF867C}">
                  <a14:compatExt spid="_x0000_s77836"/>
                </a:ext>
                <a:ext uri="{FF2B5EF4-FFF2-40B4-BE49-F238E27FC236}">
                  <a16:creationId xmlns:a16="http://schemas.microsoft.com/office/drawing/2014/main" id="{00000000-0008-0000-1400-00000C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77837" name="Button 13" hidden="1">
              <a:extLst>
                <a:ext uri="{63B3BB69-23CF-44E3-9099-C40C66FF867C}">
                  <a14:compatExt spid="_x0000_s77837"/>
                </a:ext>
                <a:ext uri="{FF2B5EF4-FFF2-40B4-BE49-F238E27FC236}">
                  <a16:creationId xmlns:a16="http://schemas.microsoft.com/office/drawing/2014/main" id="{00000000-0008-0000-1400-00000D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77838" name="Button 14" hidden="1">
              <a:extLst>
                <a:ext uri="{63B3BB69-23CF-44E3-9099-C40C66FF867C}">
                  <a14:compatExt spid="_x0000_s77838"/>
                </a:ext>
                <a:ext uri="{FF2B5EF4-FFF2-40B4-BE49-F238E27FC236}">
                  <a16:creationId xmlns:a16="http://schemas.microsoft.com/office/drawing/2014/main" id="{00000000-0008-0000-1400-00000E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77839" name="Button 15" hidden="1">
              <a:extLst>
                <a:ext uri="{63B3BB69-23CF-44E3-9099-C40C66FF867C}">
                  <a14:compatExt spid="_x0000_s77839"/>
                </a:ext>
                <a:ext uri="{FF2B5EF4-FFF2-40B4-BE49-F238E27FC236}">
                  <a16:creationId xmlns:a16="http://schemas.microsoft.com/office/drawing/2014/main" id="{00000000-0008-0000-1400-00000F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77840" name="Button 16" hidden="1">
              <a:extLst>
                <a:ext uri="{63B3BB69-23CF-44E3-9099-C40C66FF867C}">
                  <a14:compatExt spid="_x0000_s77840"/>
                </a:ext>
                <a:ext uri="{FF2B5EF4-FFF2-40B4-BE49-F238E27FC236}">
                  <a16:creationId xmlns:a16="http://schemas.microsoft.com/office/drawing/2014/main" id="{00000000-0008-0000-1400-000010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77841" name="Button 17" hidden="1">
              <a:extLst>
                <a:ext uri="{63B3BB69-23CF-44E3-9099-C40C66FF867C}">
                  <a14:compatExt spid="_x0000_s77841"/>
                </a:ext>
                <a:ext uri="{FF2B5EF4-FFF2-40B4-BE49-F238E27FC236}">
                  <a16:creationId xmlns:a16="http://schemas.microsoft.com/office/drawing/2014/main" id="{00000000-0008-0000-1400-00001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77842" name="Button 18" hidden="1">
              <a:extLst>
                <a:ext uri="{63B3BB69-23CF-44E3-9099-C40C66FF867C}">
                  <a14:compatExt spid="_x0000_s77842"/>
                </a:ext>
                <a:ext uri="{FF2B5EF4-FFF2-40B4-BE49-F238E27FC236}">
                  <a16:creationId xmlns:a16="http://schemas.microsoft.com/office/drawing/2014/main" id="{00000000-0008-0000-1400-00001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77843" name="Button 19" hidden="1">
              <a:extLst>
                <a:ext uri="{63B3BB69-23CF-44E3-9099-C40C66FF867C}">
                  <a14:compatExt spid="_x0000_s77843"/>
                </a:ext>
                <a:ext uri="{FF2B5EF4-FFF2-40B4-BE49-F238E27FC236}">
                  <a16:creationId xmlns:a16="http://schemas.microsoft.com/office/drawing/2014/main" id="{00000000-0008-0000-1400-00001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77844" name="Button 20" hidden="1">
              <a:extLst>
                <a:ext uri="{63B3BB69-23CF-44E3-9099-C40C66FF867C}">
                  <a14:compatExt spid="_x0000_s77844"/>
                </a:ext>
                <a:ext uri="{FF2B5EF4-FFF2-40B4-BE49-F238E27FC236}">
                  <a16:creationId xmlns:a16="http://schemas.microsoft.com/office/drawing/2014/main" id="{00000000-0008-0000-1400-00001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77845" name="Button 21" hidden="1">
              <a:extLst>
                <a:ext uri="{63B3BB69-23CF-44E3-9099-C40C66FF867C}">
                  <a14:compatExt spid="_x0000_s77845"/>
                </a:ext>
                <a:ext uri="{FF2B5EF4-FFF2-40B4-BE49-F238E27FC236}">
                  <a16:creationId xmlns:a16="http://schemas.microsoft.com/office/drawing/2014/main" id="{00000000-0008-0000-1400-00001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77846" name="Button 22" hidden="1">
              <a:extLst>
                <a:ext uri="{63B3BB69-23CF-44E3-9099-C40C66FF867C}">
                  <a14:compatExt spid="_x0000_s77846"/>
                </a:ext>
                <a:ext uri="{FF2B5EF4-FFF2-40B4-BE49-F238E27FC236}">
                  <a16:creationId xmlns:a16="http://schemas.microsoft.com/office/drawing/2014/main" id="{00000000-0008-0000-1400-00001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77847" name="Button 23" hidden="1">
              <a:extLst>
                <a:ext uri="{63B3BB69-23CF-44E3-9099-C40C66FF867C}">
                  <a14:compatExt spid="_x0000_s77847"/>
                </a:ext>
                <a:ext uri="{FF2B5EF4-FFF2-40B4-BE49-F238E27FC236}">
                  <a16:creationId xmlns:a16="http://schemas.microsoft.com/office/drawing/2014/main" id="{00000000-0008-0000-1400-00001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77848" name="Button 24" hidden="1">
              <a:extLst>
                <a:ext uri="{63B3BB69-23CF-44E3-9099-C40C66FF867C}">
                  <a14:compatExt spid="_x0000_s77848"/>
                </a:ext>
                <a:ext uri="{FF2B5EF4-FFF2-40B4-BE49-F238E27FC236}">
                  <a16:creationId xmlns:a16="http://schemas.microsoft.com/office/drawing/2014/main" id="{00000000-0008-0000-1400-00001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77849" name="Button 25" hidden="1">
              <a:extLst>
                <a:ext uri="{63B3BB69-23CF-44E3-9099-C40C66FF867C}">
                  <a14:compatExt spid="_x0000_s77849"/>
                </a:ext>
                <a:ext uri="{FF2B5EF4-FFF2-40B4-BE49-F238E27FC236}">
                  <a16:creationId xmlns:a16="http://schemas.microsoft.com/office/drawing/2014/main" id="{00000000-0008-0000-1400-00001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77850" name="Button 26" hidden="1">
              <a:extLst>
                <a:ext uri="{63B3BB69-23CF-44E3-9099-C40C66FF867C}">
                  <a14:compatExt spid="_x0000_s77850"/>
                </a:ext>
                <a:ext uri="{FF2B5EF4-FFF2-40B4-BE49-F238E27FC236}">
                  <a16:creationId xmlns:a16="http://schemas.microsoft.com/office/drawing/2014/main" id="{00000000-0008-0000-1400-00001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77851" name="Button 27" hidden="1">
              <a:extLst>
                <a:ext uri="{63B3BB69-23CF-44E3-9099-C40C66FF867C}">
                  <a14:compatExt spid="_x0000_s77851"/>
                </a:ext>
                <a:ext uri="{FF2B5EF4-FFF2-40B4-BE49-F238E27FC236}">
                  <a16:creationId xmlns:a16="http://schemas.microsoft.com/office/drawing/2014/main" id="{00000000-0008-0000-1400-00001B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77852" name="Button 28" hidden="1">
              <a:extLst>
                <a:ext uri="{63B3BB69-23CF-44E3-9099-C40C66FF867C}">
                  <a14:compatExt spid="_x0000_s77852"/>
                </a:ext>
                <a:ext uri="{FF2B5EF4-FFF2-40B4-BE49-F238E27FC236}">
                  <a16:creationId xmlns:a16="http://schemas.microsoft.com/office/drawing/2014/main" id="{00000000-0008-0000-1400-00001C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77853" name="Button 29" hidden="1">
              <a:extLst>
                <a:ext uri="{63B3BB69-23CF-44E3-9099-C40C66FF867C}">
                  <a14:compatExt spid="_x0000_s77853"/>
                </a:ext>
                <a:ext uri="{FF2B5EF4-FFF2-40B4-BE49-F238E27FC236}">
                  <a16:creationId xmlns:a16="http://schemas.microsoft.com/office/drawing/2014/main" id="{00000000-0008-0000-1400-00001D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77854" name="Button 30" hidden="1">
              <a:extLst>
                <a:ext uri="{63B3BB69-23CF-44E3-9099-C40C66FF867C}">
                  <a14:compatExt spid="_x0000_s77854"/>
                </a:ext>
                <a:ext uri="{FF2B5EF4-FFF2-40B4-BE49-F238E27FC236}">
                  <a16:creationId xmlns:a16="http://schemas.microsoft.com/office/drawing/2014/main" id="{00000000-0008-0000-1400-00001E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77855" name="Button 31" hidden="1">
              <a:extLst>
                <a:ext uri="{63B3BB69-23CF-44E3-9099-C40C66FF867C}">
                  <a14:compatExt spid="_x0000_s77855"/>
                </a:ext>
                <a:ext uri="{FF2B5EF4-FFF2-40B4-BE49-F238E27FC236}">
                  <a16:creationId xmlns:a16="http://schemas.microsoft.com/office/drawing/2014/main" id="{00000000-0008-0000-1400-00001F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77856" name="Button 32" hidden="1">
              <a:extLst>
                <a:ext uri="{63B3BB69-23CF-44E3-9099-C40C66FF867C}">
                  <a14:compatExt spid="_x0000_s77856"/>
                </a:ext>
                <a:ext uri="{FF2B5EF4-FFF2-40B4-BE49-F238E27FC236}">
                  <a16:creationId xmlns:a16="http://schemas.microsoft.com/office/drawing/2014/main" id="{00000000-0008-0000-1400-000020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77857" name="Button 33" hidden="1">
              <a:extLst>
                <a:ext uri="{63B3BB69-23CF-44E3-9099-C40C66FF867C}">
                  <a14:compatExt spid="_x0000_s77857"/>
                </a:ext>
                <a:ext uri="{FF2B5EF4-FFF2-40B4-BE49-F238E27FC236}">
                  <a16:creationId xmlns:a16="http://schemas.microsoft.com/office/drawing/2014/main" id="{00000000-0008-0000-1400-00002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77858" name="Button 34" hidden="1">
              <a:extLst>
                <a:ext uri="{63B3BB69-23CF-44E3-9099-C40C66FF867C}">
                  <a14:compatExt spid="_x0000_s77858"/>
                </a:ext>
                <a:ext uri="{FF2B5EF4-FFF2-40B4-BE49-F238E27FC236}">
                  <a16:creationId xmlns:a16="http://schemas.microsoft.com/office/drawing/2014/main" id="{00000000-0008-0000-1400-00002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77859" name="Button 35" hidden="1">
              <a:extLst>
                <a:ext uri="{63B3BB69-23CF-44E3-9099-C40C66FF867C}">
                  <a14:compatExt spid="_x0000_s77859"/>
                </a:ext>
                <a:ext uri="{FF2B5EF4-FFF2-40B4-BE49-F238E27FC236}">
                  <a16:creationId xmlns:a16="http://schemas.microsoft.com/office/drawing/2014/main" id="{00000000-0008-0000-1400-00002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77860" name="Button 36" hidden="1">
              <a:extLst>
                <a:ext uri="{63B3BB69-23CF-44E3-9099-C40C66FF867C}">
                  <a14:compatExt spid="_x0000_s77860"/>
                </a:ext>
                <a:ext uri="{FF2B5EF4-FFF2-40B4-BE49-F238E27FC236}">
                  <a16:creationId xmlns:a16="http://schemas.microsoft.com/office/drawing/2014/main" id="{00000000-0008-0000-1400-00002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77861" name="Button 37" hidden="1">
              <a:extLst>
                <a:ext uri="{63B3BB69-23CF-44E3-9099-C40C66FF867C}">
                  <a14:compatExt spid="_x0000_s77861"/>
                </a:ext>
                <a:ext uri="{FF2B5EF4-FFF2-40B4-BE49-F238E27FC236}">
                  <a16:creationId xmlns:a16="http://schemas.microsoft.com/office/drawing/2014/main" id="{00000000-0008-0000-1400-00002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77862" name="Button 38" hidden="1">
              <a:extLst>
                <a:ext uri="{63B3BB69-23CF-44E3-9099-C40C66FF867C}">
                  <a14:compatExt spid="_x0000_s77862"/>
                </a:ext>
                <a:ext uri="{FF2B5EF4-FFF2-40B4-BE49-F238E27FC236}">
                  <a16:creationId xmlns:a16="http://schemas.microsoft.com/office/drawing/2014/main" id="{00000000-0008-0000-1400-00002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77863" name="Button 39" hidden="1">
              <a:extLst>
                <a:ext uri="{63B3BB69-23CF-44E3-9099-C40C66FF867C}">
                  <a14:compatExt spid="_x0000_s77863"/>
                </a:ext>
                <a:ext uri="{FF2B5EF4-FFF2-40B4-BE49-F238E27FC236}">
                  <a16:creationId xmlns:a16="http://schemas.microsoft.com/office/drawing/2014/main" id="{00000000-0008-0000-1400-00002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77864" name="Button 40" hidden="1">
              <a:extLst>
                <a:ext uri="{63B3BB69-23CF-44E3-9099-C40C66FF867C}">
                  <a14:compatExt spid="_x0000_s77864"/>
                </a:ext>
                <a:ext uri="{FF2B5EF4-FFF2-40B4-BE49-F238E27FC236}">
                  <a16:creationId xmlns:a16="http://schemas.microsoft.com/office/drawing/2014/main" id="{00000000-0008-0000-1400-00002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77865" name="Button 41" hidden="1">
              <a:extLst>
                <a:ext uri="{63B3BB69-23CF-44E3-9099-C40C66FF867C}">
                  <a14:compatExt spid="_x0000_s77865"/>
                </a:ext>
                <a:ext uri="{FF2B5EF4-FFF2-40B4-BE49-F238E27FC236}">
                  <a16:creationId xmlns:a16="http://schemas.microsoft.com/office/drawing/2014/main" id="{00000000-0008-0000-1400-00002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77866" name="Button 42" hidden="1">
              <a:extLst>
                <a:ext uri="{63B3BB69-23CF-44E3-9099-C40C66FF867C}">
                  <a14:compatExt spid="_x0000_s77866"/>
                </a:ext>
                <a:ext uri="{FF2B5EF4-FFF2-40B4-BE49-F238E27FC236}">
                  <a16:creationId xmlns:a16="http://schemas.microsoft.com/office/drawing/2014/main" id="{00000000-0008-0000-1400-00002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77867" name="Button 43" hidden="1">
              <a:extLst>
                <a:ext uri="{63B3BB69-23CF-44E3-9099-C40C66FF867C}">
                  <a14:compatExt spid="_x0000_s77867"/>
                </a:ext>
                <a:ext uri="{FF2B5EF4-FFF2-40B4-BE49-F238E27FC236}">
                  <a16:creationId xmlns:a16="http://schemas.microsoft.com/office/drawing/2014/main" id="{00000000-0008-0000-1400-00002B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77868" name="Button 44" hidden="1">
              <a:extLst>
                <a:ext uri="{63B3BB69-23CF-44E3-9099-C40C66FF867C}">
                  <a14:compatExt spid="_x0000_s77868"/>
                </a:ext>
                <a:ext uri="{FF2B5EF4-FFF2-40B4-BE49-F238E27FC236}">
                  <a16:creationId xmlns:a16="http://schemas.microsoft.com/office/drawing/2014/main" id="{00000000-0008-0000-1400-00002C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77869" name="Button 45" hidden="1">
              <a:extLst>
                <a:ext uri="{63B3BB69-23CF-44E3-9099-C40C66FF867C}">
                  <a14:compatExt spid="_x0000_s77869"/>
                </a:ext>
                <a:ext uri="{FF2B5EF4-FFF2-40B4-BE49-F238E27FC236}">
                  <a16:creationId xmlns:a16="http://schemas.microsoft.com/office/drawing/2014/main" id="{00000000-0008-0000-1400-00002D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77870" name="Button 46" hidden="1">
              <a:extLst>
                <a:ext uri="{63B3BB69-23CF-44E3-9099-C40C66FF867C}">
                  <a14:compatExt spid="_x0000_s77870"/>
                </a:ext>
                <a:ext uri="{FF2B5EF4-FFF2-40B4-BE49-F238E27FC236}">
                  <a16:creationId xmlns:a16="http://schemas.microsoft.com/office/drawing/2014/main" id="{00000000-0008-0000-1400-00002E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77871" name="Button 47" hidden="1">
              <a:extLst>
                <a:ext uri="{63B3BB69-23CF-44E3-9099-C40C66FF867C}">
                  <a14:compatExt spid="_x0000_s77871"/>
                </a:ext>
                <a:ext uri="{FF2B5EF4-FFF2-40B4-BE49-F238E27FC236}">
                  <a16:creationId xmlns:a16="http://schemas.microsoft.com/office/drawing/2014/main" id="{00000000-0008-0000-1400-00002F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77872" name="Button 48" hidden="1">
              <a:extLst>
                <a:ext uri="{63B3BB69-23CF-44E3-9099-C40C66FF867C}">
                  <a14:compatExt spid="_x0000_s77872"/>
                </a:ext>
                <a:ext uri="{FF2B5EF4-FFF2-40B4-BE49-F238E27FC236}">
                  <a16:creationId xmlns:a16="http://schemas.microsoft.com/office/drawing/2014/main" id="{00000000-0008-0000-1400-000030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77873" name="Button 49" hidden="1">
              <a:extLst>
                <a:ext uri="{63B3BB69-23CF-44E3-9099-C40C66FF867C}">
                  <a14:compatExt spid="_x0000_s77873"/>
                </a:ext>
                <a:ext uri="{FF2B5EF4-FFF2-40B4-BE49-F238E27FC236}">
                  <a16:creationId xmlns:a16="http://schemas.microsoft.com/office/drawing/2014/main" id="{00000000-0008-0000-1400-00003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77874" name="Button 50" hidden="1">
              <a:extLst>
                <a:ext uri="{63B3BB69-23CF-44E3-9099-C40C66FF867C}">
                  <a14:compatExt spid="_x0000_s77874"/>
                </a:ext>
                <a:ext uri="{FF2B5EF4-FFF2-40B4-BE49-F238E27FC236}">
                  <a16:creationId xmlns:a16="http://schemas.microsoft.com/office/drawing/2014/main" id="{00000000-0008-0000-1400-00003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77875" name="Button 51" hidden="1">
              <a:extLst>
                <a:ext uri="{63B3BB69-23CF-44E3-9099-C40C66FF867C}">
                  <a14:compatExt spid="_x0000_s77875"/>
                </a:ext>
                <a:ext uri="{FF2B5EF4-FFF2-40B4-BE49-F238E27FC236}">
                  <a16:creationId xmlns:a16="http://schemas.microsoft.com/office/drawing/2014/main" id="{00000000-0008-0000-1400-00003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77876" name="Button 52" hidden="1">
              <a:extLst>
                <a:ext uri="{63B3BB69-23CF-44E3-9099-C40C66FF867C}">
                  <a14:compatExt spid="_x0000_s77876"/>
                </a:ext>
                <a:ext uri="{FF2B5EF4-FFF2-40B4-BE49-F238E27FC236}">
                  <a16:creationId xmlns:a16="http://schemas.microsoft.com/office/drawing/2014/main" id="{00000000-0008-0000-1400-00003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77877" name="Button 53" hidden="1">
              <a:extLst>
                <a:ext uri="{63B3BB69-23CF-44E3-9099-C40C66FF867C}">
                  <a14:compatExt spid="_x0000_s77877"/>
                </a:ext>
                <a:ext uri="{FF2B5EF4-FFF2-40B4-BE49-F238E27FC236}">
                  <a16:creationId xmlns:a16="http://schemas.microsoft.com/office/drawing/2014/main" id="{00000000-0008-0000-1400-00003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77878" name="Button 54" hidden="1">
              <a:extLst>
                <a:ext uri="{63B3BB69-23CF-44E3-9099-C40C66FF867C}">
                  <a14:compatExt spid="_x0000_s77878"/>
                </a:ext>
                <a:ext uri="{FF2B5EF4-FFF2-40B4-BE49-F238E27FC236}">
                  <a16:creationId xmlns:a16="http://schemas.microsoft.com/office/drawing/2014/main" id="{00000000-0008-0000-1400-00003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77879" name="Button 55" hidden="1">
              <a:extLst>
                <a:ext uri="{63B3BB69-23CF-44E3-9099-C40C66FF867C}">
                  <a14:compatExt spid="_x0000_s77879"/>
                </a:ext>
                <a:ext uri="{FF2B5EF4-FFF2-40B4-BE49-F238E27FC236}">
                  <a16:creationId xmlns:a16="http://schemas.microsoft.com/office/drawing/2014/main" id="{00000000-0008-0000-1400-00003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77880" name="Button 56" hidden="1">
              <a:extLst>
                <a:ext uri="{63B3BB69-23CF-44E3-9099-C40C66FF867C}">
                  <a14:compatExt spid="_x0000_s77880"/>
                </a:ext>
                <a:ext uri="{FF2B5EF4-FFF2-40B4-BE49-F238E27FC236}">
                  <a16:creationId xmlns:a16="http://schemas.microsoft.com/office/drawing/2014/main" id="{00000000-0008-0000-1400-00003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77881" name="Button 57" hidden="1">
              <a:extLst>
                <a:ext uri="{63B3BB69-23CF-44E3-9099-C40C66FF867C}">
                  <a14:compatExt spid="_x0000_s77881"/>
                </a:ext>
                <a:ext uri="{FF2B5EF4-FFF2-40B4-BE49-F238E27FC236}">
                  <a16:creationId xmlns:a16="http://schemas.microsoft.com/office/drawing/2014/main" id="{00000000-0008-0000-1400-00003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77882" name="Button 58" hidden="1">
              <a:extLst>
                <a:ext uri="{63B3BB69-23CF-44E3-9099-C40C66FF867C}">
                  <a14:compatExt spid="_x0000_s77882"/>
                </a:ext>
                <a:ext uri="{FF2B5EF4-FFF2-40B4-BE49-F238E27FC236}">
                  <a16:creationId xmlns:a16="http://schemas.microsoft.com/office/drawing/2014/main" id="{00000000-0008-0000-1400-00003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8849" name="Button 1" hidden="1">
              <a:extLst>
                <a:ext uri="{63B3BB69-23CF-44E3-9099-C40C66FF867C}">
                  <a14:compatExt spid="_x0000_s78849"/>
                </a:ext>
                <a:ext uri="{FF2B5EF4-FFF2-40B4-BE49-F238E27FC236}">
                  <a16:creationId xmlns:a16="http://schemas.microsoft.com/office/drawing/2014/main" id="{00000000-0008-0000-1500-0000013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388620</xdr:colOff>
          <xdr:row>82</xdr:row>
          <xdr:rowOff>38100</xdr:rowOff>
        </xdr:from>
        <xdr:to>
          <xdr:col>30</xdr:col>
          <xdr:colOff>160020</xdr:colOff>
          <xdr:row>83</xdr:row>
          <xdr:rowOff>83820</xdr:rowOff>
        </xdr:to>
        <xdr:sp macro="" textlink="">
          <xdr:nvSpPr>
            <xdr:cNvPr id="78850" name="Button 2" hidden="1">
              <a:extLst>
                <a:ext uri="{63B3BB69-23CF-44E3-9099-C40C66FF867C}">
                  <a14:compatExt spid="_x0000_s78850"/>
                </a:ext>
                <a:ext uri="{FF2B5EF4-FFF2-40B4-BE49-F238E27FC236}">
                  <a16:creationId xmlns:a16="http://schemas.microsoft.com/office/drawing/2014/main" id="{00000000-0008-0000-1500-0000023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214017" name="Button 1" hidden="1">
              <a:extLst>
                <a:ext uri="{63B3BB69-23CF-44E3-9099-C40C66FF867C}">
                  <a14:compatExt spid="_x0000_s214017"/>
                </a:ext>
                <a:ext uri="{FF2B5EF4-FFF2-40B4-BE49-F238E27FC236}">
                  <a16:creationId xmlns:a16="http://schemas.microsoft.com/office/drawing/2014/main" id="{00000000-0008-0000-1600-0000014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388620</xdr:colOff>
          <xdr:row>83</xdr:row>
          <xdr:rowOff>38100</xdr:rowOff>
        </xdr:from>
        <xdr:to>
          <xdr:col>30</xdr:col>
          <xdr:colOff>160020</xdr:colOff>
          <xdr:row>84</xdr:row>
          <xdr:rowOff>83820</xdr:rowOff>
        </xdr:to>
        <xdr:sp macro="" textlink="">
          <xdr:nvSpPr>
            <xdr:cNvPr id="214018" name="Button 2" hidden="1">
              <a:extLst>
                <a:ext uri="{63B3BB69-23CF-44E3-9099-C40C66FF867C}">
                  <a14:compatExt spid="_x0000_s214018"/>
                </a:ext>
                <a:ext uri="{FF2B5EF4-FFF2-40B4-BE49-F238E27FC236}">
                  <a16:creationId xmlns:a16="http://schemas.microsoft.com/office/drawing/2014/main" id="{00000000-0008-0000-1600-0000024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411480</xdr:colOff>
          <xdr:row>1</xdr:row>
          <xdr:rowOff>45720</xdr:rowOff>
        </xdr:to>
        <xdr:sp macro="" textlink="">
          <xdr:nvSpPr>
            <xdr:cNvPr id="214019" name="Button 3" hidden="1">
              <a:extLst>
                <a:ext uri="{63B3BB69-23CF-44E3-9099-C40C66FF867C}">
                  <a14:compatExt spid="_x0000_s214019"/>
                </a:ext>
                <a:ext uri="{FF2B5EF4-FFF2-40B4-BE49-F238E27FC236}">
                  <a16:creationId xmlns:a16="http://schemas.microsoft.com/office/drawing/2014/main" id="{00000000-0008-0000-1600-0000034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388620</xdr:colOff>
          <xdr:row>87</xdr:row>
          <xdr:rowOff>38100</xdr:rowOff>
        </xdr:from>
        <xdr:to>
          <xdr:col>30</xdr:col>
          <xdr:colOff>160020</xdr:colOff>
          <xdr:row>88</xdr:row>
          <xdr:rowOff>83820</xdr:rowOff>
        </xdr:to>
        <xdr:sp macro="" textlink="">
          <xdr:nvSpPr>
            <xdr:cNvPr id="214020" name="Button 4" hidden="1">
              <a:extLst>
                <a:ext uri="{63B3BB69-23CF-44E3-9099-C40C66FF867C}">
                  <a14:compatExt spid="_x0000_s214020"/>
                </a:ext>
                <a:ext uri="{FF2B5EF4-FFF2-40B4-BE49-F238E27FC236}">
                  <a16:creationId xmlns:a16="http://schemas.microsoft.com/office/drawing/2014/main" id="{00000000-0008-0000-1600-0000044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9873" name="Button 1" hidden="1">
              <a:extLst>
                <a:ext uri="{63B3BB69-23CF-44E3-9099-C40C66FF867C}">
                  <a14:compatExt spid="_x0000_s79873"/>
                </a:ext>
                <a:ext uri="{FF2B5EF4-FFF2-40B4-BE49-F238E27FC236}">
                  <a16:creationId xmlns:a16="http://schemas.microsoft.com/office/drawing/2014/main" id="{00000000-0008-0000-1700-0000013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9874" name="Button 2" hidden="1">
              <a:extLst>
                <a:ext uri="{63B3BB69-23CF-44E3-9099-C40C66FF867C}">
                  <a14:compatExt spid="_x0000_s79874"/>
                </a:ext>
                <a:ext uri="{FF2B5EF4-FFF2-40B4-BE49-F238E27FC236}">
                  <a16:creationId xmlns:a16="http://schemas.microsoft.com/office/drawing/2014/main" id="{00000000-0008-0000-1700-0000023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79875" name="Button 3" hidden="1">
              <a:extLst>
                <a:ext uri="{63B3BB69-23CF-44E3-9099-C40C66FF867C}">
                  <a14:compatExt spid="_x0000_s79875"/>
                </a:ext>
                <a:ext uri="{FF2B5EF4-FFF2-40B4-BE49-F238E27FC236}">
                  <a16:creationId xmlns:a16="http://schemas.microsoft.com/office/drawing/2014/main" id="{00000000-0008-0000-1700-0000033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0</xdr:row>
          <xdr:rowOff>160020</xdr:rowOff>
        </xdr:to>
        <xdr:sp macro="" textlink="">
          <xdr:nvSpPr>
            <xdr:cNvPr id="80897" name="Button 1" hidden="1">
              <a:extLst>
                <a:ext uri="{63B3BB69-23CF-44E3-9099-C40C66FF867C}">
                  <a14:compatExt spid="_x0000_s80897"/>
                </a:ext>
                <a:ext uri="{FF2B5EF4-FFF2-40B4-BE49-F238E27FC236}">
                  <a16:creationId xmlns:a16="http://schemas.microsoft.com/office/drawing/2014/main" id="{00000000-0008-0000-1800-000001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68</xdr:row>
          <xdr:rowOff>45720</xdr:rowOff>
        </xdr:from>
        <xdr:to>
          <xdr:col>15</xdr:col>
          <xdr:colOff>541020</xdr:colOff>
          <xdr:row>69</xdr:row>
          <xdr:rowOff>106680</xdr:rowOff>
        </xdr:to>
        <xdr:sp macro="" textlink="">
          <xdr:nvSpPr>
            <xdr:cNvPr id="80898" name="Button 2" hidden="1">
              <a:extLst>
                <a:ext uri="{63B3BB69-23CF-44E3-9099-C40C66FF867C}">
                  <a14:compatExt spid="_x0000_s80898"/>
                </a:ext>
                <a:ext uri="{FF2B5EF4-FFF2-40B4-BE49-F238E27FC236}">
                  <a16:creationId xmlns:a16="http://schemas.microsoft.com/office/drawing/2014/main" id="{00000000-0008-0000-1800-000002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80899" name="Button 3" hidden="1">
              <a:extLst>
                <a:ext uri="{63B3BB69-23CF-44E3-9099-C40C66FF867C}">
                  <a14:compatExt spid="_x0000_s80899"/>
                </a:ext>
                <a:ext uri="{FF2B5EF4-FFF2-40B4-BE49-F238E27FC236}">
                  <a16:creationId xmlns:a16="http://schemas.microsoft.com/office/drawing/2014/main" id="{00000000-0008-0000-1800-000003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80900" name="Button 4" hidden="1">
              <a:extLst>
                <a:ext uri="{63B3BB69-23CF-44E3-9099-C40C66FF867C}">
                  <a14:compatExt spid="_x0000_s80900"/>
                </a:ext>
                <a:ext uri="{FF2B5EF4-FFF2-40B4-BE49-F238E27FC236}">
                  <a16:creationId xmlns:a16="http://schemas.microsoft.com/office/drawing/2014/main" id="{00000000-0008-0000-1800-000004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80901" name="Button 5" hidden="1">
              <a:extLst>
                <a:ext uri="{63B3BB69-23CF-44E3-9099-C40C66FF867C}">
                  <a14:compatExt spid="_x0000_s80901"/>
                </a:ext>
                <a:ext uri="{FF2B5EF4-FFF2-40B4-BE49-F238E27FC236}">
                  <a16:creationId xmlns:a16="http://schemas.microsoft.com/office/drawing/2014/main" id="{00000000-0008-0000-1800-000005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80902" name="Button 6" hidden="1">
              <a:extLst>
                <a:ext uri="{63B3BB69-23CF-44E3-9099-C40C66FF867C}">
                  <a14:compatExt spid="_x0000_s80902"/>
                </a:ext>
                <a:ext uri="{FF2B5EF4-FFF2-40B4-BE49-F238E27FC236}">
                  <a16:creationId xmlns:a16="http://schemas.microsoft.com/office/drawing/2014/main" id="{00000000-0008-0000-1800-000006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0</xdr:row>
          <xdr:rowOff>160020</xdr:rowOff>
        </xdr:to>
        <xdr:sp macro="" textlink="">
          <xdr:nvSpPr>
            <xdr:cNvPr id="172033" name="Button 1" hidden="1">
              <a:extLst>
                <a:ext uri="{63B3BB69-23CF-44E3-9099-C40C66FF867C}">
                  <a14:compatExt spid="_x0000_s172033"/>
                </a:ext>
                <a:ext uri="{FF2B5EF4-FFF2-40B4-BE49-F238E27FC236}">
                  <a16:creationId xmlns:a16="http://schemas.microsoft.com/office/drawing/2014/main" id="{00000000-0008-0000-1900-000001A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45720</xdr:rowOff>
        </xdr:from>
        <xdr:to>
          <xdr:col>15</xdr:col>
          <xdr:colOff>541020</xdr:colOff>
          <xdr:row>74</xdr:row>
          <xdr:rowOff>106680</xdr:rowOff>
        </xdr:to>
        <xdr:sp macro="" textlink="">
          <xdr:nvSpPr>
            <xdr:cNvPr id="172034" name="Button 2" hidden="1">
              <a:extLst>
                <a:ext uri="{63B3BB69-23CF-44E3-9099-C40C66FF867C}">
                  <a14:compatExt spid="_x0000_s172034"/>
                </a:ext>
                <a:ext uri="{FF2B5EF4-FFF2-40B4-BE49-F238E27FC236}">
                  <a16:creationId xmlns:a16="http://schemas.microsoft.com/office/drawing/2014/main" id="{00000000-0008-0000-1900-000002A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172035" name="Button 3" hidden="1">
              <a:extLst>
                <a:ext uri="{63B3BB69-23CF-44E3-9099-C40C66FF867C}">
                  <a14:compatExt spid="_x0000_s172035"/>
                </a:ext>
                <a:ext uri="{FF2B5EF4-FFF2-40B4-BE49-F238E27FC236}">
                  <a16:creationId xmlns:a16="http://schemas.microsoft.com/office/drawing/2014/main" id="{00000000-0008-0000-1900-000003A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172036" name="Button 4" hidden="1">
              <a:extLst>
                <a:ext uri="{63B3BB69-23CF-44E3-9099-C40C66FF867C}">
                  <a14:compatExt spid="_x0000_s172036"/>
                </a:ext>
                <a:ext uri="{FF2B5EF4-FFF2-40B4-BE49-F238E27FC236}">
                  <a16:creationId xmlns:a16="http://schemas.microsoft.com/office/drawing/2014/main" id="{00000000-0008-0000-1900-000004A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172037" name="Button 5" hidden="1">
              <a:extLst>
                <a:ext uri="{63B3BB69-23CF-44E3-9099-C40C66FF867C}">
                  <a14:compatExt spid="_x0000_s172037"/>
                </a:ext>
                <a:ext uri="{FF2B5EF4-FFF2-40B4-BE49-F238E27FC236}">
                  <a16:creationId xmlns:a16="http://schemas.microsoft.com/office/drawing/2014/main" id="{00000000-0008-0000-1900-000005A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38100</xdr:rowOff>
        </xdr:to>
        <xdr:sp macro="" textlink="">
          <xdr:nvSpPr>
            <xdr:cNvPr id="172038" name="Button 6" hidden="1">
              <a:extLst>
                <a:ext uri="{63B3BB69-23CF-44E3-9099-C40C66FF867C}">
                  <a14:compatExt spid="_x0000_s172038"/>
                </a:ext>
                <a:ext uri="{FF2B5EF4-FFF2-40B4-BE49-F238E27FC236}">
                  <a16:creationId xmlns:a16="http://schemas.microsoft.com/office/drawing/2014/main" id="{00000000-0008-0000-1900-000006A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0</xdr:col>
          <xdr:colOff>373380</xdr:colOff>
          <xdr:row>1</xdr:row>
          <xdr:rowOff>30480</xdr:rowOff>
        </xdr:to>
        <xdr:sp macro="" textlink="">
          <xdr:nvSpPr>
            <xdr:cNvPr id="122881" name="Button 1" hidden="1">
              <a:extLst>
                <a:ext uri="{63B3BB69-23CF-44E3-9099-C40C66FF867C}">
                  <a14:compatExt spid="_x0000_s122881"/>
                </a:ext>
                <a:ext uri="{FF2B5EF4-FFF2-40B4-BE49-F238E27FC236}">
                  <a16:creationId xmlns:a16="http://schemas.microsoft.com/office/drawing/2014/main" id="{00000000-0008-0000-1A00-00000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83</xdr:row>
          <xdr:rowOff>45720</xdr:rowOff>
        </xdr:from>
        <xdr:to>
          <xdr:col>16</xdr:col>
          <xdr:colOff>30480</xdr:colOff>
          <xdr:row>84</xdr:row>
          <xdr:rowOff>83820</xdr:rowOff>
        </xdr:to>
        <xdr:sp macro="" textlink="">
          <xdr:nvSpPr>
            <xdr:cNvPr id="122882" name="Button 2" hidden="1">
              <a:extLst>
                <a:ext uri="{63B3BB69-23CF-44E3-9099-C40C66FF867C}">
                  <a14:compatExt spid="_x0000_s122882"/>
                </a:ext>
                <a:ext uri="{FF2B5EF4-FFF2-40B4-BE49-F238E27FC236}">
                  <a16:creationId xmlns:a16="http://schemas.microsoft.com/office/drawing/2014/main" id="{00000000-0008-0000-1A00-00000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2883" name="Button 3" hidden="1">
              <a:extLst>
                <a:ext uri="{63B3BB69-23CF-44E3-9099-C40C66FF867C}">
                  <a14:compatExt spid="_x0000_s122883"/>
                </a:ext>
                <a:ext uri="{FF2B5EF4-FFF2-40B4-BE49-F238E27FC236}">
                  <a16:creationId xmlns:a16="http://schemas.microsoft.com/office/drawing/2014/main" id="{00000000-0008-0000-1A00-00000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2884" name="Button 4" hidden="1">
              <a:extLst>
                <a:ext uri="{63B3BB69-23CF-44E3-9099-C40C66FF867C}">
                  <a14:compatExt spid="_x0000_s122884"/>
                </a:ext>
                <a:ext uri="{FF2B5EF4-FFF2-40B4-BE49-F238E27FC236}">
                  <a16:creationId xmlns:a16="http://schemas.microsoft.com/office/drawing/2014/main" id="{00000000-0008-0000-1A00-00000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2885" name="Button 5" hidden="1">
              <a:extLst>
                <a:ext uri="{63B3BB69-23CF-44E3-9099-C40C66FF867C}">
                  <a14:compatExt spid="_x0000_s122885"/>
                </a:ext>
                <a:ext uri="{FF2B5EF4-FFF2-40B4-BE49-F238E27FC236}">
                  <a16:creationId xmlns:a16="http://schemas.microsoft.com/office/drawing/2014/main" id="{00000000-0008-0000-1A00-00000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2886" name="Button 6" hidden="1">
              <a:extLst>
                <a:ext uri="{63B3BB69-23CF-44E3-9099-C40C66FF867C}">
                  <a14:compatExt spid="_x0000_s122886"/>
                </a:ext>
                <a:ext uri="{FF2B5EF4-FFF2-40B4-BE49-F238E27FC236}">
                  <a16:creationId xmlns:a16="http://schemas.microsoft.com/office/drawing/2014/main" id="{00000000-0008-0000-1A00-00000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22887" name="Button 7" hidden="1">
              <a:extLst>
                <a:ext uri="{63B3BB69-23CF-44E3-9099-C40C66FF867C}">
                  <a14:compatExt spid="_x0000_s122887"/>
                </a:ext>
                <a:ext uri="{FF2B5EF4-FFF2-40B4-BE49-F238E27FC236}">
                  <a16:creationId xmlns:a16="http://schemas.microsoft.com/office/drawing/2014/main" id="{00000000-0008-0000-1A00-00000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22888" name="Button 8" hidden="1">
              <a:extLst>
                <a:ext uri="{63B3BB69-23CF-44E3-9099-C40C66FF867C}">
                  <a14:compatExt spid="_x0000_s122888"/>
                </a:ext>
                <a:ext uri="{FF2B5EF4-FFF2-40B4-BE49-F238E27FC236}">
                  <a16:creationId xmlns:a16="http://schemas.microsoft.com/office/drawing/2014/main" id="{00000000-0008-0000-1A00-00000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22889" name="Button 9" hidden="1">
              <a:extLst>
                <a:ext uri="{63B3BB69-23CF-44E3-9099-C40C66FF867C}">
                  <a14:compatExt spid="_x0000_s122889"/>
                </a:ext>
                <a:ext uri="{FF2B5EF4-FFF2-40B4-BE49-F238E27FC236}">
                  <a16:creationId xmlns:a16="http://schemas.microsoft.com/office/drawing/2014/main" id="{00000000-0008-0000-1A00-00000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22890" name="Button 10" hidden="1">
              <a:extLst>
                <a:ext uri="{63B3BB69-23CF-44E3-9099-C40C66FF867C}">
                  <a14:compatExt spid="_x0000_s122890"/>
                </a:ext>
                <a:ext uri="{FF2B5EF4-FFF2-40B4-BE49-F238E27FC236}">
                  <a16:creationId xmlns:a16="http://schemas.microsoft.com/office/drawing/2014/main" id="{00000000-0008-0000-1A00-00000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22891" name="Button 11" hidden="1">
              <a:extLst>
                <a:ext uri="{63B3BB69-23CF-44E3-9099-C40C66FF867C}">
                  <a14:compatExt spid="_x0000_s122891"/>
                </a:ext>
                <a:ext uri="{FF2B5EF4-FFF2-40B4-BE49-F238E27FC236}">
                  <a16:creationId xmlns:a16="http://schemas.microsoft.com/office/drawing/2014/main" id="{00000000-0008-0000-1A00-00000B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22892" name="Button 12" hidden="1">
              <a:extLst>
                <a:ext uri="{63B3BB69-23CF-44E3-9099-C40C66FF867C}">
                  <a14:compatExt spid="_x0000_s122892"/>
                </a:ext>
                <a:ext uri="{FF2B5EF4-FFF2-40B4-BE49-F238E27FC236}">
                  <a16:creationId xmlns:a16="http://schemas.microsoft.com/office/drawing/2014/main" id="{00000000-0008-0000-1A00-00000C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22893" name="Button 13" hidden="1">
              <a:extLst>
                <a:ext uri="{63B3BB69-23CF-44E3-9099-C40C66FF867C}">
                  <a14:compatExt spid="_x0000_s122893"/>
                </a:ext>
                <a:ext uri="{FF2B5EF4-FFF2-40B4-BE49-F238E27FC236}">
                  <a16:creationId xmlns:a16="http://schemas.microsoft.com/office/drawing/2014/main" id="{00000000-0008-0000-1A00-00000D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22894" name="Button 14" hidden="1">
              <a:extLst>
                <a:ext uri="{63B3BB69-23CF-44E3-9099-C40C66FF867C}">
                  <a14:compatExt spid="_x0000_s122894"/>
                </a:ext>
                <a:ext uri="{FF2B5EF4-FFF2-40B4-BE49-F238E27FC236}">
                  <a16:creationId xmlns:a16="http://schemas.microsoft.com/office/drawing/2014/main" id="{00000000-0008-0000-1A00-00000E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22895" name="Button 15" hidden="1">
              <a:extLst>
                <a:ext uri="{63B3BB69-23CF-44E3-9099-C40C66FF867C}">
                  <a14:compatExt spid="_x0000_s122895"/>
                </a:ext>
                <a:ext uri="{FF2B5EF4-FFF2-40B4-BE49-F238E27FC236}">
                  <a16:creationId xmlns:a16="http://schemas.microsoft.com/office/drawing/2014/main" id="{00000000-0008-0000-1A00-00000F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22896" name="Button 16" hidden="1">
              <a:extLst>
                <a:ext uri="{63B3BB69-23CF-44E3-9099-C40C66FF867C}">
                  <a14:compatExt spid="_x0000_s122896"/>
                </a:ext>
                <a:ext uri="{FF2B5EF4-FFF2-40B4-BE49-F238E27FC236}">
                  <a16:creationId xmlns:a16="http://schemas.microsoft.com/office/drawing/2014/main" id="{00000000-0008-0000-1A00-000010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22897" name="Button 17" hidden="1">
              <a:extLst>
                <a:ext uri="{63B3BB69-23CF-44E3-9099-C40C66FF867C}">
                  <a14:compatExt spid="_x0000_s122897"/>
                </a:ext>
                <a:ext uri="{FF2B5EF4-FFF2-40B4-BE49-F238E27FC236}">
                  <a16:creationId xmlns:a16="http://schemas.microsoft.com/office/drawing/2014/main" id="{00000000-0008-0000-1A00-00001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22898" name="Button 18" hidden="1">
              <a:extLst>
                <a:ext uri="{63B3BB69-23CF-44E3-9099-C40C66FF867C}">
                  <a14:compatExt spid="_x0000_s122898"/>
                </a:ext>
                <a:ext uri="{FF2B5EF4-FFF2-40B4-BE49-F238E27FC236}">
                  <a16:creationId xmlns:a16="http://schemas.microsoft.com/office/drawing/2014/main" id="{00000000-0008-0000-1A00-00001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22899" name="Button 19" hidden="1">
              <a:extLst>
                <a:ext uri="{63B3BB69-23CF-44E3-9099-C40C66FF867C}">
                  <a14:compatExt spid="_x0000_s122899"/>
                </a:ext>
                <a:ext uri="{FF2B5EF4-FFF2-40B4-BE49-F238E27FC236}">
                  <a16:creationId xmlns:a16="http://schemas.microsoft.com/office/drawing/2014/main" id="{00000000-0008-0000-1A00-00001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22900" name="Button 20" hidden="1">
              <a:extLst>
                <a:ext uri="{63B3BB69-23CF-44E3-9099-C40C66FF867C}">
                  <a14:compatExt spid="_x0000_s122900"/>
                </a:ext>
                <a:ext uri="{FF2B5EF4-FFF2-40B4-BE49-F238E27FC236}">
                  <a16:creationId xmlns:a16="http://schemas.microsoft.com/office/drawing/2014/main" id="{00000000-0008-0000-1A00-00001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22901" name="Button 21" hidden="1">
              <a:extLst>
                <a:ext uri="{63B3BB69-23CF-44E3-9099-C40C66FF867C}">
                  <a14:compatExt spid="_x0000_s122901"/>
                </a:ext>
                <a:ext uri="{FF2B5EF4-FFF2-40B4-BE49-F238E27FC236}">
                  <a16:creationId xmlns:a16="http://schemas.microsoft.com/office/drawing/2014/main" id="{00000000-0008-0000-1A00-00001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22902" name="Button 22" hidden="1">
              <a:extLst>
                <a:ext uri="{63B3BB69-23CF-44E3-9099-C40C66FF867C}">
                  <a14:compatExt spid="_x0000_s122902"/>
                </a:ext>
                <a:ext uri="{FF2B5EF4-FFF2-40B4-BE49-F238E27FC236}">
                  <a16:creationId xmlns:a16="http://schemas.microsoft.com/office/drawing/2014/main" id="{00000000-0008-0000-1A00-00001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22903" name="Button 23" hidden="1">
              <a:extLst>
                <a:ext uri="{63B3BB69-23CF-44E3-9099-C40C66FF867C}">
                  <a14:compatExt spid="_x0000_s122903"/>
                </a:ext>
                <a:ext uri="{FF2B5EF4-FFF2-40B4-BE49-F238E27FC236}">
                  <a16:creationId xmlns:a16="http://schemas.microsoft.com/office/drawing/2014/main" id="{00000000-0008-0000-1A00-00001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22904" name="Button 24" hidden="1">
              <a:extLst>
                <a:ext uri="{63B3BB69-23CF-44E3-9099-C40C66FF867C}">
                  <a14:compatExt spid="_x0000_s122904"/>
                </a:ext>
                <a:ext uri="{FF2B5EF4-FFF2-40B4-BE49-F238E27FC236}">
                  <a16:creationId xmlns:a16="http://schemas.microsoft.com/office/drawing/2014/main" id="{00000000-0008-0000-1A00-00001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22905" name="Button 25" hidden="1">
              <a:extLst>
                <a:ext uri="{63B3BB69-23CF-44E3-9099-C40C66FF867C}">
                  <a14:compatExt spid="_x0000_s122905"/>
                </a:ext>
                <a:ext uri="{FF2B5EF4-FFF2-40B4-BE49-F238E27FC236}">
                  <a16:creationId xmlns:a16="http://schemas.microsoft.com/office/drawing/2014/main" id="{00000000-0008-0000-1A00-00001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22906" name="Button 26" hidden="1">
              <a:extLst>
                <a:ext uri="{63B3BB69-23CF-44E3-9099-C40C66FF867C}">
                  <a14:compatExt spid="_x0000_s122906"/>
                </a:ext>
                <a:ext uri="{FF2B5EF4-FFF2-40B4-BE49-F238E27FC236}">
                  <a16:creationId xmlns:a16="http://schemas.microsoft.com/office/drawing/2014/main" id="{00000000-0008-0000-1A00-00001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22907" name="Button 27" hidden="1">
              <a:extLst>
                <a:ext uri="{63B3BB69-23CF-44E3-9099-C40C66FF867C}">
                  <a14:compatExt spid="_x0000_s122907"/>
                </a:ext>
                <a:ext uri="{FF2B5EF4-FFF2-40B4-BE49-F238E27FC236}">
                  <a16:creationId xmlns:a16="http://schemas.microsoft.com/office/drawing/2014/main" id="{00000000-0008-0000-1A00-00001B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22908" name="Button 28" hidden="1">
              <a:extLst>
                <a:ext uri="{63B3BB69-23CF-44E3-9099-C40C66FF867C}">
                  <a14:compatExt spid="_x0000_s122908"/>
                </a:ext>
                <a:ext uri="{FF2B5EF4-FFF2-40B4-BE49-F238E27FC236}">
                  <a16:creationId xmlns:a16="http://schemas.microsoft.com/office/drawing/2014/main" id="{00000000-0008-0000-1A00-00001C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22909" name="Button 29" hidden="1">
              <a:extLst>
                <a:ext uri="{63B3BB69-23CF-44E3-9099-C40C66FF867C}">
                  <a14:compatExt spid="_x0000_s122909"/>
                </a:ext>
                <a:ext uri="{FF2B5EF4-FFF2-40B4-BE49-F238E27FC236}">
                  <a16:creationId xmlns:a16="http://schemas.microsoft.com/office/drawing/2014/main" id="{00000000-0008-0000-1A00-00001D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22910" name="Button 30" hidden="1">
              <a:extLst>
                <a:ext uri="{63B3BB69-23CF-44E3-9099-C40C66FF867C}">
                  <a14:compatExt spid="_x0000_s122910"/>
                </a:ext>
                <a:ext uri="{FF2B5EF4-FFF2-40B4-BE49-F238E27FC236}">
                  <a16:creationId xmlns:a16="http://schemas.microsoft.com/office/drawing/2014/main" id="{00000000-0008-0000-1A00-00001E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22911" name="Button 31" hidden="1">
              <a:extLst>
                <a:ext uri="{63B3BB69-23CF-44E3-9099-C40C66FF867C}">
                  <a14:compatExt spid="_x0000_s122911"/>
                </a:ext>
                <a:ext uri="{FF2B5EF4-FFF2-40B4-BE49-F238E27FC236}">
                  <a16:creationId xmlns:a16="http://schemas.microsoft.com/office/drawing/2014/main" id="{00000000-0008-0000-1A00-00001F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22912" name="Button 32" hidden="1">
              <a:extLst>
                <a:ext uri="{63B3BB69-23CF-44E3-9099-C40C66FF867C}">
                  <a14:compatExt spid="_x0000_s122912"/>
                </a:ext>
                <a:ext uri="{FF2B5EF4-FFF2-40B4-BE49-F238E27FC236}">
                  <a16:creationId xmlns:a16="http://schemas.microsoft.com/office/drawing/2014/main" id="{00000000-0008-0000-1A00-000020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22913" name="Button 33" hidden="1">
              <a:extLst>
                <a:ext uri="{63B3BB69-23CF-44E3-9099-C40C66FF867C}">
                  <a14:compatExt spid="_x0000_s122913"/>
                </a:ext>
                <a:ext uri="{FF2B5EF4-FFF2-40B4-BE49-F238E27FC236}">
                  <a16:creationId xmlns:a16="http://schemas.microsoft.com/office/drawing/2014/main" id="{00000000-0008-0000-1A00-00002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22914" name="Button 34" hidden="1">
              <a:extLst>
                <a:ext uri="{63B3BB69-23CF-44E3-9099-C40C66FF867C}">
                  <a14:compatExt spid="_x0000_s122914"/>
                </a:ext>
                <a:ext uri="{FF2B5EF4-FFF2-40B4-BE49-F238E27FC236}">
                  <a16:creationId xmlns:a16="http://schemas.microsoft.com/office/drawing/2014/main" id="{00000000-0008-0000-1A00-00002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22915" name="Button 35" hidden="1">
              <a:extLst>
                <a:ext uri="{63B3BB69-23CF-44E3-9099-C40C66FF867C}">
                  <a14:compatExt spid="_x0000_s122915"/>
                </a:ext>
                <a:ext uri="{FF2B5EF4-FFF2-40B4-BE49-F238E27FC236}">
                  <a16:creationId xmlns:a16="http://schemas.microsoft.com/office/drawing/2014/main" id="{00000000-0008-0000-1A00-00002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22916" name="Button 36" hidden="1">
              <a:extLst>
                <a:ext uri="{63B3BB69-23CF-44E3-9099-C40C66FF867C}">
                  <a14:compatExt spid="_x0000_s122916"/>
                </a:ext>
                <a:ext uri="{FF2B5EF4-FFF2-40B4-BE49-F238E27FC236}">
                  <a16:creationId xmlns:a16="http://schemas.microsoft.com/office/drawing/2014/main" id="{00000000-0008-0000-1A00-00002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22917" name="Button 37" hidden="1">
              <a:extLst>
                <a:ext uri="{63B3BB69-23CF-44E3-9099-C40C66FF867C}">
                  <a14:compatExt spid="_x0000_s122917"/>
                </a:ext>
                <a:ext uri="{FF2B5EF4-FFF2-40B4-BE49-F238E27FC236}">
                  <a16:creationId xmlns:a16="http://schemas.microsoft.com/office/drawing/2014/main" id="{00000000-0008-0000-1A00-00002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22918" name="Button 38" hidden="1">
              <a:extLst>
                <a:ext uri="{63B3BB69-23CF-44E3-9099-C40C66FF867C}">
                  <a14:compatExt spid="_x0000_s122918"/>
                </a:ext>
                <a:ext uri="{FF2B5EF4-FFF2-40B4-BE49-F238E27FC236}">
                  <a16:creationId xmlns:a16="http://schemas.microsoft.com/office/drawing/2014/main" id="{00000000-0008-0000-1A00-00002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22919" name="Button 39" hidden="1">
              <a:extLst>
                <a:ext uri="{63B3BB69-23CF-44E3-9099-C40C66FF867C}">
                  <a14:compatExt spid="_x0000_s122919"/>
                </a:ext>
                <a:ext uri="{FF2B5EF4-FFF2-40B4-BE49-F238E27FC236}">
                  <a16:creationId xmlns:a16="http://schemas.microsoft.com/office/drawing/2014/main" id="{00000000-0008-0000-1A00-00002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22920" name="Button 40" hidden="1">
              <a:extLst>
                <a:ext uri="{63B3BB69-23CF-44E3-9099-C40C66FF867C}">
                  <a14:compatExt spid="_x0000_s122920"/>
                </a:ext>
                <a:ext uri="{FF2B5EF4-FFF2-40B4-BE49-F238E27FC236}">
                  <a16:creationId xmlns:a16="http://schemas.microsoft.com/office/drawing/2014/main" id="{00000000-0008-0000-1A00-00002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22921" name="Button 41" hidden="1">
              <a:extLst>
                <a:ext uri="{63B3BB69-23CF-44E3-9099-C40C66FF867C}">
                  <a14:compatExt spid="_x0000_s122921"/>
                </a:ext>
                <a:ext uri="{FF2B5EF4-FFF2-40B4-BE49-F238E27FC236}">
                  <a16:creationId xmlns:a16="http://schemas.microsoft.com/office/drawing/2014/main" id="{00000000-0008-0000-1A00-00002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22922" name="Button 42" hidden="1">
              <a:extLst>
                <a:ext uri="{63B3BB69-23CF-44E3-9099-C40C66FF867C}">
                  <a14:compatExt spid="_x0000_s122922"/>
                </a:ext>
                <a:ext uri="{FF2B5EF4-FFF2-40B4-BE49-F238E27FC236}">
                  <a16:creationId xmlns:a16="http://schemas.microsoft.com/office/drawing/2014/main" id="{00000000-0008-0000-1A00-00002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22923" name="Button 43" hidden="1">
              <a:extLst>
                <a:ext uri="{63B3BB69-23CF-44E3-9099-C40C66FF867C}">
                  <a14:compatExt spid="_x0000_s122923"/>
                </a:ext>
                <a:ext uri="{FF2B5EF4-FFF2-40B4-BE49-F238E27FC236}">
                  <a16:creationId xmlns:a16="http://schemas.microsoft.com/office/drawing/2014/main" id="{00000000-0008-0000-1A00-00002B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22924" name="Button 44" hidden="1">
              <a:extLst>
                <a:ext uri="{63B3BB69-23CF-44E3-9099-C40C66FF867C}">
                  <a14:compatExt spid="_x0000_s122924"/>
                </a:ext>
                <a:ext uri="{FF2B5EF4-FFF2-40B4-BE49-F238E27FC236}">
                  <a16:creationId xmlns:a16="http://schemas.microsoft.com/office/drawing/2014/main" id="{00000000-0008-0000-1A00-00002C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22925" name="Button 45" hidden="1">
              <a:extLst>
                <a:ext uri="{63B3BB69-23CF-44E3-9099-C40C66FF867C}">
                  <a14:compatExt spid="_x0000_s122925"/>
                </a:ext>
                <a:ext uri="{FF2B5EF4-FFF2-40B4-BE49-F238E27FC236}">
                  <a16:creationId xmlns:a16="http://schemas.microsoft.com/office/drawing/2014/main" id="{00000000-0008-0000-1A00-00002D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22926" name="Button 46" hidden="1">
              <a:extLst>
                <a:ext uri="{63B3BB69-23CF-44E3-9099-C40C66FF867C}">
                  <a14:compatExt spid="_x0000_s122926"/>
                </a:ext>
                <a:ext uri="{FF2B5EF4-FFF2-40B4-BE49-F238E27FC236}">
                  <a16:creationId xmlns:a16="http://schemas.microsoft.com/office/drawing/2014/main" id="{00000000-0008-0000-1A00-00002E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22927" name="Button 47" hidden="1">
              <a:extLst>
                <a:ext uri="{63B3BB69-23CF-44E3-9099-C40C66FF867C}">
                  <a14:compatExt spid="_x0000_s122927"/>
                </a:ext>
                <a:ext uri="{FF2B5EF4-FFF2-40B4-BE49-F238E27FC236}">
                  <a16:creationId xmlns:a16="http://schemas.microsoft.com/office/drawing/2014/main" id="{00000000-0008-0000-1A00-00002F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22928" name="Button 48" hidden="1">
              <a:extLst>
                <a:ext uri="{63B3BB69-23CF-44E3-9099-C40C66FF867C}">
                  <a14:compatExt spid="_x0000_s122928"/>
                </a:ext>
                <a:ext uri="{FF2B5EF4-FFF2-40B4-BE49-F238E27FC236}">
                  <a16:creationId xmlns:a16="http://schemas.microsoft.com/office/drawing/2014/main" id="{00000000-0008-0000-1A00-000030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22929" name="Button 49" hidden="1">
              <a:extLst>
                <a:ext uri="{63B3BB69-23CF-44E3-9099-C40C66FF867C}">
                  <a14:compatExt spid="_x0000_s122929"/>
                </a:ext>
                <a:ext uri="{FF2B5EF4-FFF2-40B4-BE49-F238E27FC236}">
                  <a16:creationId xmlns:a16="http://schemas.microsoft.com/office/drawing/2014/main" id="{00000000-0008-0000-1A00-00003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22930" name="Button 50" hidden="1">
              <a:extLst>
                <a:ext uri="{63B3BB69-23CF-44E3-9099-C40C66FF867C}">
                  <a14:compatExt spid="_x0000_s122930"/>
                </a:ext>
                <a:ext uri="{FF2B5EF4-FFF2-40B4-BE49-F238E27FC236}">
                  <a16:creationId xmlns:a16="http://schemas.microsoft.com/office/drawing/2014/main" id="{00000000-0008-0000-1A00-00003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22931" name="Button 51" hidden="1">
              <a:extLst>
                <a:ext uri="{63B3BB69-23CF-44E3-9099-C40C66FF867C}">
                  <a14:compatExt spid="_x0000_s122931"/>
                </a:ext>
                <a:ext uri="{FF2B5EF4-FFF2-40B4-BE49-F238E27FC236}">
                  <a16:creationId xmlns:a16="http://schemas.microsoft.com/office/drawing/2014/main" id="{00000000-0008-0000-1A00-00003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22932" name="Button 52" hidden="1">
              <a:extLst>
                <a:ext uri="{63B3BB69-23CF-44E3-9099-C40C66FF867C}">
                  <a14:compatExt spid="_x0000_s122932"/>
                </a:ext>
                <a:ext uri="{FF2B5EF4-FFF2-40B4-BE49-F238E27FC236}">
                  <a16:creationId xmlns:a16="http://schemas.microsoft.com/office/drawing/2014/main" id="{00000000-0008-0000-1A00-00003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22933" name="Button 53" hidden="1">
              <a:extLst>
                <a:ext uri="{63B3BB69-23CF-44E3-9099-C40C66FF867C}">
                  <a14:compatExt spid="_x0000_s122933"/>
                </a:ext>
                <a:ext uri="{FF2B5EF4-FFF2-40B4-BE49-F238E27FC236}">
                  <a16:creationId xmlns:a16="http://schemas.microsoft.com/office/drawing/2014/main" id="{00000000-0008-0000-1A00-00003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22934" name="Button 54" hidden="1">
              <a:extLst>
                <a:ext uri="{63B3BB69-23CF-44E3-9099-C40C66FF867C}">
                  <a14:compatExt spid="_x0000_s122934"/>
                </a:ext>
                <a:ext uri="{FF2B5EF4-FFF2-40B4-BE49-F238E27FC236}">
                  <a16:creationId xmlns:a16="http://schemas.microsoft.com/office/drawing/2014/main" id="{00000000-0008-0000-1A00-00003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22935" name="Button 55" hidden="1">
              <a:extLst>
                <a:ext uri="{63B3BB69-23CF-44E3-9099-C40C66FF867C}">
                  <a14:compatExt spid="_x0000_s122935"/>
                </a:ext>
                <a:ext uri="{FF2B5EF4-FFF2-40B4-BE49-F238E27FC236}">
                  <a16:creationId xmlns:a16="http://schemas.microsoft.com/office/drawing/2014/main" id="{00000000-0008-0000-1A00-00003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22936" name="Button 56" hidden="1">
              <a:extLst>
                <a:ext uri="{63B3BB69-23CF-44E3-9099-C40C66FF867C}">
                  <a14:compatExt spid="_x0000_s122936"/>
                </a:ext>
                <a:ext uri="{FF2B5EF4-FFF2-40B4-BE49-F238E27FC236}">
                  <a16:creationId xmlns:a16="http://schemas.microsoft.com/office/drawing/2014/main" id="{00000000-0008-0000-1A00-00003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22937" name="Button 57" hidden="1">
              <a:extLst>
                <a:ext uri="{63B3BB69-23CF-44E3-9099-C40C66FF867C}">
                  <a14:compatExt spid="_x0000_s122937"/>
                </a:ext>
                <a:ext uri="{FF2B5EF4-FFF2-40B4-BE49-F238E27FC236}">
                  <a16:creationId xmlns:a16="http://schemas.microsoft.com/office/drawing/2014/main" id="{00000000-0008-0000-1A00-00003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22938" name="Button 58" hidden="1">
              <a:extLst>
                <a:ext uri="{63B3BB69-23CF-44E3-9099-C40C66FF867C}">
                  <a14:compatExt spid="_x0000_s122938"/>
                </a:ext>
                <a:ext uri="{FF2B5EF4-FFF2-40B4-BE49-F238E27FC236}">
                  <a16:creationId xmlns:a16="http://schemas.microsoft.com/office/drawing/2014/main" id="{00000000-0008-0000-1A00-00003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0</xdr:col>
          <xdr:colOff>373380</xdr:colOff>
          <xdr:row>1</xdr:row>
          <xdr:rowOff>30480</xdr:rowOff>
        </xdr:to>
        <xdr:sp macro="" textlink="">
          <xdr:nvSpPr>
            <xdr:cNvPr id="123905" name="Button 1" hidden="1">
              <a:extLst>
                <a:ext uri="{63B3BB69-23CF-44E3-9099-C40C66FF867C}">
                  <a14:compatExt spid="_x0000_s123905"/>
                </a:ext>
                <a:ext uri="{FF2B5EF4-FFF2-40B4-BE49-F238E27FC236}">
                  <a16:creationId xmlns:a16="http://schemas.microsoft.com/office/drawing/2014/main" id="{00000000-0008-0000-1B00-000001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83</xdr:row>
          <xdr:rowOff>45720</xdr:rowOff>
        </xdr:from>
        <xdr:to>
          <xdr:col>16</xdr:col>
          <xdr:colOff>30480</xdr:colOff>
          <xdr:row>84</xdr:row>
          <xdr:rowOff>83820</xdr:rowOff>
        </xdr:to>
        <xdr:sp macro="" textlink="">
          <xdr:nvSpPr>
            <xdr:cNvPr id="123906" name="Button 2" hidden="1">
              <a:extLst>
                <a:ext uri="{63B3BB69-23CF-44E3-9099-C40C66FF867C}">
                  <a14:compatExt spid="_x0000_s123906"/>
                </a:ext>
                <a:ext uri="{FF2B5EF4-FFF2-40B4-BE49-F238E27FC236}">
                  <a16:creationId xmlns:a16="http://schemas.microsoft.com/office/drawing/2014/main" id="{00000000-0008-0000-1B00-000002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3907" name="Button 3" hidden="1">
              <a:extLst>
                <a:ext uri="{63B3BB69-23CF-44E3-9099-C40C66FF867C}">
                  <a14:compatExt spid="_x0000_s123907"/>
                </a:ext>
                <a:ext uri="{FF2B5EF4-FFF2-40B4-BE49-F238E27FC236}">
                  <a16:creationId xmlns:a16="http://schemas.microsoft.com/office/drawing/2014/main" id="{00000000-0008-0000-1B00-000003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3908" name="Button 4" hidden="1">
              <a:extLst>
                <a:ext uri="{63B3BB69-23CF-44E3-9099-C40C66FF867C}">
                  <a14:compatExt spid="_x0000_s123908"/>
                </a:ext>
                <a:ext uri="{FF2B5EF4-FFF2-40B4-BE49-F238E27FC236}">
                  <a16:creationId xmlns:a16="http://schemas.microsoft.com/office/drawing/2014/main" id="{00000000-0008-0000-1B00-000004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3909" name="Button 5" hidden="1">
              <a:extLst>
                <a:ext uri="{63B3BB69-23CF-44E3-9099-C40C66FF867C}">
                  <a14:compatExt spid="_x0000_s123909"/>
                </a:ext>
                <a:ext uri="{FF2B5EF4-FFF2-40B4-BE49-F238E27FC236}">
                  <a16:creationId xmlns:a16="http://schemas.microsoft.com/office/drawing/2014/main" id="{00000000-0008-0000-1B00-000005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123910" name="Button 6" hidden="1">
              <a:extLst>
                <a:ext uri="{63B3BB69-23CF-44E3-9099-C40C66FF867C}">
                  <a14:compatExt spid="_x0000_s123910"/>
                </a:ext>
                <a:ext uri="{FF2B5EF4-FFF2-40B4-BE49-F238E27FC236}">
                  <a16:creationId xmlns:a16="http://schemas.microsoft.com/office/drawing/2014/main" id="{00000000-0008-0000-1B00-000006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23911" name="Button 7" hidden="1">
              <a:extLst>
                <a:ext uri="{63B3BB69-23CF-44E3-9099-C40C66FF867C}">
                  <a14:compatExt spid="_x0000_s123911"/>
                </a:ext>
                <a:ext uri="{FF2B5EF4-FFF2-40B4-BE49-F238E27FC236}">
                  <a16:creationId xmlns:a16="http://schemas.microsoft.com/office/drawing/2014/main" id="{00000000-0008-0000-1B00-000007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23912" name="Button 8" hidden="1">
              <a:extLst>
                <a:ext uri="{63B3BB69-23CF-44E3-9099-C40C66FF867C}">
                  <a14:compatExt spid="_x0000_s123912"/>
                </a:ext>
                <a:ext uri="{FF2B5EF4-FFF2-40B4-BE49-F238E27FC236}">
                  <a16:creationId xmlns:a16="http://schemas.microsoft.com/office/drawing/2014/main" id="{00000000-0008-0000-1B00-000008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23913" name="Button 9" hidden="1">
              <a:extLst>
                <a:ext uri="{63B3BB69-23CF-44E3-9099-C40C66FF867C}">
                  <a14:compatExt spid="_x0000_s123913"/>
                </a:ext>
                <a:ext uri="{FF2B5EF4-FFF2-40B4-BE49-F238E27FC236}">
                  <a16:creationId xmlns:a16="http://schemas.microsoft.com/office/drawing/2014/main" id="{00000000-0008-0000-1B00-000009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123914" name="Button 10" hidden="1">
              <a:extLst>
                <a:ext uri="{63B3BB69-23CF-44E3-9099-C40C66FF867C}">
                  <a14:compatExt spid="_x0000_s123914"/>
                </a:ext>
                <a:ext uri="{FF2B5EF4-FFF2-40B4-BE49-F238E27FC236}">
                  <a16:creationId xmlns:a16="http://schemas.microsoft.com/office/drawing/2014/main" id="{00000000-0008-0000-1B00-00000A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23915" name="Button 11" hidden="1">
              <a:extLst>
                <a:ext uri="{63B3BB69-23CF-44E3-9099-C40C66FF867C}">
                  <a14:compatExt spid="_x0000_s123915"/>
                </a:ext>
                <a:ext uri="{FF2B5EF4-FFF2-40B4-BE49-F238E27FC236}">
                  <a16:creationId xmlns:a16="http://schemas.microsoft.com/office/drawing/2014/main" id="{00000000-0008-0000-1B00-00000B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23916" name="Button 12" hidden="1">
              <a:extLst>
                <a:ext uri="{63B3BB69-23CF-44E3-9099-C40C66FF867C}">
                  <a14:compatExt spid="_x0000_s123916"/>
                </a:ext>
                <a:ext uri="{FF2B5EF4-FFF2-40B4-BE49-F238E27FC236}">
                  <a16:creationId xmlns:a16="http://schemas.microsoft.com/office/drawing/2014/main" id="{00000000-0008-0000-1B00-00000C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23917" name="Button 13" hidden="1">
              <a:extLst>
                <a:ext uri="{63B3BB69-23CF-44E3-9099-C40C66FF867C}">
                  <a14:compatExt spid="_x0000_s123917"/>
                </a:ext>
                <a:ext uri="{FF2B5EF4-FFF2-40B4-BE49-F238E27FC236}">
                  <a16:creationId xmlns:a16="http://schemas.microsoft.com/office/drawing/2014/main" id="{00000000-0008-0000-1B00-00000D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123918" name="Button 14" hidden="1">
              <a:extLst>
                <a:ext uri="{63B3BB69-23CF-44E3-9099-C40C66FF867C}">
                  <a14:compatExt spid="_x0000_s123918"/>
                </a:ext>
                <a:ext uri="{FF2B5EF4-FFF2-40B4-BE49-F238E27FC236}">
                  <a16:creationId xmlns:a16="http://schemas.microsoft.com/office/drawing/2014/main" id="{00000000-0008-0000-1B00-00000E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23919" name="Button 15" hidden="1">
              <a:extLst>
                <a:ext uri="{63B3BB69-23CF-44E3-9099-C40C66FF867C}">
                  <a14:compatExt spid="_x0000_s123919"/>
                </a:ext>
                <a:ext uri="{FF2B5EF4-FFF2-40B4-BE49-F238E27FC236}">
                  <a16:creationId xmlns:a16="http://schemas.microsoft.com/office/drawing/2014/main" id="{00000000-0008-0000-1B00-00000F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23920" name="Button 16" hidden="1">
              <a:extLst>
                <a:ext uri="{63B3BB69-23CF-44E3-9099-C40C66FF867C}">
                  <a14:compatExt spid="_x0000_s123920"/>
                </a:ext>
                <a:ext uri="{FF2B5EF4-FFF2-40B4-BE49-F238E27FC236}">
                  <a16:creationId xmlns:a16="http://schemas.microsoft.com/office/drawing/2014/main" id="{00000000-0008-0000-1B00-000010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23921" name="Button 17" hidden="1">
              <a:extLst>
                <a:ext uri="{63B3BB69-23CF-44E3-9099-C40C66FF867C}">
                  <a14:compatExt spid="_x0000_s123921"/>
                </a:ext>
                <a:ext uri="{FF2B5EF4-FFF2-40B4-BE49-F238E27FC236}">
                  <a16:creationId xmlns:a16="http://schemas.microsoft.com/office/drawing/2014/main" id="{00000000-0008-0000-1B00-000011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123922" name="Button 18" hidden="1">
              <a:extLst>
                <a:ext uri="{63B3BB69-23CF-44E3-9099-C40C66FF867C}">
                  <a14:compatExt spid="_x0000_s123922"/>
                </a:ext>
                <a:ext uri="{FF2B5EF4-FFF2-40B4-BE49-F238E27FC236}">
                  <a16:creationId xmlns:a16="http://schemas.microsoft.com/office/drawing/2014/main" id="{00000000-0008-0000-1B00-000012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23923" name="Button 19" hidden="1">
              <a:extLst>
                <a:ext uri="{63B3BB69-23CF-44E3-9099-C40C66FF867C}">
                  <a14:compatExt spid="_x0000_s123923"/>
                </a:ext>
                <a:ext uri="{FF2B5EF4-FFF2-40B4-BE49-F238E27FC236}">
                  <a16:creationId xmlns:a16="http://schemas.microsoft.com/office/drawing/2014/main" id="{00000000-0008-0000-1B00-000013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23924" name="Button 20" hidden="1">
              <a:extLst>
                <a:ext uri="{63B3BB69-23CF-44E3-9099-C40C66FF867C}">
                  <a14:compatExt spid="_x0000_s123924"/>
                </a:ext>
                <a:ext uri="{FF2B5EF4-FFF2-40B4-BE49-F238E27FC236}">
                  <a16:creationId xmlns:a16="http://schemas.microsoft.com/office/drawing/2014/main" id="{00000000-0008-0000-1B00-000014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23925" name="Button 21" hidden="1">
              <a:extLst>
                <a:ext uri="{63B3BB69-23CF-44E3-9099-C40C66FF867C}">
                  <a14:compatExt spid="_x0000_s123925"/>
                </a:ext>
                <a:ext uri="{FF2B5EF4-FFF2-40B4-BE49-F238E27FC236}">
                  <a16:creationId xmlns:a16="http://schemas.microsoft.com/office/drawing/2014/main" id="{00000000-0008-0000-1B00-000015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123926" name="Button 22" hidden="1">
              <a:extLst>
                <a:ext uri="{63B3BB69-23CF-44E3-9099-C40C66FF867C}">
                  <a14:compatExt spid="_x0000_s123926"/>
                </a:ext>
                <a:ext uri="{FF2B5EF4-FFF2-40B4-BE49-F238E27FC236}">
                  <a16:creationId xmlns:a16="http://schemas.microsoft.com/office/drawing/2014/main" id="{00000000-0008-0000-1B00-000016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23927" name="Button 23" hidden="1">
              <a:extLst>
                <a:ext uri="{63B3BB69-23CF-44E3-9099-C40C66FF867C}">
                  <a14:compatExt spid="_x0000_s123927"/>
                </a:ext>
                <a:ext uri="{FF2B5EF4-FFF2-40B4-BE49-F238E27FC236}">
                  <a16:creationId xmlns:a16="http://schemas.microsoft.com/office/drawing/2014/main" id="{00000000-0008-0000-1B00-000017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23928" name="Button 24" hidden="1">
              <a:extLst>
                <a:ext uri="{63B3BB69-23CF-44E3-9099-C40C66FF867C}">
                  <a14:compatExt spid="_x0000_s123928"/>
                </a:ext>
                <a:ext uri="{FF2B5EF4-FFF2-40B4-BE49-F238E27FC236}">
                  <a16:creationId xmlns:a16="http://schemas.microsoft.com/office/drawing/2014/main" id="{00000000-0008-0000-1B00-000018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23929" name="Button 25" hidden="1">
              <a:extLst>
                <a:ext uri="{63B3BB69-23CF-44E3-9099-C40C66FF867C}">
                  <a14:compatExt spid="_x0000_s123929"/>
                </a:ext>
                <a:ext uri="{FF2B5EF4-FFF2-40B4-BE49-F238E27FC236}">
                  <a16:creationId xmlns:a16="http://schemas.microsoft.com/office/drawing/2014/main" id="{00000000-0008-0000-1B00-000019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123930" name="Button 26" hidden="1">
              <a:extLst>
                <a:ext uri="{63B3BB69-23CF-44E3-9099-C40C66FF867C}">
                  <a14:compatExt spid="_x0000_s123930"/>
                </a:ext>
                <a:ext uri="{FF2B5EF4-FFF2-40B4-BE49-F238E27FC236}">
                  <a16:creationId xmlns:a16="http://schemas.microsoft.com/office/drawing/2014/main" id="{00000000-0008-0000-1B00-00001A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23931" name="Button 27" hidden="1">
              <a:extLst>
                <a:ext uri="{63B3BB69-23CF-44E3-9099-C40C66FF867C}">
                  <a14:compatExt spid="_x0000_s123931"/>
                </a:ext>
                <a:ext uri="{FF2B5EF4-FFF2-40B4-BE49-F238E27FC236}">
                  <a16:creationId xmlns:a16="http://schemas.microsoft.com/office/drawing/2014/main" id="{00000000-0008-0000-1B00-00001B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23932" name="Button 28" hidden="1">
              <a:extLst>
                <a:ext uri="{63B3BB69-23CF-44E3-9099-C40C66FF867C}">
                  <a14:compatExt spid="_x0000_s123932"/>
                </a:ext>
                <a:ext uri="{FF2B5EF4-FFF2-40B4-BE49-F238E27FC236}">
                  <a16:creationId xmlns:a16="http://schemas.microsoft.com/office/drawing/2014/main" id="{00000000-0008-0000-1B00-00001C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23933" name="Button 29" hidden="1">
              <a:extLst>
                <a:ext uri="{63B3BB69-23CF-44E3-9099-C40C66FF867C}">
                  <a14:compatExt spid="_x0000_s123933"/>
                </a:ext>
                <a:ext uri="{FF2B5EF4-FFF2-40B4-BE49-F238E27FC236}">
                  <a16:creationId xmlns:a16="http://schemas.microsoft.com/office/drawing/2014/main" id="{00000000-0008-0000-1B00-00001D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123934" name="Button 30" hidden="1">
              <a:extLst>
                <a:ext uri="{63B3BB69-23CF-44E3-9099-C40C66FF867C}">
                  <a14:compatExt spid="_x0000_s123934"/>
                </a:ext>
                <a:ext uri="{FF2B5EF4-FFF2-40B4-BE49-F238E27FC236}">
                  <a16:creationId xmlns:a16="http://schemas.microsoft.com/office/drawing/2014/main" id="{00000000-0008-0000-1B00-00001E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23935" name="Button 31" hidden="1">
              <a:extLst>
                <a:ext uri="{63B3BB69-23CF-44E3-9099-C40C66FF867C}">
                  <a14:compatExt spid="_x0000_s123935"/>
                </a:ext>
                <a:ext uri="{FF2B5EF4-FFF2-40B4-BE49-F238E27FC236}">
                  <a16:creationId xmlns:a16="http://schemas.microsoft.com/office/drawing/2014/main" id="{00000000-0008-0000-1B00-00001F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23936" name="Button 32" hidden="1">
              <a:extLst>
                <a:ext uri="{63B3BB69-23CF-44E3-9099-C40C66FF867C}">
                  <a14:compatExt spid="_x0000_s123936"/>
                </a:ext>
                <a:ext uri="{FF2B5EF4-FFF2-40B4-BE49-F238E27FC236}">
                  <a16:creationId xmlns:a16="http://schemas.microsoft.com/office/drawing/2014/main" id="{00000000-0008-0000-1B00-000020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23937" name="Button 33" hidden="1">
              <a:extLst>
                <a:ext uri="{63B3BB69-23CF-44E3-9099-C40C66FF867C}">
                  <a14:compatExt spid="_x0000_s123937"/>
                </a:ext>
                <a:ext uri="{FF2B5EF4-FFF2-40B4-BE49-F238E27FC236}">
                  <a16:creationId xmlns:a16="http://schemas.microsoft.com/office/drawing/2014/main" id="{00000000-0008-0000-1B00-000021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123938" name="Button 34" hidden="1">
              <a:extLst>
                <a:ext uri="{63B3BB69-23CF-44E3-9099-C40C66FF867C}">
                  <a14:compatExt spid="_x0000_s123938"/>
                </a:ext>
                <a:ext uri="{FF2B5EF4-FFF2-40B4-BE49-F238E27FC236}">
                  <a16:creationId xmlns:a16="http://schemas.microsoft.com/office/drawing/2014/main" id="{00000000-0008-0000-1B00-000022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23939" name="Button 35" hidden="1">
              <a:extLst>
                <a:ext uri="{63B3BB69-23CF-44E3-9099-C40C66FF867C}">
                  <a14:compatExt spid="_x0000_s123939"/>
                </a:ext>
                <a:ext uri="{FF2B5EF4-FFF2-40B4-BE49-F238E27FC236}">
                  <a16:creationId xmlns:a16="http://schemas.microsoft.com/office/drawing/2014/main" id="{00000000-0008-0000-1B00-000023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23940" name="Button 36" hidden="1">
              <a:extLst>
                <a:ext uri="{63B3BB69-23CF-44E3-9099-C40C66FF867C}">
                  <a14:compatExt spid="_x0000_s123940"/>
                </a:ext>
                <a:ext uri="{FF2B5EF4-FFF2-40B4-BE49-F238E27FC236}">
                  <a16:creationId xmlns:a16="http://schemas.microsoft.com/office/drawing/2014/main" id="{00000000-0008-0000-1B00-000024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23941" name="Button 37" hidden="1">
              <a:extLst>
                <a:ext uri="{63B3BB69-23CF-44E3-9099-C40C66FF867C}">
                  <a14:compatExt spid="_x0000_s123941"/>
                </a:ext>
                <a:ext uri="{FF2B5EF4-FFF2-40B4-BE49-F238E27FC236}">
                  <a16:creationId xmlns:a16="http://schemas.microsoft.com/office/drawing/2014/main" id="{00000000-0008-0000-1B00-000025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123942" name="Button 38" hidden="1">
              <a:extLst>
                <a:ext uri="{63B3BB69-23CF-44E3-9099-C40C66FF867C}">
                  <a14:compatExt spid="_x0000_s123942"/>
                </a:ext>
                <a:ext uri="{FF2B5EF4-FFF2-40B4-BE49-F238E27FC236}">
                  <a16:creationId xmlns:a16="http://schemas.microsoft.com/office/drawing/2014/main" id="{00000000-0008-0000-1B00-000026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23943" name="Button 39" hidden="1">
              <a:extLst>
                <a:ext uri="{63B3BB69-23CF-44E3-9099-C40C66FF867C}">
                  <a14:compatExt spid="_x0000_s123943"/>
                </a:ext>
                <a:ext uri="{FF2B5EF4-FFF2-40B4-BE49-F238E27FC236}">
                  <a16:creationId xmlns:a16="http://schemas.microsoft.com/office/drawing/2014/main" id="{00000000-0008-0000-1B00-000027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23944" name="Button 40" hidden="1">
              <a:extLst>
                <a:ext uri="{63B3BB69-23CF-44E3-9099-C40C66FF867C}">
                  <a14:compatExt spid="_x0000_s123944"/>
                </a:ext>
                <a:ext uri="{FF2B5EF4-FFF2-40B4-BE49-F238E27FC236}">
                  <a16:creationId xmlns:a16="http://schemas.microsoft.com/office/drawing/2014/main" id="{00000000-0008-0000-1B00-000028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23945" name="Button 41" hidden="1">
              <a:extLst>
                <a:ext uri="{63B3BB69-23CF-44E3-9099-C40C66FF867C}">
                  <a14:compatExt spid="_x0000_s123945"/>
                </a:ext>
                <a:ext uri="{FF2B5EF4-FFF2-40B4-BE49-F238E27FC236}">
                  <a16:creationId xmlns:a16="http://schemas.microsoft.com/office/drawing/2014/main" id="{00000000-0008-0000-1B00-000029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123946" name="Button 42" hidden="1">
              <a:extLst>
                <a:ext uri="{63B3BB69-23CF-44E3-9099-C40C66FF867C}">
                  <a14:compatExt spid="_x0000_s123946"/>
                </a:ext>
                <a:ext uri="{FF2B5EF4-FFF2-40B4-BE49-F238E27FC236}">
                  <a16:creationId xmlns:a16="http://schemas.microsoft.com/office/drawing/2014/main" id="{00000000-0008-0000-1B00-00002A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23947" name="Button 43" hidden="1">
              <a:extLst>
                <a:ext uri="{63B3BB69-23CF-44E3-9099-C40C66FF867C}">
                  <a14:compatExt spid="_x0000_s123947"/>
                </a:ext>
                <a:ext uri="{FF2B5EF4-FFF2-40B4-BE49-F238E27FC236}">
                  <a16:creationId xmlns:a16="http://schemas.microsoft.com/office/drawing/2014/main" id="{00000000-0008-0000-1B00-00002B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23948" name="Button 44" hidden="1">
              <a:extLst>
                <a:ext uri="{63B3BB69-23CF-44E3-9099-C40C66FF867C}">
                  <a14:compatExt spid="_x0000_s123948"/>
                </a:ext>
                <a:ext uri="{FF2B5EF4-FFF2-40B4-BE49-F238E27FC236}">
                  <a16:creationId xmlns:a16="http://schemas.microsoft.com/office/drawing/2014/main" id="{00000000-0008-0000-1B00-00002C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23949" name="Button 45" hidden="1">
              <a:extLst>
                <a:ext uri="{63B3BB69-23CF-44E3-9099-C40C66FF867C}">
                  <a14:compatExt spid="_x0000_s123949"/>
                </a:ext>
                <a:ext uri="{FF2B5EF4-FFF2-40B4-BE49-F238E27FC236}">
                  <a16:creationId xmlns:a16="http://schemas.microsoft.com/office/drawing/2014/main" id="{00000000-0008-0000-1B00-00002D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123950" name="Button 46" hidden="1">
              <a:extLst>
                <a:ext uri="{63B3BB69-23CF-44E3-9099-C40C66FF867C}">
                  <a14:compatExt spid="_x0000_s123950"/>
                </a:ext>
                <a:ext uri="{FF2B5EF4-FFF2-40B4-BE49-F238E27FC236}">
                  <a16:creationId xmlns:a16="http://schemas.microsoft.com/office/drawing/2014/main" id="{00000000-0008-0000-1B00-00002E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23951" name="Button 47" hidden="1">
              <a:extLst>
                <a:ext uri="{63B3BB69-23CF-44E3-9099-C40C66FF867C}">
                  <a14:compatExt spid="_x0000_s123951"/>
                </a:ext>
                <a:ext uri="{FF2B5EF4-FFF2-40B4-BE49-F238E27FC236}">
                  <a16:creationId xmlns:a16="http://schemas.microsoft.com/office/drawing/2014/main" id="{00000000-0008-0000-1B00-00002F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23952" name="Button 48" hidden="1">
              <a:extLst>
                <a:ext uri="{63B3BB69-23CF-44E3-9099-C40C66FF867C}">
                  <a14:compatExt spid="_x0000_s123952"/>
                </a:ext>
                <a:ext uri="{FF2B5EF4-FFF2-40B4-BE49-F238E27FC236}">
                  <a16:creationId xmlns:a16="http://schemas.microsoft.com/office/drawing/2014/main" id="{00000000-0008-0000-1B00-000030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23953" name="Button 49" hidden="1">
              <a:extLst>
                <a:ext uri="{63B3BB69-23CF-44E3-9099-C40C66FF867C}">
                  <a14:compatExt spid="_x0000_s123953"/>
                </a:ext>
                <a:ext uri="{FF2B5EF4-FFF2-40B4-BE49-F238E27FC236}">
                  <a16:creationId xmlns:a16="http://schemas.microsoft.com/office/drawing/2014/main" id="{00000000-0008-0000-1B00-000031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123954" name="Button 50" hidden="1">
              <a:extLst>
                <a:ext uri="{63B3BB69-23CF-44E3-9099-C40C66FF867C}">
                  <a14:compatExt spid="_x0000_s123954"/>
                </a:ext>
                <a:ext uri="{FF2B5EF4-FFF2-40B4-BE49-F238E27FC236}">
                  <a16:creationId xmlns:a16="http://schemas.microsoft.com/office/drawing/2014/main" id="{00000000-0008-0000-1B00-000032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23955" name="Button 51" hidden="1">
              <a:extLst>
                <a:ext uri="{63B3BB69-23CF-44E3-9099-C40C66FF867C}">
                  <a14:compatExt spid="_x0000_s123955"/>
                </a:ext>
                <a:ext uri="{FF2B5EF4-FFF2-40B4-BE49-F238E27FC236}">
                  <a16:creationId xmlns:a16="http://schemas.microsoft.com/office/drawing/2014/main" id="{00000000-0008-0000-1B00-000033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23956" name="Button 52" hidden="1">
              <a:extLst>
                <a:ext uri="{63B3BB69-23CF-44E3-9099-C40C66FF867C}">
                  <a14:compatExt spid="_x0000_s123956"/>
                </a:ext>
                <a:ext uri="{FF2B5EF4-FFF2-40B4-BE49-F238E27FC236}">
                  <a16:creationId xmlns:a16="http://schemas.microsoft.com/office/drawing/2014/main" id="{00000000-0008-0000-1B00-000034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23957" name="Button 53" hidden="1">
              <a:extLst>
                <a:ext uri="{63B3BB69-23CF-44E3-9099-C40C66FF867C}">
                  <a14:compatExt spid="_x0000_s123957"/>
                </a:ext>
                <a:ext uri="{FF2B5EF4-FFF2-40B4-BE49-F238E27FC236}">
                  <a16:creationId xmlns:a16="http://schemas.microsoft.com/office/drawing/2014/main" id="{00000000-0008-0000-1B00-000035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123958" name="Button 54" hidden="1">
              <a:extLst>
                <a:ext uri="{63B3BB69-23CF-44E3-9099-C40C66FF867C}">
                  <a14:compatExt spid="_x0000_s123958"/>
                </a:ext>
                <a:ext uri="{FF2B5EF4-FFF2-40B4-BE49-F238E27FC236}">
                  <a16:creationId xmlns:a16="http://schemas.microsoft.com/office/drawing/2014/main" id="{00000000-0008-0000-1B00-000036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23959" name="Button 55" hidden="1">
              <a:extLst>
                <a:ext uri="{63B3BB69-23CF-44E3-9099-C40C66FF867C}">
                  <a14:compatExt spid="_x0000_s123959"/>
                </a:ext>
                <a:ext uri="{FF2B5EF4-FFF2-40B4-BE49-F238E27FC236}">
                  <a16:creationId xmlns:a16="http://schemas.microsoft.com/office/drawing/2014/main" id="{00000000-0008-0000-1B00-000037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23960" name="Button 56" hidden="1">
              <a:extLst>
                <a:ext uri="{63B3BB69-23CF-44E3-9099-C40C66FF867C}">
                  <a14:compatExt spid="_x0000_s123960"/>
                </a:ext>
                <a:ext uri="{FF2B5EF4-FFF2-40B4-BE49-F238E27FC236}">
                  <a16:creationId xmlns:a16="http://schemas.microsoft.com/office/drawing/2014/main" id="{00000000-0008-0000-1B00-000038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23961" name="Button 57" hidden="1">
              <a:extLst>
                <a:ext uri="{63B3BB69-23CF-44E3-9099-C40C66FF867C}">
                  <a14:compatExt spid="_x0000_s123961"/>
                </a:ext>
                <a:ext uri="{FF2B5EF4-FFF2-40B4-BE49-F238E27FC236}">
                  <a16:creationId xmlns:a16="http://schemas.microsoft.com/office/drawing/2014/main" id="{00000000-0008-0000-1B00-000039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123962" name="Button 58" hidden="1">
              <a:extLst>
                <a:ext uri="{63B3BB69-23CF-44E3-9099-C40C66FF867C}">
                  <a14:compatExt spid="_x0000_s123962"/>
                </a:ext>
                <a:ext uri="{FF2B5EF4-FFF2-40B4-BE49-F238E27FC236}">
                  <a16:creationId xmlns:a16="http://schemas.microsoft.com/office/drawing/2014/main" id="{00000000-0008-0000-1B00-00003AE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0</xdr:col>
          <xdr:colOff>373380</xdr:colOff>
          <xdr:row>1</xdr:row>
          <xdr:rowOff>30480</xdr:rowOff>
        </xdr:to>
        <xdr:sp macro="" textlink="">
          <xdr:nvSpPr>
            <xdr:cNvPr id="83969" name="Button 1" hidden="1">
              <a:extLst>
                <a:ext uri="{63B3BB69-23CF-44E3-9099-C40C66FF867C}">
                  <a14:compatExt spid="_x0000_s83969"/>
                </a:ext>
                <a:ext uri="{FF2B5EF4-FFF2-40B4-BE49-F238E27FC236}">
                  <a16:creationId xmlns:a16="http://schemas.microsoft.com/office/drawing/2014/main" id="{00000000-0008-0000-1C00-00000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82</xdr:row>
          <xdr:rowOff>45720</xdr:rowOff>
        </xdr:from>
        <xdr:to>
          <xdr:col>16</xdr:col>
          <xdr:colOff>30480</xdr:colOff>
          <xdr:row>83</xdr:row>
          <xdr:rowOff>83820</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1C00-00000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83971" name="Button 3" hidden="1">
              <a:extLst>
                <a:ext uri="{63B3BB69-23CF-44E3-9099-C40C66FF867C}">
                  <a14:compatExt spid="_x0000_s83971"/>
                </a:ext>
                <a:ext uri="{FF2B5EF4-FFF2-40B4-BE49-F238E27FC236}">
                  <a16:creationId xmlns:a16="http://schemas.microsoft.com/office/drawing/2014/main" id="{00000000-0008-0000-1C00-00000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83972" name="Button 4" hidden="1">
              <a:extLst>
                <a:ext uri="{63B3BB69-23CF-44E3-9099-C40C66FF867C}">
                  <a14:compatExt spid="_x0000_s83972"/>
                </a:ext>
                <a:ext uri="{FF2B5EF4-FFF2-40B4-BE49-F238E27FC236}">
                  <a16:creationId xmlns:a16="http://schemas.microsoft.com/office/drawing/2014/main" id="{00000000-0008-0000-1C00-00000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83973" name="Button 5" hidden="1">
              <a:extLst>
                <a:ext uri="{63B3BB69-23CF-44E3-9099-C40C66FF867C}">
                  <a14:compatExt spid="_x0000_s83973"/>
                </a:ext>
                <a:ext uri="{FF2B5EF4-FFF2-40B4-BE49-F238E27FC236}">
                  <a16:creationId xmlns:a16="http://schemas.microsoft.com/office/drawing/2014/main" id="{00000000-0008-0000-1C00-00000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45720</xdr:rowOff>
        </xdr:to>
        <xdr:sp macro="" textlink="">
          <xdr:nvSpPr>
            <xdr:cNvPr id="83974" name="Button 6" hidden="1">
              <a:extLst>
                <a:ext uri="{63B3BB69-23CF-44E3-9099-C40C66FF867C}">
                  <a14:compatExt spid="_x0000_s83974"/>
                </a:ext>
                <a:ext uri="{FF2B5EF4-FFF2-40B4-BE49-F238E27FC236}">
                  <a16:creationId xmlns:a16="http://schemas.microsoft.com/office/drawing/2014/main" id="{00000000-0008-0000-1C00-00000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83975" name="Button 7" hidden="1">
              <a:extLst>
                <a:ext uri="{63B3BB69-23CF-44E3-9099-C40C66FF867C}">
                  <a14:compatExt spid="_x0000_s83975"/>
                </a:ext>
                <a:ext uri="{FF2B5EF4-FFF2-40B4-BE49-F238E27FC236}">
                  <a16:creationId xmlns:a16="http://schemas.microsoft.com/office/drawing/2014/main" id="{00000000-0008-0000-1C00-00000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83976" name="Button 8" hidden="1">
              <a:extLst>
                <a:ext uri="{63B3BB69-23CF-44E3-9099-C40C66FF867C}">
                  <a14:compatExt spid="_x0000_s83976"/>
                </a:ext>
                <a:ext uri="{FF2B5EF4-FFF2-40B4-BE49-F238E27FC236}">
                  <a16:creationId xmlns:a16="http://schemas.microsoft.com/office/drawing/2014/main" id="{00000000-0008-0000-1C00-00000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83977" name="Button 9" hidden="1">
              <a:extLst>
                <a:ext uri="{63B3BB69-23CF-44E3-9099-C40C66FF867C}">
                  <a14:compatExt spid="_x0000_s83977"/>
                </a:ext>
                <a:ext uri="{FF2B5EF4-FFF2-40B4-BE49-F238E27FC236}">
                  <a16:creationId xmlns:a16="http://schemas.microsoft.com/office/drawing/2014/main" id="{00000000-0008-0000-1C00-00000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350520</xdr:colOff>
          <xdr:row>0</xdr:row>
          <xdr:rowOff>45720</xdr:rowOff>
        </xdr:from>
        <xdr:to>
          <xdr:col>48</xdr:col>
          <xdr:colOff>297180</xdr:colOff>
          <xdr:row>1</xdr:row>
          <xdr:rowOff>45720</xdr:rowOff>
        </xdr:to>
        <xdr:sp macro="" textlink="">
          <xdr:nvSpPr>
            <xdr:cNvPr id="83978" name="Button 10" hidden="1">
              <a:extLst>
                <a:ext uri="{63B3BB69-23CF-44E3-9099-C40C66FF867C}">
                  <a14:compatExt spid="_x0000_s83978"/>
                </a:ext>
                <a:ext uri="{FF2B5EF4-FFF2-40B4-BE49-F238E27FC236}">
                  <a16:creationId xmlns:a16="http://schemas.microsoft.com/office/drawing/2014/main" id="{00000000-0008-0000-1C00-00000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83979" name="Button 11" hidden="1">
              <a:extLst>
                <a:ext uri="{63B3BB69-23CF-44E3-9099-C40C66FF867C}">
                  <a14:compatExt spid="_x0000_s83979"/>
                </a:ext>
                <a:ext uri="{FF2B5EF4-FFF2-40B4-BE49-F238E27FC236}">
                  <a16:creationId xmlns:a16="http://schemas.microsoft.com/office/drawing/2014/main" id="{00000000-0008-0000-1C00-00000B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83980" name="Button 12" hidden="1">
              <a:extLst>
                <a:ext uri="{63B3BB69-23CF-44E3-9099-C40C66FF867C}">
                  <a14:compatExt spid="_x0000_s83980"/>
                </a:ext>
                <a:ext uri="{FF2B5EF4-FFF2-40B4-BE49-F238E27FC236}">
                  <a16:creationId xmlns:a16="http://schemas.microsoft.com/office/drawing/2014/main" id="{00000000-0008-0000-1C00-00000C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83981" name="Button 13" hidden="1">
              <a:extLst>
                <a:ext uri="{63B3BB69-23CF-44E3-9099-C40C66FF867C}">
                  <a14:compatExt spid="_x0000_s83981"/>
                </a:ext>
                <a:ext uri="{FF2B5EF4-FFF2-40B4-BE49-F238E27FC236}">
                  <a16:creationId xmlns:a16="http://schemas.microsoft.com/office/drawing/2014/main" id="{00000000-0008-0000-1C00-00000D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259080</xdr:colOff>
          <xdr:row>0</xdr:row>
          <xdr:rowOff>45720</xdr:rowOff>
        </xdr:from>
        <xdr:to>
          <xdr:col>64</xdr:col>
          <xdr:colOff>182880</xdr:colOff>
          <xdr:row>1</xdr:row>
          <xdr:rowOff>45720</xdr:rowOff>
        </xdr:to>
        <xdr:sp macro="" textlink="">
          <xdr:nvSpPr>
            <xdr:cNvPr id="83982" name="Button 14" hidden="1">
              <a:extLst>
                <a:ext uri="{63B3BB69-23CF-44E3-9099-C40C66FF867C}">
                  <a14:compatExt spid="_x0000_s83982"/>
                </a:ext>
                <a:ext uri="{FF2B5EF4-FFF2-40B4-BE49-F238E27FC236}">
                  <a16:creationId xmlns:a16="http://schemas.microsoft.com/office/drawing/2014/main" id="{00000000-0008-0000-1C00-00000E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83983" name="Button 15" hidden="1">
              <a:extLst>
                <a:ext uri="{63B3BB69-23CF-44E3-9099-C40C66FF867C}">
                  <a14:compatExt spid="_x0000_s83983"/>
                </a:ext>
                <a:ext uri="{FF2B5EF4-FFF2-40B4-BE49-F238E27FC236}">
                  <a16:creationId xmlns:a16="http://schemas.microsoft.com/office/drawing/2014/main" id="{00000000-0008-0000-1C00-00000F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83984" name="Button 16" hidden="1">
              <a:extLst>
                <a:ext uri="{63B3BB69-23CF-44E3-9099-C40C66FF867C}">
                  <a14:compatExt spid="_x0000_s83984"/>
                </a:ext>
                <a:ext uri="{FF2B5EF4-FFF2-40B4-BE49-F238E27FC236}">
                  <a16:creationId xmlns:a16="http://schemas.microsoft.com/office/drawing/2014/main" id="{00000000-0008-0000-1C00-000010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83985" name="Button 17" hidden="1">
              <a:extLst>
                <a:ext uri="{63B3BB69-23CF-44E3-9099-C40C66FF867C}">
                  <a14:compatExt spid="_x0000_s83985"/>
                </a:ext>
                <a:ext uri="{FF2B5EF4-FFF2-40B4-BE49-F238E27FC236}">
                  <a16:creationId xmlns:a16="http://schemas.microsoft.com/office/drawing/2014/main" id="{00000000-0008-0000-1C00-00001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144780</xdr:colOff>
          <xdr:row>0</xdr:row>
          <xdr:rowOff>45720</xdr:rowOff>
        </xdr:from>
        <xdr:to>
          <xdr:col>80</xdr:col>
          <xdr:colOff>83820</xdr:colOff>
          <xdr:row>1</xdr:row>
          <xdr:rowOff>45720</xdr:rowOff>
        </xdr:to>
        <xdr:sp macro="" textlink="">
          <xdr:nvSpPr>
            <xdr:cNvPr id="83986" name="Button 18" hidden="1">
              <a:extLst>
                <a:ext uri="{63B3BB69-23CF-44E3-9099-C40C66FF867C}">
                  <a14:compatExt spid="_x0000_s83986"/>
                </a:ext>
                <a:ext uri="{FF2B5EF4-FFF2-40B4-BE49-F238E27FC236}">
                  <a16:creationId xmlns:a16="http://schemas.microsoft.com/office/drawing/2014/main" id="{00000000-0008-0000-1C00-00001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83987" name="Button 19" hidden="1">
              <a:extLst>
                <a:ext uri="{63B3BB69-23CF-44E3-9099-C40C66FF867C}">
                  <a14:compatExt spid="_x0000_s83987"/>
                </a:ext>
                <a:ext uri="{FF2B5EF4-FFF2-40B4-BE49-F238E27FC236}">
                  <a16:creationId xmlns:a16="http://schemas.microsoft.com/office/drawing/2014/main" id="{00000000-0008-0000-1C00-00001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83988" name="Button 20" hidden="1">
              <a:extLst>
                <a:ext uri="{63B3BB69-23CF-44E3-9099-C40C66FF867C}">
                  <a14:compatExt spid="_x0000_s83988"/>
                </a:ext>
                <a:ext uri="{FF2B5EF4-FFF2-40B4-BE49-F238E27FC236}">
                  <a16:creationId xmlns:a16="http://schemas.microsoft.com/office/drawing/2014/main" id="{00000000-0008-0000-1C00-00001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83989" name="Button 21" hidden="1">
              <a:extLst>
                <a:ext uri="{63B3BB69-23CF-44E3-9099-C40C66FF867C}">
                  <a14:compatExt spid="_x0000_s83989"/>
                </a:ext>
                <a:ext uri="{FF2B5EF4-FFF2-40B4-BE49-F238E27FC236}">
                  <a16:creationId xmlns:a16="http://schemas.microsoft.com/office/drawing/2014/main" id="{00000000-0008-0000-1C00-00001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45720</xdr:colOff>
          <xdr:row>0</xdr:row>
          <xdr:rowOff>45720</xdr:rowOff>
        </xdr:from>
        <xdr:to>
          <xdr:col>95</xdr:col>
          <xdr:colOff>388620</xdr:colOff>
          <xdr:row>1</xdr:row>
          <xdr:rowOff>45720</xdr:rowOff>
        </xdr:to>
        <xdr:sp macro="" textlink="">
          <xdr:nvSpPr>
            <xdr:cNvPr id="83990" name="Button 22" hidden="1">
              <a:extLst>
                <a:ext uri="{63B3BB69-23CF-44E3-9099-C40C66FF867C}">
                  <a14:compatExt spid="_x0000_s83990"/>
                </a:ext>
                <a:ext uri="{FF2B5EF4-FFF2-40B4-BE49-F238E27FC236}">
                  <a16:creationId xmlns:a16="http://schemas.microsoft.com/office/drawing/2014/main" id="{00000000-0008-0000-1C00-00001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83991" name="Button 23" hidden="1">
              <a:extLst>
                <a:ext uri="{63B3BB69-23CF-44E3-9099-C40C66FF867C}">
                  <a14:compatExt spid="_x0000_s83991"/>
                </a:ext>
                <a:ext uri="{FF2B5EF4-FFF2-40B4-BE49-F238E27FC236}">
                  <a16:creationId xmlns:a16="http://schemas.microsoft.com/office/drawing/2014/main" id="{00000000-0008-0000-1C00-00001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83992" name="Button 24" hidden="1">
              <a:extLst>
                <a:ext uri="{63B3BB69-23CF-44E3-9099-C40C66FF867C}">
                  <a14:compatExt spid="_x0000_s83992"/>
                </a:ext>
                <a:ext uri="{FF2B5EF4-FFF2-40B4-BE49-F238E27FC236}">
                  <a16:creationId xmlns:a16="http://schemas.microsoft.com/office/drawing/2014/main" id="{00000000-0008-0000-1C00-00001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83993" name="Button 25" hidden="1">
              <a:extLst>
                <a:ext uri="{63B3BB69-23CF-44E3-9099-C40C66FF867C}">
                  <a14:compatExt spid="_x0000_s83993"/>
                </a:ext>
                <a:ext uri="{FF2B5EF4-FFF2-40B4-BE49-F238E27FC236}">
                  <a16:creationId xmlns:a16="http://schemas.microsoft.com/office/drawing/2014/main" id="{00000000-0008-0000-1C00-00001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350520</xdr:colOff>
          <xdr:row>0</xdr:row>
          <xdr:rowOff>45720</xdr:rowOff>
        </xdr:from>
        <xdr:to>
          <xdr:col>111</xdr:col>
          <xdr:colOff>297180</xdr:colOff>
          <xdr:row>1</xdr:row>
          <xdr:rowOff>45720</xdr:rowOff>
        </xdr:to>
        <xdr:sp macro="" textlink="">
          <xdr:nvSpPr>
            <xdr:cNvPr id="83994" name="Button 26" hidden="1">
              <a:extLst>
                <a:ext uri="{63B3BB69-23CF-44E3-9099-C40C66FF867C}">
                  <a14:compatExt spid="_x0000_s83994"/>
                </a:ext>
                <a:ext uri="{FF2B5EF4-FFF2-40B4-BE49-F238E27FC236}">
                  <a16:creationId xmlns:a16="http://schemas.microsoft.com/office/drawing/2014/main" id="{00000000-0008-0000-1C00-00001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83995" name="Button 27" hidden="1">
              <a:extLst>
                <a:ext uri="{63B3BB69-23CF-44E3-9099-C40C66FF867C}">
                  <a14:compatExt spid="_x0000_s83995"/>
                </a:ext>
                <a:ext uri="{FF2B5EF4-FFF2-40B4-BE49-F238E27FC236}">
                  <a16:creationId xmlns:a16="http://schemas.microsoft.com/office/drawing/2014/main" id="{00000000-0008-0000-1C00-00001B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83996" name="Button 28" hidden="1">
              <a:extLst>
                <a:ext uri="{63B3BB69-23CF-44E3-9099-C40C66FF867C}">
                  <a14:compatExt spid="_x0000_s83996"/>
                </a:ext>
                <a:ext uri="{FF2B5EF4-FFF2-40B4-BE49-F238E27FC236}">
                  <a16:creationId xmlns:a16="http://schemas.microsoft.com/office/drawing/2014/main" id="{00000000-0008-0000-1C00-00001C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83997" name="Button 29" hidden="1">
              <a:extLst>
                <a:ext uri="{63B3BB69-23CF-44E3-9099-C40C66FF867C}">
                  <a14:compatExt spid="_x0000_s83997"/>
                </a:ext>
                <a:ext uri="{FF2B5EF4-FFF2-40B4-BE49-F238E27FC236}">
                  <a16:creationId xmlns:a16="http://schemas.microsoft.com/office/drawing/2014/main" id="{00000000-0008-0000-1C00-00001D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259080</xdr:colOff>
          <xdr:row>0</xdr:row>
          <xdr:rowOff>45720</xdr:rowOff>
        </xdr:from>
        <xdr:to>
          <xdr:col>127</xdr:col>
          <xdr:colOff>182880</xdr:colOff>
          <xdr:row>1</xdr:row>
          <xdr:rowOff>45720</xdr:rowOff>
        </xdr:to>
        <xdr:sp macro="" textlink="">
          <xdr:nvSpPr>
            <xdr:cNvPr id="83998" name="Button 30" hidden="1">
              <a:extLst>
                <a:ext uri="{63B3BB69-23CF-44E3-9099-C40C66FF867C}">
                  <a14:compatExt spid="_x0000_s83998"/>
                </a:ext>
                <a:ext uri="{FF2B5EF4-FFF2-40B4-BE49-F238E27FC236}">
                  <a16:creationId xmlns:a16="http://schemas.microsoft.com/office/drawing/2014/main" id="{00000000-0008-0000-1C00-00001E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83999" name="Button 31" hidden="1">
              <a:extLst>
                <a:ext uri="{63B3BB69-23CF-44E3-9099-C40C66FF867C}">
                  <a14:compatExt spid="_x0000_s83999"/>
                </a:ext>
                <a:ext uri="{FF2B5EF4-FFF2-40B4-BE49-F238E27FC236}">
                  <a16:creationId xmlns:a16="http://schemas.microsoft.com/office/drawing/2014/main" id="{00000000-0008-0000-1C00-00001F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84000" name="Button 32" hidden="1">
              <a:extLst>
                <a:ext uri="{63B3BB69-23CF-44E3-9099-C40C66FF867C}">
                  <a14:compatExt spid="_x0000_s84000"/>
                </a:ext>
                <a:ext uri="{FF2B5EF4-FFF2-40B4-BE49-F238E27FC236}">
                  <a16:creationId xmlns:a16="http://schemas.microsoft.com/office/drawing/2014/main" id="{00000000-0008-0000-1C00-000020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84001" name="Button 33" hidden="1">
              <a:extLst>
                <a:ext uri="{63B3BB69-23CF-44E3-9099-C40C66FF867C}">
                  <a14:compatExt spid="_x0000_s84001"/>
                </a:ext>
                <a:ext uri="{FF2B5EF4-FFF2-40B4-BE49-F238E27FC236}">
                  <a16:creationId xmlns:a16="http://schemas.microsoft.com/office/drawing/2014/main" id="{00000000-0008-0000-1C00-00002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45720</xdr:rowOff>
        </xdr:from>
        <xdr:to>
          <xdr:col>143</xdr:col>
          <xdr:colOff>83820</xdr:colOff>
          <xdr:row>1</xdr:row>
          <xdr:rowOff>45720</xdr:rowOff>
        </xdr:to>
        <xdr:sp macro="" textlink="">
          <xdr:nvSpPr>
            <xdr:cNvPr id="84002" name="Button 34" hidden="1">
              <a:extLst>
                <a:ext uri="{63B3BB69-23CF-44E3-9099-C40C66FF867C}">
                  <a14:compatExt spid="_x0000_s84002"/>
                </a:ext>
                <a:ext uri="{FF2B5EF4-FFF2-40B4-BE49-F238E27FC236}">
                  <a16:creationId xmlns:a16="http://schemas.microsoft.com/office/drawing/2014/main" id="{00000000-0008-0000-1C00-00002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84003" name="Button 35" hidden="1">
              <a:extLst>
                <a:ext uri="{63B3BB69-23CF-44E3-9099-C40C66FF867C}">
                  <a14:compatExt spid="_x0000_s84003"/>
                </a:ext>
                <a:ext uri="{FF2B5EF4-FFF2-40B4-BE49-F238E27FC236}">
                  <a16:creationId xmlns:a16="http://schemas.microsoft.com/office/drawing/2014/main" id="{00000000-0008-0000-1C00-00002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84004" name="Button 36" hidden="1">
              <a:extLst>
                <a:ext uri="{63B3BB69-23CF-44E3-9099-C40C66FF867C}">
                  <a14:compatExt spid="_x0000_s84004"/>
                </a:ext>
                <a:ext uri="{FF2B5EF4-FFF2-40B4-BE49-F238E27FC236}">
                  <a16:creationId xmlns:a16="http://schemas.microsoft.com/office/drawing/2014/main" id="{00000000-0008-0000-1C00-00002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84005" name="Button 37" hidden="1">
              <a:extLst>
                <a:ext uri="{63B3BB69-23CF-44E3-9099-C40C66FF867C}">
                  <a14:compatExt spid="_x0000_s84005"/>
                </a:ext>
                <a:ext uri="{FF2B5EF4-FFF2-40B4-BE49-F238E27FC236}">
                  <a16:creationId xmlns:a16="http://schemas.microsoft.com/office/drawing/2014/main" id="{00000000-0008-0000-1C00-00002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45720</xdr:colOff>
          <xdr:row>0</xdr:row>
          <xdr:rowOff>45720</xdr:rowOff>
        </xdr:from>
        <xdr:to>
          <xdr:col>158</xdr:col>
          <xdr:colOff>388620</xdr:colOff>
          <xdr:row>1</xdr:row>
          <xdr:rowOff>45720</xdr:rowOff>
        </xdr:to>
        <xdr:sp macro="" textlink="">
          <xdr:nvSpPr>
            <xdr:cNvPr id="84006" name="Button 38" hidden="1">
              <a:extLst>
                <a:ext uri="{63B3BB69-23CF-44E3-9099-C40C66FF867C}">
                  <a14:compatExt spid="_x0000_s84006"/>
                </a:ext>
                <a:ext uri="{FF2B5EF4-FFF2-40B4-BE49-F238E27FC236}">
                  <a16:creationId xmlns:a16="http://schemas.microsoft.com/office/drawing/2014/main" id="{00000000-0008-0000-1C00-00002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84007" name="Button 39" hidden="1">
              <a:extLst>
                <a:ext uri="{63B3BB69-23CF-44E3-9099-C40C66FF867C}">
                  <a14:compatExt spid="_x0000_s84007"/>
                </a:ext>
                <a:ext uri="{FF2B5EF4-FFF2-40B4-BE49-F238E27FC236}">
                  <a16:creationId xmlns:a16="http://schemas.microsoft.com/office/drawing/2014/main" id="{00000000-0008-0000-1C00-00002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84008" name="Button 40" hidden="1">
              <a:extLst>
                <a:ext uri="{63B3BB69-23CF-44E3-9099-C40C66FF867C}">
                  <a14:compatExt spid="_x0000_s84008"/>
                </a:ext>
                <a:ext uri="{FF2B5EF4-FFF2-40B4-BE49-F238E27FC236}">
                  <a16:creationId xmlns:a16="http://schemas.microsoft.com/office/drawing/2014/main" id="{00000000-0008-0000-1C00-00002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84009" name="Button 41" hidden="1">
              <a:extLst>
                <a:ext uri="{63B3BB69-23CF-44E3-9099-C40C66FF867C}">
                  <a14:compatExt spid="_x0000_s84009"/>
                </a:ext>
                <a:ext uri="{FF2B5EF4-FFF2-40B4-BE49-F238E27FC236}">
                  <a16:creationId xmlns:a16="http://schemas.microsoft.com/office/drawing/2014/main" id="{00000000-0008-0000-1C00-00002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373380</xdr:colOff>
          <xdr:row>0</xdr:row>
          <xdr:rowOff>45720</xdr:rowOff>
        </xdr:from>
        <xdr:to>
          <xdr:col>174</xdr:col>
          <xdr:colOff>297180</xdr:colOff>
          <xdr:row>1</xdr:row>
          <xdr:rowOff>45720</xdr:rowOff>
        </xdr:to>
        <xdr:sp macro="" textlink="">
          <xdr:nvSpPr>
            <xdr:cNvPr id="84010" name="Button 42" hidden="1">
              <a:extLst>
                <a:ext uri="{63B3BB69-23CF-44E3-9099-C40C66FF867C}">
                  <a14:compatExt spid="_x0000_s84010"/>
                </a:ext>
                <a:ext uri="{FF2B5EF4-FFF2-40B4-BE49-F238E27FC236}">
                  <a16:creationId xmlns:a16="http://schemas.microsoft.com/office/drawing/2014/main" id="{00000000-0008-0000-1C00-00002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84011" name="Button 43" hidden="1">
              <a:extLst>
                <a:ext uri="{63B3BB69-23CF-44E3-9099-C40C66FF867C}">
                  <a14:compatExt spid="_x0000_s84011"/>
                </a:ext>
                <a:ext uri="{FF2B5EF4-FFF2-40B4-BE49-F238E27FC236}">
                  <a16:creationId xmlns:a16="http://schemas.microsoft.com/office/drawing/2014/main" id="{00000000-0008-0000-1C00-00002B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84012" name="Button 44" hidden="1">
              <a:extLst>
                <a:ext uri="{63B3BB69-23CF-44E3-9099-C40C66FF867C}">
                  <a14:compatExt spid="_x0000_s84012"/>
                </a:ext>
                <a:ext uri="{FF2B5EF4-FFF2-40B4-BE49-F238E27FC236}">
                  <a16:creationId xmlns:a16="http://schemas.microsoft.com/office/drawing/2014/main" id="{00000000-0008-0000-1C00-00002C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84013" name="Button 45" hidden="1">
              <a:extLst>
                <a:ext uri="{63B3BB69-23CF-44E3-9099-C40C66FF867C}">
                  <a14:compatExt spid="_x0000_s84013"/>
                </a:ext>
                <a:ext uri="{FF2B5EF4-FFF2-40B4-BE49-F238E27FC236}">
                  <a16:creationId xmlns:a16="http://schemas.microsoft.com/office/drawing/2014/main" id="{00000000-0008-0000-1C00-00002D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259080</xdr:colOff>
          <xdr:row>0</xdr:row>
          <xdr:rowOff>45720</xdr:rowOff>
        </xdr:from>
        <xdr:to>
          <xdr:col>190</xdr:col>
          <xdr:colOff>182880</xdr:colOff>
          <xdr:row>1</xdr:row>
          <xdr:rowOff>45720</xdr:rowOff>
        </xdr:to>
        <xdr:sp macro="" textlink="">
          <xdr:nvSpPr>
            <xdr:cNvPr id="84014" name="Button 46" hidden="1">
              <a:extLst>
                <a:ext uri="{63B3BB69-23CF-44E3-9099-C40C66FF867C}">
                  <a14:compatExt spid="_x0000_s84014"/>
                </a:ext>
                <a:ext uri="{FF2B5EF4-FFF2-40B4-BE49-F238E27FC236}">
                  <a16:creationId xmlns:a16="http://schemas.microsoft.com/office/drawing/2014/main" id="{00000000-0008-0000-1C00-00002E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84015" name="Button 47" hidden="1">
              <a:extLst>
                <a:ext uri="{63B3BB69-23CF-44E3-9099-C40C66FF867C}">
                  <a14:compatExt spid="_x0000_s84015"/>
                </a:ext>
                <a:ext uri="{FF2B5EF4-FFF2-40B4-BE49-F238E27FC236}">
                  <a16:creationId xmlns:a16="http://schemas.microsoft.com/office/drawing/2014/main" id="{00000000-0008-0000-1C00-00002F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84016" name="Button 48" hidden="1">
              <a:extLst>
                <a:ext uri="{63B3BB69-23CF-44E3-9099-C40C66FF867C}">
                  <a14:compatExt spid="_x0000_s84016"/>
                </a:ext>
                <a:ext uri="{FF2B5EF4-FFF2-40B4-BE49-F238E27FC236}">
                  <a16:creationId xmlns:a16="http://schemas.microsoft.com/office/drawing/2014/main" id="{00000000-0008-0000-1C00-000030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84017" name="Button 49" hidden="1">
              <a:extLst>
                <a:ext uri="{63B3BB69-23CF-44E3-9099-C40C66FF867C}">
                  <a14:compatExt spid="_x0000_s84017"/>
                </a:ext>
                <a:ext uri="{FF2B5EF4-FFF2-40B4-BE49-F238E27FC236}">
                  <a16:creationId xmlns:a16="http://schemas.microsoft.com/office/drawing/2014/main" id="{00000000-0008-0000-1C00-00003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160020</xdr:colOff>
          <xdr:row>0</xdr:row>
          <xdr:rowOff>45720</xdr:rowOff>
        </xdr:from>
        <xdr:to>
          <xdr:col>206</xdr:col>
          <xdr:colOff>83820</xdr:colOff>
          <xdr:row>1</xdr:row>
          <xdr:rowOff>45720</xdr:rowOff>
        </xdr:to>
        <xdr:sp macro="" textlink="">
          <xdr:nvSpPr>
            <xdr:cNvPr id="84018" name="Button 50" hidden="1">
              <a:extLst>
                <a:ext uri="{63B3BB69-23CF-44E3-9099-C40C66FF867C}">
                  <a14:compatExt spid="_x0000_s84018"/>
                </a:ext>
                <a:ext uri="{FF2B5EF4-FFF2-40B4-BE49-F238E27FC236}">
                  <a16:creationId xmlns:a16="http://schemas.microsoft.com/office/drawing/2014/main" id="{00000000-0008-0000-1C00-00003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84019" name="Button 51" hidden="1">
              <a:extLst>
                <a:ext uri="{63B3BB69-23CF-44E3-9099-C40C66FF867C}">
                  <a14:compatExt spid="_x0000_s84019"/>
                </a:ext>
                <a:ext uri="{FF2B5EF4-FFF2-40B4-BE49-F238E27FC236}">
                  <a16:creationId xmlns:a16="http://schemas.microsoft.com/office/drawing/2014/main" id="{00000000-0008-0000-1C00-00003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84020" name="Button 52" hidden="1">
              <a:extLst>
                <a:ext uri="{63B3BB69-23CF-44E3-9099-C40C66FF867C}">
                  <a14:compatExt spid="_x0000_s84020"/>
                </a:ext>
                <a:ext uri="{FF2B5EF4-FFF2-40B4-BE49-F238E27FC236}">
                  <a16:creationId xmlns:a16="http://schemas.microsoft.com/office/drawing/2014/main" id="{00000000-0008-0000-1C00-00003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84021" name="Button 53" hidden="1">
              <a:extLst>
                <a:ext uri="{63B3BB69-23CF-44E3-9099-C40C66FF867C}">
                  <a14:compatExt spid="_x0000_s84021"/>
                </a:ext>
                <a:ext uri="{FF2B5EF4-FFF2-40B4-BE49-F238E27FC236}">
                  <a16:creationId xmlns:a16="http://schemas.microsoft.com/office/drawing/2014/main" id="{00000000-0008-0000-1C00-00003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68580</xdr:colOff>
          <xdr:row>0</xdr:row>
          <xdr:rowOff>45720</xdr:rowOff>
        </xdr:from>
        <xdr:to>
          <xdr:col>221</xdr:col>
          <xdr:colOff>388620</xdr:colOff>
          <xdr:row>1</xdr:row>
          <xdr:rowOff>45720</xdr:rowOff>
        </xdr:to>
        <xdr:sp macro="" textlink="">
          <xdr:nvSpPr>
            <xdr:cNvPr id="84022" name="Button 54" hidden="1">
              <a:extLst>
                <a:ext uri="{63B3BB69-23CF-44E3-9099-C40C66FF867C}">
                  <a14:compatExt spid="_x0000_s84022"/>
                </a:ext>
                <a:ext uri="{FF2B5EF4-FFF2-40B4-BE49-F238E27FC236}">
                  <a16:creationId xmlns:a16="http://schemas.microsoft.com/office/drawing/2014/main" id="{00000000-0008-0000-1C00-00003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84023" name="Button 55" hidden="1">
              <a:extLst>
                <a:ext uri="{63B3BB69-23CF-44E3-9099-C40C66FF867C}">
                  <a14:compatExt spid="_x0000_s84023"/>
                </a:ext>
                <a:ext uri="{FF2B5EF4-FFF2-40B4-BE49-F238E27FC236}">
                  <a16:creationId xmlns:a16="http://schemas.microsoft.com/office/drawing/2014/main" id="{00000000-0008-0000-1C00-00003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84024" name="Button 56" hidden="1">
              <a:extLst>
                <a:ext uri="{63B3BB69-23CF-44E3-9099-C40C66FF867C}">
                  <a14:compatExt spid="_x0000_s84024"/>
                </a:ext>
                <a:ext uri="{FF2B5EF4-FFF2-40B4-BE49-F238E27FC236}">
                  <a16:creationId xmlns:a16="http://schemas.microsoft.com/office/drawing/2014/main" id="{00000000-0008-0000-1C00-00003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84025" name="Button 57" hidden="1">
              <a:extLst>
                <a:ext uri="{63B3BB69-23CF-44E3-9099-C40C66FF867C}">
                  <a14:compatExt spid="_x0000_s84025"/>
                </a:ext>
                <a:ext uri="{FF2B5EF4-FFF2-40B4-BE49-F238E27FC236}">
                  <a16:creationId xmlns:a16="http://schemas.microsoft.com/office/drawing/2014/main" id="{00000000-0008-0000-1C00-00003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373380</xdr:colOff>
          <xdr:row>0</xdr:row>
          <xdr:rowOff>45720</xdr:rowOff>
        </xdr:from>
        <xdr:to>
          <xdr:col>237</xdr:col>
          <xdr:colOff>297180</xdr:colOff>
          <xdr:row>1</xdr:row>
          <xdr:rowOff>45720</xdr:rowOff>
        </xdr:to>
        <xdr:sp macro="" textlink="">
          <xdr:nvSpPr>
            <xdr:cNvPr id="84026" name="Button 58" hidden="1">
              <a:extLst>
                <a:ext uri="{63B3BB69-23CF-44E3-9099-C40C66FF867C}">
                  <a14:compatExt spid="_x0000_s84026"/>
                </a:ext>
                <a:ext uri="{FF2B5EF4-FFF2-40B4-BE49-F238E27FC236}">
                  <a16:creationId xmlns:a16="http://schemas.microsoft.com/office/drawing/2014/main" id="{00000000-0008-0000-1C00-00003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1</xdr:row>
          <xdr:rowOff>0</xdr:rowOff>
        </xdr:to>
        <xdr:sp macro="" textlink="">
          <xdr:nvSpPr>
            <xdr:cNvPr id="210945" name="Button 1" hidden="1">
              <a:extLst>
                <a:ext uri="{63B3BB69-23CF-44E3-9099-C40C66FF867C}">
                  <a14:compatExt spid="_x0000_s210945"/>
                </a:ext>
                <a:ext uri="{FF2B5EF4-FFF2-40B4-BE49-F238E27FC236}">
                  <a16:creationId xmlns:a16="http://schemas.microsoft.com/office/drawing/2014/main" id="{00000000-0008-0000-1D00-00000138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45720</xdr:rowOff>
        </xdr:from>
        <xdr:to>
          <xdr:col>15</xdr:col>
          <xdr:colOff>541020</xdr:colOff>
          <xdr:row>74</xdr:row>
          <xdr:rowOff>106680</xdr:rowOff>
        </xdr:to>
        <xdr:sp macro="" textlink="">
          <xdr:nvSpPr>
            <xdr:cNvPr id="210946" name="Button 2" hidden="1">
              <a:extLst>
                <a:ext uri="{63B3BB69-23CF-44E3-9099-C40C66FF867C}">
                  <a14:compatExt spid="_x0000_s210946"/>
                </a:ext>
                <a:ext uri="{FF2B5EF4-FFF2-40B4-BE49-F238E27FC236}">
                  <a16:creationId xmlns:a16="http://schemas.microsoft.com/office/drawing/2014/main" id="{00000000-0008-0000-1D00-00000238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144780</xdr:rowOff>
        </xdr:to>
        <xdr:sp macro="" textlink="">
          <xdr:nvSpPr>
            <xdr:cNvPr id="210947" name="Button 3" hidden="1">
              <a:extLst>
                <a:ext uri="{63B3BB69-23CF-44E3-9099-C40C66FF867C}">
                  <a14:compatExt spid="_x0000_s210947"/>
                </a:ext>
                <a:ext uri="{FF2B5EF4-FFF2-40B4-BE49-F238E27FC236}">
                  <a16:creationId xmlns:a16="http://schemas.microsoft.com/office/drawing/2014/main" id="{00000000-0008-0000-1D00-00000338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144780</xdr:rowOff>
        </xdr:to>
        <xdr:sp macro="" textlink="">
          <xdr:nvSpPr>
            <xdr:cNvPr id="210948" name="Button 4" hidden="1">
              <a:extLst>
                <a:ext uri="{63B3BB69-23CF-44E3-9099-C40C66FF867C}">
                  <a14:compatExt spid="_x0000_s210948"/>
                </a:ext>
                <a:ext uri="{FF2B5EF4-FFF2-40B4-BE49-F238E27FC236}">
                  <a16:creationId xmlns:a16="http://schemas.microsoft.com/office/drawing/2014/main" id="{00000000-0008-0000-1D00-00000438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144780</xdr:rowOff>
        </xdr:to>
        <xdr:sp macro="" textlink="">
          <xdr:nvSpPr>
            <xdr:cNvPr id="210949" name="Button 5" hidden="1">
              <a:extLst>
                <a:ext uri="{63B3BB69-23CF-44E3-9099-C40C66FF867C}">
                  <a14:compatExt spid="_x0000_s210949"/>
                </a:ext>
                <a:ext uri="{FF2B5EF4-FFF2-40B4-BE49-F238E27FC236}">
                  <a16:creationId xmlns:a16="http://schemas.microsoft.com/office/drawing/2014/main" id="{00000000-0008-0000-1D00-00000538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1</xdr:row>
          <xdr:rowOff>144780</xdr:rowOff>
        </xdr:to>
        <xdr:sp macro="" textlink="">
          <xdr:nvSpPr>
            <xdr:cNvPr id="210950" name="Button 6" hidden="1">
              <a:extLst>
                <a:ext uri="{63B3BB69-23CF-44E3-9099-C40C66FF867C}">
                  <a14:compatExt spid="_x0000_s210950"/>
                </a:ext>
                <a:ext uri="{FF2B5EF4-FFF2-40B4-BE49-F238E27FC236}">
                  <a16:creationId xmlns:a16="http://schemas.microsoft.com/office/drawing/2014/main" id="{00000000-0008-0000-1D00-00000638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1</xdr:row>
          <xdr:rowOff>106680</xdr:rowOff>
        </xdr:to>
        <xdr:sp macro="" textlink="">
          <xdr:nvSpPr>
            <xdr:cNvPr id="211969" name="Button 1" hidden="1">
              <a:extLst>
                <a:ext uri="{63B3BB69-23CF-44E3-9099-C40C66FF867C}">
                  <a14:compatExt spid="_x0000_s211969"/>
                </a:ext>
                <a:ext uri="{FF2B5EF4-FFF2-40B4-BE49-F238E27FC236}">
                  <a16:creationId xmlns:a16="http://schemas.microsoft.com/office/drawing/2014/main" id="{00000000-0008-0000-1E00-0000013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45720</xdr:rowOff>
        </xdr:from>
        <xdr:to>
          <xdr:col>15</xdr:col>
          <xdr:colOff>541020</xdr:colOff>
          <xdr:row>74</xdr:row>
          <xdr:rowOff>106680</xdr:rowOff>
        </xdr:to>
        <xdr:sp macro="" textlink="">
          <xdr:nvSpPr>
            <xdr:cNvPr id="211970" name="Button 2" hidden="1">
              <a:extLst>
                <a:ext uri="{63B3BB69-23CF-44E3-9099-C40C66FF867C}">
                  <a14:compatExt spid="_x0000_s211970"/>
                </a:ext>
                <a:ext uri="{FF2B5EF4-FFF2-40B4-BE49-F238E27FC236}">
                  <a16:creationId xmlns:a16="http://schemas.microsoft.com/office/drawing/2014/main" id="{00000000-0008-0000-1E00-0000023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2</xdr:row>
          <xdr:rowOff>68580</xdr:rowOff>
        </xdr:to>
        <xdr:sp macro="" textlink="">
          <xdr:nvSpPr>
            <xdr:cNvPr id="211971" name="Button 3" hidden="1">
              <a:extLst>
                <a:ext uri="{63B3BB69-23CF-44E3-9099-C40C66FF867C}">
                  <a14:compatExt spid="_x0000_s211971"/>
                </a:ext>
                <a:ext uri="{FF2B5EF4-FFF2-40B4-BE49-F238E27FC236}">
                  <a16:creationId xmlns:a16="http://schemas.microsoft.com/office/drawing/2014/main" id="{00000000-0008-0000-1E00-0000033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2</xdr:row>
          <xdr:rowOff>68580</xdr:rowOff>
        </xdr:to>
        <xdr:sp macro="" textlink="">
          <xdr:nvSpPr>
            <xdr:cNvPr id="211972" name="Button 4" hidden="1">
              <a:extLst>
                <a:ext uri="{63B3BB69-23CF-44E3-9099-C40C66FF867C}">
                  <a14:compatExt spid="_x0000_s211972"/>
                </a:ext>
                <a:ext uri="{FF2B5EF4-FFF2-40B4-BE49-F238E27FC236}">
                  <a16:creationId xmlns:a16="http://schemas.microsoft.com/office/drawing/2014/main" id="{00000000-0008-0000-1E00-0000043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2</xdr:row>
          <xdr:rowOff>68580</xdr:rowOff>
        </xdr:to>
        <xdr:sp macro="" textlink="">
          <xdr:nvSpPr>
            <xdr:cNvPr id="211973" name="Button 5" hidden="1">
              <a:extLst>
                <a:ext uri="{63B3BB69-23CF-44E3-9099-C40C66FF867C}">
                  <a14:compatExt spid="_x0000_s211973"/>
                </a:ext>
                <a:ext uri="{FF2B5EF4-FFF2-40B4-BE49-F238E27FC236}">
                  <a16:creationId xmlns:a16="http://schemas.microsoft.com/office/drawing/2014/main" id="{00000000-0008-0000-1E00-0000053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2</xdr:row>
          <xdr:rowOff>68580</xdr:rowOff>
        </xdr:to>
        <xdr:sp macro="" textlink="">
          <xdr:nvSpPr>
            <xdr:cNvPr id="211974" name="Button 6" hidden="1">
              <a:extLst>
                <a:ext uri="{63B3BB69-23CF-44E3-9099-C40C66FF867C}">
                  <a14:compatExt spid="_x0000_s211974"/>
                </a:ext>
                <a:ext uri="{FF2B5EF4-FFF2-40B4-BE49-F238E27FC236}">
                  <a16:creationId xmlns:a16="http://schemas.microsoft.com/office/drawing/2014/main" id="{00000000-0008-0000-1E00-0000063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0</xdr:col>
          <xdr:colOff>381000</xdr:colOff>
          <xdr:row>2</xdr:row>
          <xdr:rowOff>30480</xdr:rowOff>
        </xdr:to>
        <xdr:sp macro="" textlink="">
          <xdr:nvSpPr>
            <xdr:cNvPr id="212993" name="Button 1" hidden="1">
              <a:extLst>
                <a:ext uri="{63B3BB69-23CF-44E3-9099-C40C66FF867C}">
                  <a14:compatExt spid="_x0000_s212993"/>
                </a:ext>
                <a:ext uri="{FF2B5EF4-FFF2-40B4-BE49-F238E27FC236}">
                  <a16:creationId xmlns:a16="http://schemas.microsoft.com/office/drawing/2014/main" id="{00000000-0008-0000-1F00-0000014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45720</xdr:rowOff>
        </xdr:from>
        <xdr:to>
          <xdr:col>15</xdr:col>
          <xdr:colOff>541020</xdr:colOff>
          <xdr:row>74</xdr:row>
          <xdr:rowOff>106680</xdr:rowOff>
        </xdr:to>
        <xdr:sp macro="" textlink="">
          <xdr:nvSpPr>
            <xdr:cNvPr id="212994" name="Button 2" hidden="1">
              <a:extLst>
                <a:ext uri="{63B3BB69-23CF-44E3-9099-C40C66FF867C}">
                  <a14:compatExt spid="_x0000_s212994"/>
                </a:ext>
                <a:ext uri="{FF2B5EF4-FFF2-40B4-BE49-F238E27FC236}">
                  <a16:creationId xmlns:a16="http://schemas.microsoft.com/office/drawing/2014/main" id="{00000000-0008-0000-1F00-0000024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3</xdr:row>
          <xdr:rowOff>106680</xdr:rowOff>
        </xdr:to>
        <xdr:sp macro="" textlink="">
          <xdr:nvSpPr>
            <xdr:cNvPr id="212995" name="Button 3" hidden="1">
              <a:extLst>
                <a:ext uri="{63B3BB69-23CF-44E3-9099-C40C66FF867C}">
                  <a14:compatExt spid="_x0000_s212995"/>
                </a:ext>
                <a:ext uri="{FF2B5EF4-FFF2-40B4-BE49-F238E27FC236}">
                  <a16:creationId xmlns:a16="http://schemas.microsoft.com/office/drawing/2014/main" id="{00000000-0008-0000-1F00-0000034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3</xdr:row>
          <xdr:rowOff>106680</xdr:rowOff>
        </xdr:to>
        <xdr:sp macro="" textlink="">
          <xdr:nvSpPr>
            <xdr:cNvPr id="212996" name="Button 4" hidden="1">
              <a:extLst>
                <a:ext uri="{63B3BB69-23CF-44E3-9099-C40C66FF867C}">
                  <a14:compatExt spid="_x0000_s212996"/>
                </a:ext>
                <a:ext uri="{FF2B5EF4-FFF2-40B4-BE49-F238E27FC236}">
                  <a16:creationId xmlns:a16="http://schemas.microsoft.com/office/drawing/2014/main" id="{00000000-0008-0000-1F00-0000044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3</xdr:row>
          <xdr:rowOff>106680</xdr:rowOff>
        </xdr:to>
        <xdr:sp macro="" textlink="">
          <xdr:nvSpPr>
            <xdr:cNvPr id="212997" name="Button 5" hidden="1">
              <a:extLst>
                <a:ext uri="{63B3BB69-23CF-44E3-9099-C40C66FF867C}">
                  <a14:compatExt spid="_x0000_s212997"/>
                </a:ext>
                <a:ext uri="{FF2B5EF4-FFF2-40B4-BE49-F238E27FC236}">
                  <a16:creationId xmlns:a16="http://schemas.microsoft.com/office/drawing/2014/main" id="{00000000-0008-0000-1F00-0000054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0</xdr:col>
          <xdr:colOff>388620</xdr:colOff>
          <xdr:row>3</xdr:row>
          <xdr:rowOff>106680</xdr:rowOff>
        </xdr:to>
        <xdr:sp macro="" textlink="">
          <xdr:nvSpPr>
            <xdr:cNvPr id="212998" name="Button 6" hidden="1">
              <a:extLst>
                <a:ext uri="{63B3BB69-23CF-44E3-9099-C40C66FF867C}">
                  <a14:compatExt spid="_x0000_s212998"/>
                </a:ext>
                <a:ext uri="{FF2B5EF4-FFF2-40B4-BE49-F238E27FC236}">
                  <a16:creationId xmlns:a16="http://schemas.microsoft.com/office/drawing/2014/main" id="{00000000-0008-0000-1F00-0000064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198120</xdr:colOff>
          <xdr:row>2</xdr:row>
          <xdr:rowOff>106680</xdr:rowOff>
        </xdr:from>
        <xdr:to>
          <xdr:col>6</xdr:col>
          <xdr:colOff>83820</xdr:colOff>
          <xdr:row>4</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4</xdr:row>
          <xdr:rowOff>30480</xdr:rowOff>
        </xdr:from>
        <xdr:to>
          <xdr:col>6</xdr:col>
          <xdr:colOff>83820</xdr:colOff>
          <xdr:row>5</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5</xdr:row>
          <xdr:rowOff>83820</xdr:rowOff>
        </xdr:from>
        <xdr:to>
          <xdr:col>6</xdr:col>
          <xdr:colOff>83820</xdr:colOff>
          <xdr:row>7</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7</xdr:row>
          <xdr:rowOff>76200</xdr:rowOff>
        </xdr:from>
        <xdr:to>
          <xdr:col>5</xdr:col>
          <xdr:colOff>0</xdr:colOff>
          <xdr:row>9</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9</xdr:row>
          <xdr:rowOff>83820</xdr:rowOff>
        </xdr:from>
        <xdr:to>
          <xdr:col>6</xdr:col>
          <xdr:colOff>83820</xdr:colOff>
          <xdr:row>11</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10</xdr:row>
          <xdr:rowOff>83820</xdr:rowOff>
        </xdr:from>
        <xdr:to>
          <xdr:col>5</xdr:col>
          <xdr:colOff>0</xdr:colOff>
          <xdr:row>12</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11</xdr:row>
          <xdr:rowOff>83820</xdr:rowOff>
        </xdr:from>
        <xdr:to>
          <xdr:col>5</xdr:col>
          <xdr:colOff>0</xdr:colOff>
          <xdr:row>13</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12</xdr:row>
          <xdr:rowOff>83820</xdr:rowOff>
        </xdr:from>
        <xdr:to>
          <xdr:col>5</xdr:col>
          <xdr:colOff>0</xdr:colOff>
          <xdr:row>14</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13</xdr:row>
          <xdr:rowOff>83820</xdr:rowOff>
        </xdr:from>
        <xdr:to>
          <xdr:col>5</xdr:col>
          <xdr:colOff>0</xdr:colOff>
          <xdr:row>15</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14</xdr:row>
          <xdr:rowOff>106680</xdr:rowOff>
        </xdr:from>
        <xdr:to>
          <xdr:col>5</xdr:col>
          <xdr:colOff>0</xdr:colOff>
          <xdr:row>16</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15</xdr:row>
          <xdr:rowOff>83820</xdr:rowOff>
        </xdr:from>
        <xdr:to>
          <xdr:col>5</xdr:col>
          <xdr:colOff>0</xdr:colOff>
          <xdr:row>17</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16</xdr:row>
          <xdr:rowOff>83820</xdr:rowOff>
        </xdr:from>
        <xdr:to>
          <xdr:col>5</xdr:col>
          <xdr:colOff>0</xdr:colOff>
          <xdr:row>18</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17</xdr:row>
          <xdr:rowOff>83820</xdr:rowOff>
        </xdr:from>
        <xdr:to>
          <xdr:col>5</xdr:col>
          <xdr:colOff>0</xdr:colOff>
          <xdr:row>19</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2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xdr:row>
          <xdr:rowOff>83820</xdr:rowOff>
        </xdr:from>
        <xdr:to>
          <xdr:col>5</xdr:col>
          <xdr:colOff>0</xdr:colOff>
          <xdr:row>20</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2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19</xdr:row>
          <xdr:rowOff>83820</xdr:rowOff>
        </xdr:from>
        <xdr:to>
          <xdr:col>5</xdr:col>
          <xdr:colOff>0</xdr:colOff>
          <xdr:row>21</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2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20</xdr:row>
          <xdr:rowOff>83820</xdr:rowOff>
        </xdr:from>
        <xdr:to>
          <xdr:col>5</xdr:col>
          <xdr:colOff>0</xdr:colOff>
          <xdr:row>22</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2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21</xdr:row>
          <xdr:rowOff>83820</xdr:rowOff>
        </xdr:from>
        <xdr:to>
          <xdr:col>5</xdr:col>
          <xdr:colOff>0</xdr:colOff>
          <xdr:row>23</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2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22</xdr:row>
          <xdr:rowOff>83820</xdr:rowOff>
        </xdr:from>
        <xdr:to>
          <xdr:col>5</xdr:col>
          <xdr:colOff>0</xdr:colOff>
          <xdr:row>24</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2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23</xdr:row>
          <xdr:rowOff>83820</xdr:rowOff>
        </xdr:from>
        <xdr:to>
          <xdr:col>5</xdr:col>
          <xdr:colOff>0</xdr:colOff>
          <xdr:row>25</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2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7.vml"/><Relationship Id="rId7" Type="http://schemas.openxmlformats.org/officeDocument/2006/relationships/ctrlProp" Target="../ctrlProps/ctrlProp2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2.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2" Type="http://schemas.openxmlformats.org/officeDocument/2006/relationships/drawing" Target="../drawings/drawing1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1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2" Type="http://schemas.openxmlformats.org/officeDocument/2006/relationships/drawing" Target="../drawings/drawing14.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5" Type="http://schemas.openxmlformats.org/officeDocument/2006/relationships/ctrlProp" Target="../ctrlProps/ctrlProp111.xml"/><Relationship Id="rId61" Type="http://schemas.openxmlformats.org/officeDocument/2006/relationships/ctrlProp" Target="../ctrlProps/ctrlProp167.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14.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15.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ctrlProp" Target="../ctrlProps/ctrlProp168.xml"/><Relationship Id="rId7" Type="http://schemas.openxmlformats.org/officeDocument/2006/relationships/ctrlProp" Target="../ctrlProps/ctrlProp172.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ctrlProp" Target="../ctrlProps/ctrlProp174.xml"/><Relationship Id="rId7" Type="http://schemas.openxmlformats.org/officeDocument/2006/relationships/ctrlProp" Target="../ctrlProps/ctrlProp178.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77.xml"/><Relationship Id="rId5" Type="http://schemas.openxmlformats.org/officeDocument/2006/relationships/ctrlProp" Target="../ctrlProps/ctrlProp176.xml"/><Relationship Id="rId4" Type="http://schemas.openxmlformats.org/officeDocument/2006/relationships/ctrlProp" Target="../ctrlProps/ctrlProp1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ctrlProp" Target="../ctrlProps/ctrlProp180.xml"/><Relationship Id="rId7" Type="http://schemas.openxmlformats.org/officeDocument/2006/relationships/ctrlProp" Target="../ctrlProps/ctrlProp184.xml"/><Relationship Id="rId2" Type="http://schemas.openxmlformats.org/officeDocument/2006/relationships/vmlDrawing" Target="../drawings/vmlDrawing17.vml"/><Relationship Id="rId1" Type="http://schemas.openxmlformats.org/officeDocument/2006/relationships/drawing" Target="../drawings/drawing17.xml"/><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trlProp" Target="../ctrlProps/ctrlProp229.xml"/><Relationship Id="rId50" Type="http://schemas.openxmlformats.org/officeDocument/2006/relationships/ctrlProp" Target="../ctrlProps/ctrlProp232.xml"/><Relationship Id="rId55" Type="http://schemas.openxmlformats.org/officeDocument/2006/relationships/ctrlProp" Target="../ctrlProps/ctrlProp237.xml"/><Relationship Id="rId7" Type="http://schemas.openxmlformats.org/officeDocument/2006/relationships/ctrlProp" Target="../ctrlProps/ctrlProp189.xml"/><Relationship Id="rId2" Type="http://schemas.openxmlformats.org/officeDocument/2006/relationships/drawing" Target="../drawings/drawing18.xml"/><Relationship Id="rId16" Type="http://schemas.openxmlformats.org/officeDocument/2006/relationships/ctrlProp" Target="../ctrlProps/ctrlProp198.xml"/><Relationship Id="rId29" Type="http://schemas.openxmlformats.org/officeDocument/2006/relationships/ctrlProp" Target="../ctrlProps/ctrlProp211.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3" Type="http://schemas.openxmlformats.org/officeDocument/2006/relationships/ctrlProp" Target="../ctrlProps/ctrlProp235.xml"/><Relationship Id="rId58" Type="http://schemas.openxmlformats.org/officeDocument/2006/relationships/ctrlProp" Target="../ctrlProps/ctrlProp240.xml"/><Relationship Id="rId5" Type="http://schemas.openxmlformats.org/officeDocument/2006/relationships/ctrlProp" Target="../ctrlProps/ctrlProp187.xml"/><Relationship Id="rId61" Type="http://schemas.openxmlformats.org/officeDocument/2006/relationships/ctrlProp" Target="../ctrlProps/ctrlProp243.xml"/><Relationship Id="rId19" Type="http://schemas.openxmlformats.org/officeDocument/2006/relationships/ctrlProp" Target="../ctrlProps/ctrlProp20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 Id="rId48" Type="http://schemas.openxmlformats.org/officeDocument/2006/relationships/ctrlProp" Target="../ctrlProps/ctrlProp230.xml"/><Relationship Id="rId56" Type="http://schemas.openxmlformats.org/officeDocument/2006/relationships/ctrlProp" Target="../ctrlProps/ctrlProp238.xml"/><Relationship Id="rId8" Type="http://schemas.openxmlformats.org/officeDocument/2006/relationships/ctrlProp" Target="../ctrlProps/ctrlProp190.xml"/><Relationship Id="rId51" Type="http://schemas.openxmlformats.org/officeDocument/2006/relationships/ctrlProp" Target="../ctrlProps/ctrlProp233.xml"/><Relationship Id="rId3" Type="http://schemas.openxmlformats.org/officeDocument/2006/relationships/vmlDrawing" Target="../drawings/vmlDrawing18.v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59" Type="http://schemas.openxmlformats.org/officeDocument/2006/relationships/ctrlProp" Target="../ctrlProps/ctrlProp241.xml"/><Relationship Id="rId20" Type="http://schemas.openxmlformats.org/officeDocument/2006/relationships/ctrlProp" Target="../ctrlProps/ctrlProp202.xml"/><Relationship Id="rId41" Type="http://schemas.openxmlformats.org/officeDocument/2006/relationships/ctrlProp" Target="../ctrlProps/ctrlProp223.xml"/><Relationship Id="rId54" Type="http://schemas.openxmlformats.org/officeDocument/2006/relationships/ctrlProp" Target="../ctrlProps/ctrlProp236.xml"/><Relationship Id="rId1" Type="http://schemas.openxmlformats.org/officeDocument/2006/relationships/printerSettings" Target="../printerSettings/printerSettings16.bin"/><Relationship Id="rId6" Type="http://schemas.openxmlformats.org/officeDocument/2006/relationships/ctrlProp" Target="../ctrlProps/ctrlProp188.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49" Type="http://schemas.openxmlformats.org/officeDocument/2006/relationships/ctrlProp" Target="../ctrlProps/ctrlProp231.xml"/><Relationship Id="rId57" Type="http://schemas.openxmlformats.org/officeDocument/2006/relationships/ctrlProp" Target="../ctrlProps/ctrlProp239.xml"/><Relationship Id="rId10" Type="http://schemas.openxmlformats.org/officeDocument/2006/relationships/ctrlProp" Target="../ctrlProps/ctrlProp192.xml"/><Relationship Id="rId31" Type="http://schemas.openxmlformats.org/officeDocument/2006/relationships/ctrlProp" Target="../ctrlProps/ctrlProp213.xml"/><Relationship Id="rId44" Type="http://schemas.openxmlformats.org/officeDocument/2006/relationships/ctrlProp" Target="../ctrlProps/ctrlProp226.xml"/><Relationship Id="rId52" Type="http://schemas.openxmlformats.org/officeDocument/2006/relationships/ctrlProp" Target="../ctrlProps/ctrlProp234.xml"/><Relationship Id="rId60" Type="http://schemas.openxmlformats.org/officeDocument/2006/relationships/ctrlProp" Target="../ctrlProps/ctrlProp242.xml"/><Relationship Id="rId4" Type="http://schemas.openxmlformats.org/officeDocument/2006/relationships/ctrlProp" Target="../ctrlProps/ctrlProp186.xml"/><Relationship Id="rId9" Type="http://schemas.openxmlformats.org/officeDocument/2006/relationships/ctrlProp" Target="../ctrlProps/ctrlProp191.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53.xml"/><Relationship Id="rId18" Type="http://schemas.openxmlformats.org/officeDocument/2006/relationships/ctrlProp" Target="../ctrlProps/ctrlProp258.xml"/><Relationship Id="rId26" Type="http://schemas.openxmlformats.org/officeDocument/2006/relationships/ctrlProp" Target="../ctrlProps/ctrlProp266.xml"/><Relationship Id="rId39" Type="http://schemas.openxmlformats.org/officeDocument/2006/relationships/ctrlProp" Target="../ctrlProps/ctrlProp279.xml"/><Relationship Id="rId21" Type="http://schemas.openxmlformats.org/officeDocument/2006/relationships/ctrlProp" Target="../ctrlProps/ctrlProp261.xml"/><Relationship Id="rId34" Type="http://schemas.openxmlformats.org/officeDocument/2006/relationships/ctrlProp" Target="../ctrlProps/ctrlProp274.xml"/><Relationship Id="rId42" Type="http://schemas.openxmlformats.org/officeDocument/2006/relationships/ctrlProp" Target="../ctrlProps/ctrlProp282.xml"/><Relationship Id="rId47" Type="http://schemas.openxmlformats.org/officeDocument/2006/relationships/ctrlProp" Target="../ctrlProps/ctrlProp287.xml"/><Relationship Id="rId50" Type="http://schemas.openxmlformats.org/officeDocument/2006/relationships/ctrlProp" Target="../ctrlProps/ctrlProp290.xml"/><Relationship Id="rId55" Type="http://schemas.openxmlformats.org/officeDocument/2006/relationships/ctrlProp" Target="../ctrlProps/ctrlProp295.xml"/><Relationship Id="rId7" Type="http://schemas.openxmlformats.org/officeDocument/2006/relationships/ctrlProp" Target="../ctrlProps/ctrlProp247.xml"/><Relationship Id="rId2" Type="http://schemas.openxmlformats.org/officeDocument/2006/relationships/drawing" Target="../drawings/drawing19.xml"/><Relationship Id="rId16" Type="http://schemas.openxmlformats.org/officeDocument/2006/relationships/ctrlProp" Target="../ctrlProps/ctrlProp256.xml"/><Relationship Id="rId29" Type="http://schemas.openxmlformats.org/officeDocument/2006/relationships/ctrlProp" Target="../ctrlProps/ctrlProp269.xml"/><Relationship Id="rId11" Type="http://schemas.openxmlformats.org/officeDocument/2006/relationships/ctrlProp" Target="../ctrlProps/ctrlProp251.xml"/><Relationship Id="rId24" Type="http://schemas.openxmlformats.org/officeDocument/2006/relationships/ctrlProp" Target="../ctrlProps/ctrlProp264.xml"/><Relationship Id="rId32" Type="http://schemas.openxmlformats.org/officeDocument/2006/relationships/ctrlProp" Target="../ctrlProps/ctrlProp272.xml"/><Relationship Id="rId37" Type="http://schemas.openxmlformats.org/officeDocument/2006/relationships/ctrlProp" Target="../ctrlProps/ctrlProp277.xml"/><Relationship Id="rId40" Type="http://schemas.openxmlformats.org/officeDocument/2006/relationships/ctrlProp" Target="../ctrlProps/ctrlProp280.xml"/><Relationship Id="rId45" Type="http://schemas.openxmlformats.org/officeDocument/2006/relationships/ctrlProp" Target="../ctrlProps/ctrlProp285.xml"/><Relationship Id="rId53" Type="http://schemas.openxmlformats.org/officeDocument/2006/relationships/ctrlProp" Target="../ctrlProps/ctrlProp293.xml"/><Relationship Id="rId58" Type="http://schemas.openxmlformats.org/officeDocument/2006/relationships/ctrlProp" Target="../ctrlProps/ctrlProp298.xml"/><Relationship Id="rId5" Type="http://schemas.openxmlformats.org/officeDocument/2006/relationships/ctrlProp" Target="../ctrlProps/ctrlProp245.xml"/><Relationship Id="rId61" Type="http://schemas.openxmlformats.org/officeDocument/2006/relationships/ctrlProp" Target="../ctrlProps/ctrlProp301.xml"/><Relationship Id="rId19" Type="http://schemas.openxmlformats.org/officeDocument/2006/relationships/ctrlProp" Target="../ctrlProps/ctrlProp259.xml"/><Relationship Id="rId14" Type="http://schemas.openxmlformats.org/officeDocument/2006/relationships/ctrlProp" Target="../ctrlProps/ctrlProp254.xml"/><Relationship Id="rId22" Type="http://schemas.openxmlformats.org/officeDocument/2006/relationships/ctrlProp" Target="../ctrlProps/ctrlProp262.xml"/><Relationship Id="rId27" Type="http://schemas.openxmlformats.org/officeDocument/2006/relationships/ctrlProp" Target="../ctrlProps/ctrlProp267.xml"/><Relationship Id="rId30" Type="http://schemas.openxmlformats.org/officeDocument/2006/relationships/ctrlProp" Target="../ctrlProps/ctrlProp270.xml"/><Relationship Id="rId35" Type="http://schemas.openxmlformats.org/officeDocument/2006/relationships/ctrlProp" Target="../ctrlProps/ctrlProp275.xml"/><Relationship Id="rId43" Type="http://schemas.openxmlformats.org/officeDocument/2006/relationships/ctrlProp" Target="../ctrlProps/ctrlProp283.xml"/><Relationship Id="rId48" Type="http://schemas.openxmlformats.org/officeDocument/2006/relationships/ctrlProp" Target="../ctrlProps/ctrlProp288.xml"/><Relationship Id="rId56" Type="http://schemas.openxmlformats.org/officeDocument/2006/relationships/ctrlProp" Target="../ctrlProps/ctrlProp296.xml"/><Relationship Id="rId8" Type="http://schemas.openxmlformats.org/officeDocument/2006/relationships/ctrlProp" Target="../ctrlProps/ctrlProp248.xml"/><Relationship Id="rId51" Type="http://schemas.openxmlformats.org/officeDocument/2006/relationships/ctrlProp" Target="../ctrlProps/ctrlProp291.xml"/><Relationship Id="rId3" Type="http://schemas.openxmlformats.org/officeDocument/2006/relationships/vmlDrawing" Target="../drawings/vmlDrawing19.v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46" Type="http://schemas.openxmlformats.org/officeDocument/2006/relationships/ctrlProp" Target="../ctrlProps/ctrlProp286.xml"/><Relationship Id="rId59" Type="http://schemas.openxmlformats.org/officeDocument/2006/relationships/ctrlProp" Target="../ctrlProps/ctrlProp299.xml"/><Relationship Id="rId20" Type="http://schemas.openxmlformats.org/officeDocument/2006/relationships/ctrlProp" Target="../ctrlProps/ctrlProp260.xml"/><Relationship Id="rId41" Type="http://schemas.openxmlformats.org/officeDocument/2006/relationships/ctrlProp" Target="../ctrlProps/ctrlProp281.xml"/><Relationship Id="rId54" Type="http://schemas.openxmlformats.org/officeDocument/2006/relationships/ctrlProp" Target="../ctrlProps/ctrlProp294.xml"/><Relationship Id="rId1" Type="http://schemas.openxmlformats.org/officeDocument/2006/relationships/printerSettings" Target="../printerSettings/printerSettings17.bin"/><Relationship Id="rId6" Type="http://schemas.openxmlformats.org/officeDocument/2006/relationships/ctrlProp" Target="../ctrlProps/ctrlProp246.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49" Type="http://schemas.openxmlformats.org/officeDocument/2006/relationships/ctrlProp" Target="../ctrlProps/ctrlProp289.xml"/><Relationship Id="rId57" Type="http://schemas.openxmlformats.org/officeDocument/2006/relationships/ctrlProp" Target="../ctrlProps/ctrlProp297.xml"/><Relationship Id="rId10" Type="http://schemas.openxmlformats.org/officeDocument/2006/relationships/ctrlProp" Target="../ctrlProps/ctrlProp250.xml"/><Relationship Id="rId31" Type="http://schemas.openxmlformats.org/officeDocument/2006/relationships/ctrlProp" Target="../ctrlProps/ctrlProp271.xml"/><Relationship Id="rId44" Type="http://schemas.openxmlformats.org/officeDocument/2006/relationships/ctrlProp" Target="../ctrlProps/ctrlProp284.xml"/><Relationship Id="rId52" Type="http://schemas.openxmlformats.org/officeDocument/2006/relationships/ctrlProp" Target="../ctrlProps/ctrlProp292.xml"/><Relationship Id="rId60" Type="http://schemas.openxmlformats.org/officeDocument/2006/relationships/ctrlProp" Target="../ctrlProps/ctrlProp300.xml"/><Relationship Id="rId4" Type="http://schemas.openxmlformats.org/officeDocument/2006/relationships/ctrlProp" Target="../ctrlProps/ctrlProp244.xml"/><Relationship Id="rId9" Type="http://schemas.openxmlformats.org/officeDocument/2006/relationships/ctrlProp" Target="../ctrlProps/ctrlProp24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55" Type="http://schemas.openxmlformats.org/officeDocument/2006/relationships/ctrlProp" Target="../ctrlProps/ctrlProp353.xml"/><Relationship Id="rId7" Type="http://schemas.openxmlformats.org/officeDocument/2006/relationships/ctrlProp" Target="../ctrlProps/ctrlProp305.xml"/><Relationship Id="rId2" Type="http://schemas.openxmlformats.org/officeDocument/2006/relationships/drawing" Target="../drawings/drawing20.xml"/><Relationship Id="rId16" Type="http://schemas.openxmlformats.org/officeDocument/2006/relationships/ctrlProp" Target="../ctrlProps/ctrlProp314.xml"/><Relationship Id="rId29" Type="http://schemas.openxmlformats.org/officeDocument/2006/relationships/ctrlProp" Target="../ctrlProps/ctrlProp327.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3" Type="http://schemas.openxmlformats.org/officeDocument/2006/relationships/ctrlProp" Target="../ctrlProps/ctrlProp351.xml"/><Relationship Id="rId58" Type="http://schemas.openxmlformats.org/officeDocument/2006/relationships/ctrlProp" Target="../ctrlProps/ctrlProp356.xml"/><Relationship Id="rId5" Type="http://schemas.openxmlformats.org/officeDocument/2006/relationships/ctrlProp" Target="../ctrlProps/ctrlProp303.xml"/><Relationship Id="rId61" Type="http://schemas.openxmlformats.org/officeDocument/2006/relationships/ctrlProp" Target="../ctrlProps/ctrlProp359.xml"/><Relationship Id="rId19" Type="http://schemas.openxmlformats.org/officeDocument/2006/relationships/ctrlProp" Target="../ctrlProps/ctrlProp31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56" Type="http://schemas.openxmlformats.org/officeDocument/2006/relationships/ctrlProp" Target="../ctrlProps/ctrlProp354.xml"/><Relationship Id="rId8" Type="http://schemas.openxmlformats.org/officeDocument/2006/relationships/ctrlProp" Target="../ctrlProps/ctrlProp306.xml"/><Relationship Id="rId51" Type="http://schemas.openxmlformats.org/officeDocument/2006/relationships/ctrlProp" Target="../ctrlProps/ctrlProp349.xml"/><Relationship Id="rId3" Type="http://schemas.openxmlformats.org/officeDocument/2006/relationships/vmlDrawing" Target="../drawings/vmlDrawing20.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59" Type="http://schemas.openxmlformats.org/officeDocument/2006/relationships/ctrlProp" Target="../ctrlProps/ctrlProp357.xml"/><Relationship Id="rId20" Type="http://schemas.openxmlformats.org/officeDocument/2006/relationships/ctrlProp" Target="../ctrlProps/ctrlProp318.xml"/><Relationship Id="rId41" Type="http://schemas.openxmlformats.org/officeDocument/2006/relationships/ctrlProp" Target="../ctrlProps/ctrlProp339.xml"/><Relationship Id="rId54" Type="http://schemas.openxmlformats.org/officeDocument/2006/relationships/ctrlProp" Target="../ctrlProps/ctrlProp352.xml"/><Relationship Id="rId1" Type="http://schemas.openxmlformats.org/officeDocument/2006/relationships/printerSettings" Target="../printerSettings/printerSettings18.bin"/><Relationship Id="rId6" Type="http://schemas.openxmlformats.org/officeDocument/2006/relationships/ctrlProp" Target="../ctrlProps/ctrlProp304.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 Id="rId57" Type="http://schemas.openxmlformats.org/officeDocument/2006/relationships/ctrlProp" Target="../ctrlProps/ctrlProp355.xml"/><Relationship Id="rId10" Type="http://schemas.openxmlformats.org/officeDocument/2006/relationships/ctrlProp" Target="../ctrlProps/ctrlProp308.xml"/><Relationship Id="rId31" Type="http://schemas.openxmlformats.org/officeDocument/2006/relationships/ctrlProp" Target="../ctrlProps/ctrlProp329.xml"/><Relationship Id="rId44" Type="http://schemas.openxmlformats.org/officeDocument/2006/relationships/ctrlProp" Target="../ctrlProps/ctrlProp342.xml"/><Relationship Id="rId52" Type="http://schemas.openxmlformats.org/officeDocument/2006/relationships/ctrlProp" Target="../ctrlProps/ctrlProp350.xml"/><Relationship Id="rId60" Type="http://schemas.openxmlformats.org/officeDocument/2006/relationships/ctrlProp" Target="../ctrlProps/ctrlProp358.xml"/><Relationship Id="rId4" Type="http://schemas.openxmlformats.org/officeDocument/2006/relationships/ctrlProp" Target="../ctrlProps/ctrlProp302.xml"/><Relationship Id="rId9" Type="http://schemas.openxmlformats.org/officeDocument/2006/relationships/ctrlProp" Target="../ctrlProps/ctrlProp30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19.bin"/><Relationship Id="rId5" Type="http://schemas.openxmlformats.org/officeDocument/2006/relationships/ctrlProp" Target="../ctrlProps/ctrlProp361.xml"/><Relationship Id="rId4" Type="http://schemas.openxmlformats.org/officeDocument/2006/relationships/ctrlProp" Target="../ctrlProps/ctrlProp3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365.xml"/><Relationship Id="rId2" Type="http://schemas.openxmlformats.org/officeDocument/2006/relationships/drawing" Target="../drawings/drawing22.xml"/><Relationship Id="rId1" Type="http://schemas.openxmlformats.org/officeDocument/2006/relationships/printerSettings" Target="../printerSettings/printerSettings20.bin"/><Relationship Id="rId6" Type="http://schemas.openxmlformats.org/officeDocument/2006/relationships/ctrlProp" Target="../ctrlProps/ctrlProp364.xml"/><Relationship Id="rId5" Type="http://schemas.openxmlformats.org/officeDocument/2006/relationships/ctrlProp" Target="../ctrlProps/ctrlProp363.xml"/><Relationship Id="rId4" Type="http://schemas.openxmlformats.org/officeDocument/2006/relationships/ctrlProp" Target="../ctrlProps/ctrlProp36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1.bin"/><Relationship Id="rId6" Type="http://schemas.openxmlformats.org/officeDocument/2006/relationships/ctrlProp" Target="../ctrlProps/ctrlProp368.xml"/><Relationship Id="rId5" Type="http://schemas.openxmlformats.org/officeDocument/2006/relationships/ctrlProp" Target="../ctrlProps/ctrlProp367.xml"/><Relationship Id="rId4" Type="http://schemas.openxmlformats.org/officeDocument/2006/relationships/ctrlProp" Target="../ctrlProps/ctrlProp36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73.xml"/><Relationship Id="rId3" Type="http://schemas.openxmlformats.org/officeDocument/2006/relationships/vmlDrawing" Target="../drawings/vmlDrawing24.vml"/><Relationship Id="rId7" Type="http://schemas.openxmlformats.org/officeDocument/2006/relationships/ctrlProp" Target="../ctrlProps/ctrlProp372.xml"/><Relationship Id="rId2" Type="http://schemas.openxmlformats.org/officeDocument/2006/relationships/drawing" Target="../drawings/drawing24.xml"/><Relationship Id="rId1" Type="http://schemas.openxmlformats.org/officeDocument/2006/relationships/printerSettings" Target="../printerSettings/printerSettings22.bin"/><Relationship Id="rId6" Type="http://schemas.openxmlformats.org/officeDocument/2006/relationships/ctrlProp" Target="../ctrlProps/ctrlProp371.xml"/><Relationship Id="rId5" Type="http://schemas.openxmlformats.org/officeDocument/2006/relationships/ctrlProp" Target="../ctrlProps/ctrlProp370.xml"/><Relationship Id="rId4" Type="http://schemas.openxmlformats.org/officeDocument/2006/relationships/ctrlProp" Target="../ctrlProps/ctrlProp369.xml"/><Relationship Id="rId9" Type="http://schemas.openxmlformats.org/officeDocument/2006/relationships/ctrlProp" Target="../ctrlProps/ctrlProp37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79.xml"/><Relationship Id="rId3" Type="http://schemas.openxmlformats.org/officeDocument/2006/relationships/vmlDrawing" Target="../drawings/vmlDrawing25.vml"/><Relationship Id="rId7" Type="http://schemas.openxmlformats.org/officeDocument/2006/relationships/ctrlProp" Target="../ctrlProps/ctrlProp378.xml"/><Relationship Id="rId2" Type="http://schemas.openxmlformats.org/officeDocument/2006/relationships/drawing" Target="../drawings/drawing25.xml"/><Relationship Id="rId1" Type="http://schemas.openxmlformats.org/officeDocument/2006/relationships/printerSettings" Target="../printerSettings/printerSettings23.bin"/><Relationship Id="rId6" Type="http://schemas.openxmlformats.org/officeDocument/2006/relationships/ctrlProp" Target="../ctrlProps/ctrlProp377.xml"/><Relationship Id="rId5" Type="http://schemas.openxmlformats.org/officeDocument/2006/relationships/ctrlProp" Target="../ctrlProps/ctrlProp376.xml"/><Relationship Id="rId4" Type="http://schemas.openxmlformats.org/officeDocument/2006/relationships/ctrlProp" Target="../ctrlProps/ctrlProp375.xml"/><Relationship Id="rId9" Type="http://schemas.openxmlformats.org/officeDocument/2006/relationships/ctrlProp" Target="../ctrlProps/ctrlProp380.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90.xml"/><Relationship Id="rId18" Type="http://schemas.openxmlformats.org/officeDocument/2006/relationships/ctrlProp" Target="../ctrlProps/ctrlProp395.xml"/><Relationship Id="rId26" Type="http://schemas.openxmlformats.org/officeDocument/2006/relationships/ctrlProp" Target="../ctrlProps/ctrlProp403.xml"/><Relationship Id="rId39" Type="http://schemas.openxmlformats.org/officeDocument/2006/relationships/ctrlProp" Target="../ctrlProps/ctrlProp416.xml"/><Relationship Id="rId21" Type="http://schemas.openxmlformats.org/officeDocument/2006/relationships/ctrlProp" Target="../ctrlProps/ctrlProp398.xml"/><Relationship Id="rId34" Type="http://schemas.openxmlformats.org/officeDocument/2006/relationships/ctrlProp" Target="../ctrlProps/ctrlProp411.xml"/><Relationship Id="rId42" Type="http://schemas.openxmlformats.org/officeDocument/2006/relationships/ctrlProp" Target="../ctrlProps/ctrlProp419.xml"/><Relationship Id="rId47" Type="http://schemas.openxmlformats.org/officeDocument/2006/relationships/ctrlProp" Target="../ctrlProps/ctrlProp424.xml"/><Relationship Id="rId50" Type="http://schemas.openxmlformats.org/officeDocument/2006/relationships/ctrlProp" Target="../ctrlProps/ctrlProp427.xml"/><Relationship Id="rId55" Type="http://schemas.openxmlformats.org/officeDocument/2006/relationships/ctrlProp" Target="../ctrlProps/ctrlProp432.xml"/><Relationship Id="rId7" Type="http://schemas.openxmlformats.org/officeDocument/2006/relationships/ctrlProp" Target="../ctrlProps/ctrlProp384.xml"/><Relationship Id="rId2" Type="http://schemas.openxmlformats.org/officeDocument/2006/relationships/drawing" Target="../drawings/drawing26.xml"/><Relationship Id="rId16" Type="http://schemas.openxmlformats.org/officeDocument/2006/relationships/ctrlProp" Target="../ctrlProps/ctrlProp393.xml"/><Relationship Id="rId29" Type="http://schemas.openxmlformats.org/officeDocument/2006/relationships/ctrlProp" Target="../ctrlProps/ctrlProp406.xml"/><Relationship Id="rId11" Type="http://schemas.openxmlformats.org/officeDocument/2006/relationships/ctrlProp" Target="../ctrlProps/ctrlProp388.xml"/><Relationship Id="rId24" Type="http://schemas.openxmlformats.org/officeDocument/2006/relationships/ctrlProp" Target="../ctrlProps/ctrlProp401.xml"/><Relationship Id="rId32" Type="http://schemas.openxmlformats.org/officeDocument/2006/relationships/ctrlProp" Target="../ctrlProps/ctrlProp409.xml"/><Relationship Id="rId37" Type="http://schemas.openxmlformats.org/officeDocument/2006/relationships/ctrlProp" Target="../ctrlProps/ctrlProp414.xml"/><Relationship Id="rId40" Type="http://schemas.openxmlformats.org/officeDocument/2006/relationships/ctrlProp" Target="../ctrlProps/ctrlProp417.xml"/><Relationship Id="rId45" Type="http://schemas.openxmlformats.org/officeDocument/2006/relationships/ctrlProp" Target="../ctrlProps/ctrlProp422.xml"/><Relationship Id="rId53" Type="http://schemas.openxmlformats.org/officeDocument/2006/relationships/ctrlProp" Target="../ctrlProps/ctrlProp430.xml"/><Relationship Id="rId58" Type="http://schemas.openxmlformats.org/officeDocument/2006/relationships/ctrlProp" Target="../ctrlProps/ctrlProp435.xml"/><Relationship Id="rId5" Type="http://schemas.openxmlformats.org/officeDocument/2006/relationships/ctrlProp" Target="../ctrlProps/ctrlProp382.xml"/><Relationship Id="rId61" Type="http://schemas.openxmlformats.org/officeDocument/2006/relationships/ctrlProp" Target="../ctrlProps/ctrlProp438.xml"/><Relationship Id="rId19" Type="http://schemas.openxmlformats.org/officeDocument/2006/relationships/ctrlProp" Target="../ctrlProps/ctrlProp396.xml"/><Relationship Id="rId14" Type="http://schemas.openxmlformats.org/officeDocument/2006/relationships/ctrlProp" Target="../ctrlProps/ctrlProp391.xml"/><Relationship Id="rId22" Type="http://schemas.openxmlformats.org/officeDocument/2006/relationships/ctrlProp" Target="../ctrlProps/ctrlProp399.xml"/><Relationship Id="rId27" Type="http://schemas.openxmlformats.org/officeDocument/2006/relationships/ctrlProp" Target="../ctrlProps/ctrlProp404.xml"/><Relationship Id="rId30" Type="http://schemas.openxmlformats.org/officeDocument/2006/relationships/ctrlProp" Target="../ctrlProps/ctrlProp407.xml"/><Relationship Id="rId35" Type="http://schemas.openxmlformats.org/officeDocument/2006/relationships/ctrlProp" Target="../ctrlProps/ctrlProp412.xml"/><Relationship Id="rId43" Type="http://schemas.openxmlformats.org/officeDocument/2006/relationships/ctrlProp" Target="../ctrlProps/ctrlProp420.xml"/><Relationship Id="rId48" Type="http://schemas.openxmlformats.org/officeDocument/2006/relationships/ctrlProp" Target="../ctrlProps/ctrlProp425.xml"/><Relationship Id="rId56" Type="http://schemas.openxmlformats.org/officeDocument/2006/relationships/ctrlProp" Target="../ctrlProps/ctrlProp433.xml"/><Relationship Id="rId8" Type="http://schemas.openxmlformats.org/officeDocument/2006/relationships/ctrlProp" Target="../ctrlProps/ctrlProp385.xml"/><Relationship Id="rId51" Type="http://schemas.openxmlformats.org/officeDocument/2006/relationships/ctrlProp" Target="../ctrlProps/ctrlProp428.xml"/><Relationship Id="rId3" Type="http://schemas.openxmlformats.org/officeDocument/2006/relationships/vmlDrawing" Target="../drawings/vmlDrawing26.vml"/><Relationship Id="rId12" Type="http://schemas.openxmlformats.org/officeDocument/2006/relationships/ctrlProp" Target="../ctrlProps/ctrlProp389.xml"/><Relationship Id="rId17" Type="http://schemas.openxmlformats.org/officeDocument/2006/relationships/ctrlProp" Target="../ctrlProps/ctrlProp394.xml"/><Relationship Id="rId25" Type="http://schemas.openxmlformats.org/officeDocument/2006/relationships/ctrlProp" Target="../ctrlProps/ctrlProp402.xml"/><Relationship Id="rId33" Type="http://schemas.openxmlformats.org/officeDocument/2006/relationships/ctrlProp" Target="../ctrlProps/ctrlProp410.xml"/><Relationship Id="rId38" Type="http://schemas.openxmlformats.org/officeDocument/2006/relationships/ctrlProp" Target="../ctrlProps/ctrlProp415.xml"/><Relationship Id="rId46" Type="http://schemas.openxmlformats.org/officeDocument/2006/relationships/ctrlProp" Target="../ctrlProps/ctrlProp423.xml"/><Relationship Id="rId59" Type="http://schemas.openxmlformats.org/officeDocument/2006/relationships/ctrlProp" Target="../ctrlProps/ctrlProp436.xml"/><Relationship Id="rId20" Type="http://schemas.openxmlformats.org/officeDocument/2006/relationships/ctrlProp" Target="../ctrlProps/ctrlProp397.xml"/><Relationship Id="rId41" Type="http://schemas.openxmlformats.org/officeDocument/2006/relationships/ctrlProp" Target="../ctrlProps/ctrlProp418.xml"/><Relationship Id="rId54" Type="http://schemas.openxmlformats.org/officeDocument/2006/relationships/ctrlProp" Target="../ctrlProps/ctrlProp431.xml"/><Relationship Id="rId1" Type="http://schemas.openxmlformats.org/officeDocument/2006/relationships/printerSettings" Target="../printerSettings/printerSettings24.bin"/><Relationship Id="rId6" Type="http://schemas.openxmlformats.org/officeDocument/2006/relationships/ctrlProp" Target="../ctrlProps/ctrlProp383.xml"/><Relationship Id="rId15" Type="http://schemas.openxmlformats.org/officeDocument/2006/relationships/ctrlProp" Target="../ctrlProps/ctrlProp392.xml"/><Relationship Id="rId23" Type="http://schemas.openxmlformats.org/officeDocument/2006/relationships/ctrlProp" Target="../ctrlProps/ctrlProp400.xml"/><Relationship Id="rId28" Type="http://schemas.openxmlformats.org/officeDocument/2006/relationships/ctrlProp" Target="../ctrlProps/ctrlProp405.xml"/><Relationship Id="rId36" Type="http://schemas.openxmlformats.org/officeDocument/2006/relationships/ctrlProp" Target="../ctrlProps/ctrlProp413.xml"/><Relationship Id="rId49" Type="http://schemas.openxmlformats.org/officeDocument/2006/relationships/ctrlProp" Target="../ctrlProps/ctrlProp426.xml"/><Relationship Id="rId57" Type="http://schemas.openxmlformats.org/officeDocument/2006/relationships/ctrlProp" Target="../ctrlProps/ctrlProp434.xml"/><Relationship Id="rId10" Type="http://schemas.openxmlformats.org/officeDocument/2006/relationships/ctrlProp" Target="../ctrlProps/ctrlProp387.xml"/><Relationship Id="rId31" Type="http://schemas.openxmlformats.org/officeDocument/2006/relationships/ctrlProp" Target="../ctrlProps/ctrlProp408.xml"/><Relationship Id="rId44" Type="http://schemas.openxmlformats.org/officeDocument/2006/relationships/ctrlProp" Target="../ctrlProps/ctrlProp421.xml"/><Relationship Id="rId52" Type="http://schemas.openxmlformats.org/officeDocument/2006/relationships/ctrlProp" Target="../ctrlProps/ctrlProp429.xml"/><Relationship Id="rId60" Type="http://schemas.openxmlformats.org/officeDocument/2006/relationships/ctrlProp" Target="../ctrlProps/ctrlProp437.xml"/><Relationship Id="rId4" Type="http://schemas.openxmlformats.org/officeDocument/2006/relationships/ctrlProp" Target="../ctrlProps/ctrlProp381.xml"/><Relationship Id="rId9" Type="http://schemas.openxmlformats.org/officeDocument/2006/relationships/ctrlProp" Target="../ctrlProps/ctrlProp386.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48.xml"/><Relationship Id="rId18" Type="http://schemas.openxmlformats.org/officeDocument/2006/relationships/ctrlProp" Target="../ctrlProps/ctrlProp453.xml"/><Relationship Id="rId26" Type="http://schemas.openxmlformats.org/officeDocument/2006/relationships/ctrlProp" Target="../ctrlProps/ctrlProp461.xml"/><Relationship Id="rId39" Type="http://schemas.openxmlformats.org/officeDocument/2006/relationships/ctrlProp" Target="../ctrlProps/ctrlProp474.xml"/><Relationship Id="rId21" Type="http://schemas.openxmlformats.org/officeDocument/2006/relationships/ctrlProp" Target="../ctrlProps/ctrlProp456.xml"/><Relationship Id="rId34" Type="http://schemas.openxmlformats.org/officeDocument/2006/relationships/ctrlProp" Target="../ctrlProps/ctrlProp469.xml"/><Relationship Id="rId42" Type="http://schemas.openxmlformats.org/officeDocument/2006/relationships/ctrlProp" Target="../ctrlProps/ctrlProp477.xml"/><Relationship Id="rId47" Type="http://schemas.openxmlformats.org/officeDocument/2006/relationships/ctrlProp" Target="../ctrlProps/ctrlProp482.xml"/><Relationship Id="rId50" Type="http://schemas.openxmlformats.org/officeDocument/2006/relationships/ctrlProp" Target="../ctrlProps/ctrlProp485.xml"/><Relationship Id="rId55" Type="http://schemas.openxmlformats.org/officeDocument/2006/relationships/ctrlProp" Target="../ctrlProps/ctrlProp490.xml"/><Relationship Id="rId7" Type="http://schemas.openxmlformats.org/officeDocument/2006/relationships/ctrlProp" Target="../ctrlProps/ctrlProp442.xml"/><Relationship Id="rId2" Type="http://schemas.openxmlformats.org/officeDocument/2006/relationships/drawing" Target="../drawings/drawing27.xml"/><Relationship Id="rId16" Type="http://schemas.openxmlformats.org/officeDocument/2006/relationships/ctrlProp" Target="../ctrlProps/ctrlProp451.xml"/><Relationship Id="rId29" Type="http://schemas.openxmlformats.org/officeDocument/2006/relationships/ctrlProp" Target="../ctrlProps/ctrlProp464.xml"/><Relationship Id="rId11" Type="http://schemas.openxmlformats.org/officeDocument/2006/relationships/ctrlProp" Target="../ctrlProps/ctrlProp446.xml"/><Relationship Id="rId24" Type="http://schemas.openxmlformats.org/officeDocument/2006/relationships/ctrlProp" Target="../ctrlProps/ctrlProp459.xml"/><Relationship Id="rId32" Type="http://schemas.openxmlformats.org/officeDocument/2006/relationships/ctrlProp" Target="../ctrlProps/ctrlProp467.xml"/><Relationship Id="rId37" Type="http://schemas.openxmlformats.org/officeDocument/2006/relationships/ctrlProp" Target="../ctrlProps/ctrlProp472.xml"/><Relationship Id="rId40" Type="http://schemas.openxmlformats.org/officeDocument/2006/relationships/ctrlProp" Target="../ctrlProps/ctrlProp475.xml"/><Relationship Id="rId45" Type="http://schemas.openxmlformats.org/officeDocument/2006/relationships/ctrlProp" Target="../ctrlProps/ctrlProp480.xml"/><Relationship Id="rId53" Type="http://schemas.openxmlformats.org/officeDocument/2006/relationships/ctrlProp" Target="../ctrlProps/ctrlProp488.xml"/><Relationship Id="rId58" Type="http://schemas.openxmlformats.org/officeDocument/2006/relationships/ctrlProp" Target="../ctrlProps/ctrlProp493.xml"/><Relationship Id="rId5" Type="http://schemas.openxmlformats.org/officeDocument/2006/relationships/ctrlProp" Target="../ctrlProps/ctrlProp440.xml"/><Relationship Id="rId61" Type="http://schemas.openxmlformats.org/officeDocument/2006/relationships/ctrlProp" Target="../ctrlProps/ctrlProp496.xml"/><Relationship Id="rId19" Type="http://schemas.openxmlformats.org/officeDocument/2006/relationships/ctrlProp" Target="../ctrlProps/ctrlProp454.xml"/><Relationship Id="rId14" Type="http://schemas.openxmlformats.org/officeDocument/2006/relationships/ctrlProp" Target="../ctrlProps/ctrlProp449.xml"/><Relationship Id="rId22" Type="http://schemas.openxmlformats.org/officeDocument/2006/relationships/ctrlProp" Target="../ctrlProps/ctrlProp457.xml"/><Relationship Id="rId27" Type="http://schemas.openxmlformats.org/officeDocument/2006/relationships/ctrlProp" Target="../ctrlProps/ctrlProp462.xml"/><Relationship Id="rId30" Type="http://schemas.openxmlformats.org/officeDocument/2006/relationships/ctrlProp" Target="../ctrlProps/ctrlProp465.xml"/><Relationship Id="rId35" Type="http://schemas.openxmlformats.org/officeDocument/2006/relationships/ctrlProp" Target="../ctrlProps/ctrlProp470.xml"/><Relationship Id="rId43" Type="http://schemas.openxmlformats.org/officeDocument/2006/relationships/ctrlProp" Target="../ctrlProps/ctrlProp478.xml"/><Relationship Id="rId48" Type="http://schemas.openxmlformats.org/officeDocument/2006/relationships/ctrlProp" Target="../ctrlProps/ctrlProp483.xml"/><Relationship Id="rId56" Type="http://schemas.openxmlformats.org/officeDocument/2006/relationships/ctrlProp" Target="../ctrlProps/ctrlProp491.xml"/><Relationship Id="rId8" Type="http://schemas.openxmlformats.org/officeDocument/2006/relationships/ctrlProp" Target="../ctrlProps/ctrlProp443.xml"/><Relationship Id="rId51" Type="http://schemas.openxmlformats.org/officeDocument/2006/relationships/ctrlProp" Target="../ctrlProps/ctrlProp486.xml"/><Relationship Id="rId3" Type="http://schemas.openxmlformats.org/officeDocument/2006/relationships/vmlDrawing" Target="../drawings/vmlDrawing27.vml"/><Relationship Id="rId12" Type="http://schemas.openxmlformats.org/officeDocument/2006/relationships/ctrlProp" Target="../ctrlProps/ctrlProp447.xml"/><Relationship Id="rId17" Type="http://schemas.openxmlformats.org/officeDocument/2006/relationships/ctrlProp" Target="../ctrlProps/ctrlProp452.xml"/><Relationship Id="rId25" Type="http://schemas.openxmlformats.org/officeDocument/2006/relationships/ctrlProp" Target="../ctrlProps/ctrlProp460.xml"/><Relationship Id="rId33" Type="http://schemas.openxmlformats.org/officeDocument/2006/relationships/ctrlProp" Target="../ctrlProps/ctrlProp468.xml"/><Relationship Id="rId38" Type="http://schemas.openxmlformats.org/officeDocument/2006/relationships/ctrlProp" Target="../ctrlProps/ctrlProp473.xml"/><Relationship Id="rId46" Type="http://schemas.openxmlformats.org/officeDocument/2006/relationships/ctrlProp" Target="../ctrlProps/ctrlProp481.xml"/><Relationship Id="rId59" Type="http://schemas.openxmlformats.org/officeDocument/2006/relationships/ctrlProp" Target="../ctrlProps/ctrlProp494.xml"/><Relationship Id="rId20" Type="http://schemas.openxmlformats.org/officeDocument/2006/relationships/ctrlProp" Target="../ctrlProps/ctrlProp455.xml"/><Relationship Id="rId41" Type="http://schemas.openxmlformats.org/officeDocument/2006/relationships/ctrlProp" Target="../ctrlProps/ctrlProp476.xml"/><Relationship Id="rId54" Type="http://schemas.openxmlformats.org/officeDocument/2006/relationships/ctrlProp" Target="../ctrlProps/ctrlProp489.xml"/><Relationship Id="rId1" Type="http://schemas.openxmlformats.org/officeDocument/2006/relationships/printerSettings" Target="../printerSettings/printerSettings25.bin"/><Relationship Id="rId6" Type="http://schemas.openxmlformats.org/officeDocument/2006/relationships/ctrlProp" Target="../ctrlProps/ctrlProp441.xml"/><Relationship Id="rId15" Type="http://schemas.openxmlformats.org/officeDocument/2006/relationships/ctrlProp" Target="../ctrlProps/ctrlProp450.xml"/><Relationship Id="rId23" Type="http://schemas.openxmlformats.org/officeDocument/2006/relationships/ctrlProp" Target="../ctrlProps/ctrlProp458.xml"/><Relationship Id="rId28" Type="http://schemas.openxmlformats.org/officeDocument/2006/relationships/ctrlProp" Target="../ctrlProps/ctrlProp463.xml"/><Relationship Id="rId36" Type="http://schemas.openxmlformats.org/officeDocument/2006/relationships/ctrlProp" Target="../ctrlProps/ctrlProp471.xml"/><Relationship Id="rId49" Type="http://schemas.openxmlformats.org/officeDocument/2006/relationships/ctrlProp" Target="../ctrlProps/ctrlProp484.xml"/><Relationship Id="rId57" Type="http://schemas.openxmlformats.org/officeDocument/2006/relationships/ctrlProp" Target="../ctrlProps/ctrlProp492.xml"/><Relationship Id="rId10" Type="http://schemas.openxmlformats.org/officeDocument/2006/relationships/ctrlProp" Target="../ctrlProps/ctrlProp445.xml"/><Relationship Id="rId31" Type="http://schemas.openxmlformats.org/officeDocument/2006/relationships/ctrlProp" Target="../ctrlProps/ctrlProp466.xml"/><Relationship Id="rId44" Type="http://schemas.openxmlformats.org/officeDocument/2006/relationships/ctrlProp" Target="../ctrlProps/ctrlProp479.xml"/><Relationship Id="rId52" Type="http://schemas.openxmlformats.org/officeDocument/2006/relationships/ctrlProp" Target="../ctrlProps/ctrlProp487.xml"/><Relationship Id="rId60" Type="http://schemas.openxmlformats.org/officeDocument/2006/relationships/ctrlProp" Target="../ctrlProps/ctrlProp495.xml"/><Relationship Id="rId4" Type="http://schemas.openxmlformats.org/officeDocument/2006/relationships/ctrlProp" Target="../ctrlProps/ctrlProp439.xml"/><Relationship Id="rId9" Type="http://schemas.openxmlformats.org/officeDocument/2006/relationships/ctrlProp" Target="../ctrlProps/ctrlProp444.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06.xml"/><Relationship Id="rId18" Type="http://schemas.openxmlformats.org/officeDocument/2006/relationships/ctrlProp" Target="../ctrlProps/ctrlProp511.xml"/><Relationship Id="rId26" Type="http://schemas.openxmlformats.org/officeDocument/2006/relationships/ctrlProp" Target="../ctrlProps/ctrlProp519.xml"/><Relationship Id="rId39" Type="http://schemas.openxmlformats.org/officeDocument/2006/relationships/ctrlProp" Target="../ctrlProps/ctrlProp532.xml"/><Relationship Id="rId21" Type="http://schemas.openxmlformats.org/officeDocument/2006/relationships/ctrlProp" Target="../ctrlProps/ctrlProp514.xml"/><Relationship Id="rId34" Type="http://schemas.openxmlformats.org/officeDocument/2006/relationships/ctrlProp" Target="../ctrlProps/ctrlProp527.xml"/><Relationship Id="rId42" Type="http://schemas.openxmlformats.org/officeDocument/2006/relationships/ctrlProp" Target="../ctrlProps/ctrlProp535.xml"/><Relationship Id="rId47" Type="http://schemas.openxmlformats.org/officeDocument/2006/relationships/ctrlProp" Target="../ctrlProps/ctrlProp540.xml"/><Relationship Id="rId50" Type="http://schemas.openxmlformats.org/officeDocument/2006/relationships/ctrlProp" Target="../ctrlProps/ctrlProp543.xml"/><Relationship Id="rId55" Type="http://schemas.openxmlformats.org/officeDocument/2006/relationships/ctrlProp" Target="../ctrlProps/ctrlProp548.xml"/><Relationship Id="rId7" Type="http://schemas.openxmlformats.org/officeDocument/2006/relationships/ctrlProp" Target="../ctrlProps/ctrlProp500.xml"/><Relationship Id="rId2" Type="http://schemas.openxmlformats.org/officeDocument/2006/relationships/drawing" Target="../drawings/drawing28.xml"/><Relationship Id="rId16" Type="http://schemas.openxmlformats.org/officeDocument/2006/relationships/ctrlProp" Target="../ctrlProps/ctrlProp509.xml"/><Relationship Id="rId29" Type="http://schemas.openxmlformats.org/officeDocument/2006/relationships/ctrlProp" Target="../ctrlProps/ctrlProp522.xml"/><Relationship Id="rId11" Type="http://schemas.openxmlformats.org/officeDocument/2006/relationships/ctrlProp" Target="../ctrlProps/ctrlProp504.xml"/><Relationship Id="rId24" Type="http://schemas.openxmlformats.org/officeDocument/2006/relationships/ctrlProp" Target="../ctrlProps/ctrlProp517.xml"/><Relationship Id="rId32" Type="http://schemas.openxmlformats.org/officeDocument/2006/relationships/ctrlProp" Target="../ctrlProps/ctrlProp525.xml"/><Relationship Id="rId37" Type="http://schemas.openxmlformats.org/officeDocument/2006/relationships/ctrlProp" Target="../ctrlProps/ctrlProp530.xml"/><Relationship Id="rId40" Type="http://schemas.openxmlformats.org/officeDocument/2006/relationships/ctrlProp" Target="../ctrlProps/ctrlProp533.xml"/><Relationship Id="rId45" Type="http://schemas.openxmlformats.org/officeDocument/2006/relationships/ctrlProp" Target="../ctrlProps/ctrlProp538.xml"/><Relationship Id="rId53" Type="http://schemas.openxmlformats.org/officeDocument/2006/relationships/ctrlProp" Target="../ctrlProps/ctrlProp546.xml"/><Relationship Id="rId58" Type="http://schemas.openxmlformats.org/officeDocument/2006/relationships/ctrlProp" Target="../ctrlProps/ctrlProp551.xml"/><Relationship Id="rId5" Type="http://schemas.openxmlformats.org/officeDocument/2006/relationships/ctrlProp" Target="../ctrlProps/ctrlProp498.xml"/><Relationship Id="rId61" Type="http://schemas.openxmlformats.org/officeDocument/2006/relationships/ctrlProp" Target="../ctrlProps/ctrlProp554.xml"/><Relationship Id="rId19" Type="http://schemas.openxmlformats.org/officeDocument/2006/relationships/ctrlProp" Target="../ctrlProps/ctrlProp512.xml"/><Relationship Id="rId14" Type="http://schemas.openxmlformats.org/officeDocument/2006/relationships/ctrlProp" Target="../ctrlProps/ctrlProp507.xml"/><Relationship Id="rId22" Type="http://schemas.openxmlformats.org/officeDocument/2006/relationships/ctrlProp" Target="../ctrlProps/ctrlProp515.xml"/><Relationship Id="rId27" Type="http://schemas.openxmlformats.org/officeDocument/2006/relationships/ctrlProp" Target="../ctrlProps/ctrlProp520.xml"/><Relationship Id="rId30" Type="http://schemas.openxmlformats.org/officeDocument/2006/relationships/ctrlProp" Target="../ctrlProps/ctrlProp523.xml"/><Relationship Id="rId35" Type="http://schemas.openxmlformats.org/officeDocument/2006/relationships/ctrlProp" Target="../ctrlProps/ctrlProp528.xml"/><Relationship Id="rId43" Type="http://schemas.openxmlformats.org/officeDocument/2006/relationships/ctrlProp" Target="../ctrlProps/ctrlProp536.xml"/><Relationship Id="rId48" Type="http://schemas.openxmlformats.org/officeDocument/2006/relationships/ctrlProp" Target="../ctrlProps/ctrlProp541.xml"/><Relationship Id="rId56" Type="http://schemas.openxmlformats.org/officeDocument/2006/relationships/ctrlProp" Target="../ctrlProps/ctrlProp549.xml"/><Relationship Id="rId8" Type="http://schemas.openxmlformats.org/officeDocument/2006/relationships/ctrlProp" Target="../ctrlProps/ctrlProp501.xml"/><Relationship Id="rId51" Type="http://schemas.openxmlformats.org/officeDocument/2006/relationships/ctrlProp" Target="../ctrlProps/ctrlProp544.xml"/><Relationship Id="rId3" Type="http://schemas.openxmlformats.org/officeDocument/2006/relationships/vmlDrawing" Target="../drawings/vmlDrawing28.vml"/><Relationship Id="rId12" Type="http://schemas.openxmlformats.org/officeDocument/2006/relationships/ctrlProp" Target="../ctrlProps/ctrlProp505.xml"/><Relationship Id="rId17" Type="http://schemas.openxmlformats.org/officeDocument/2006/relationships/ctrlProp" Target="../ctrlProps/ctrlProp510.xml"/><Relationship Id="rId25" Type="http://schemas.openxmlformats.org/officeDocument/2006/relationships/ctrlProp" Target="../ctrlProps/ctrlProp518.xml"/><Relationship Id="rId33" Type="http://schemas.openxmlformats.org/officeDocument/2006/relationships/ctrlProp" Target="../ctrlProps/ctrlProp526.xml"/><Relationship Id="rId38" Type="http://schemas.openxmlformats.org/officeDocument/2006/relationships/ctrlProp" Target="../ctrlProps/ctrlProp531.xml"/><Relationship Id="rId46" Type="http://schemas.openxmlformats.org/officeDocument/2006/relationships/ctrlProp" Target="../ctrlProps/ctrlProp539.xml"/><Relationship Id="rId59" Type="http://schemas.openxmlformats.org/officeDocument/2006/relationships/ctrlProp" Target="../ctrlProps/ctrlProp552.xml"/><Relationship Id="rId20" Type="http://schemas.openxmlformats.org/officeDocument/2006/relationships/ctrlProp" Target="../ctrlProps/ctrlProp513.xml"/><Relationship Id="rId41" Type="http://schemas.openxmlformats.org/officeDocument/2006/relationships/ctrlProp" Target="../ctrlProps/ctrlProp534.xml"/><Relationship Id="rId54" Type="http://schemas.openxmlformats.org/officeDocument/2006/relationships/ctrlProp" Target="../ctrlProps/ctrlProp547.xml"/><Relationship Id="rId1" Type="http://schemas.openxmlformats.org/officeDocument/2006/relationships/printerSettings" Target="../printerSettings/printerSettings26.bin"/><Relationship Id="rId6" Type="http://schemas.openxmlformats.org/officeDocument/2006/relationships/ctrlProp" Target="../ctrlProps/ctrlProp499.xml"/><Relationship Id="rId15" Type="http://schemas.openxmlformats.org/officeDocument/2006/relationships/ctrlProp" Target="../ctrlProps/ctrlProp508.xml"/><Relationship Id="rId23" Type="http://schemas.openxmlformats.org/officeDocument/2006/relationships/ctrlProp" Target="../ctrlProps/ctrlProp516.xml"/><Relationship Id="rId28" Type="http://schemas.openxmlformats.org/officeDocument/2006/relationships/ctrlProp" Target="../ctrlProps/ctrlProp521.xml"/><Relationship Id="rId36" Type="http://schemas.openxmlformats.org/officeDocument/2006/relationships/ctrlProp" Target="../ctrlProps/ctrlProp529.xml"/><Relationship Id="rId49" Type="http://schemas.openxmlformats.org/officeDocument/2006/relationships/ctrlProp" Target="../ctrlProps/ctrlProp542.xml"/><Relationship Id="rId57" Type="http://schemas.openxmlformats.org/officeDocument/2006/relationships/ctrlProp" Target="../ctrlProps/ctrlProp550.xml"/><Relationship Id="rId10" Type="http://schemas.openxmlformats.org/officeDocument/2006/relationships/ctrlProp" Target="../ctrlProps/ctrlProp503.xml"/><Relationship Id="rId31" Type="http://schemas.openxmlformats.org/officeDocument/2006/relationships/ctrlProp" Target="../ctrlProps/ctrlProp524.xml"/><Relationship Id="rId44" Type="http://schemas.openxmlformats.org/officeDocument/2006/relationships/ctrlProp" Target="../ctrlProps/ctrlProp537.xml"/><Relationship Id="rId52" Type="http://schemas.openxmlformats.org/officeDocument/2006/relationships/ctrlProp" Target="../ctrlProps/ctrlProp545.xml"/><Relationship Id="rId60" Type="http://schemas.openxmlformats.org/officeDocument/2006/relationships/ctrlProp" Target="../ctrlProps/ctrlProp553.xml"/><Relationship Id="rId4" Type="http://schemas.openxmlformats.org/officeDocument/2006/relationships/ctrlProp" Target="../ctrlProps/ctrlProp497.xml"/><Relationship Id="rId9" Type="http://schemas.openxmlformats.org/officeDocument/2006/relationships/ctrlProp" Target="../ctrlProps/ctrlProp50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0.xml"/><Relationship Id="rId3" Type="http://schemas.openxmlformats.org/officeDocument/2006/relationships/ctrlProp" Target="../ctrlProps/ctrlProp555.xml"/><Relationship Id="rId7" Type="http://schemas.openxmlformats.org/officeDocument/2006/relationships/ctrlProp" Target="../ctrlProps/ctrlProp559.xml"/><Relationship Id="rId2" Type="http://schemas.openxmlformats.org/officeDocument/2006/relationships/vmlDrawing" Target="../drawings/vmlDrawing29.vml"/><Relationship Id="rId1" Type="http://schemas.openxmlformats.org/officeDocument/2006/relationships/drawing" Target="../drawings/drawing29.xml"/><Relationship Id="rId6" Type="http://schemas.openxmlformats.org/officeDocument/2006/relationships/ctrlProp" Target="../ctrlProps/ctrlProp558.xml"/><Relationship Id="rId5" Type="http://schemas.openxmlformats.org/officeDocument/2006/relationships/ctrlProp" Target="../ctrlProps/ctrlProp557.xml"/><Relationship Id="rId4" Type="http://schemas.openxmlformats.org/officeDocument/2006/relationships/ctrlProp" Target="../ctrlProps/ctrlProp55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66.xml"/><Relationship Id="rId3" Type="http://schemas.openxmlformats.org/officeDocument/2006/relationships/ctrlProp" Target="../ctrlProps/ctrlProp561.xml"/><Relationship Id="rId7" Type="http://schemas.openxmlformats.org/officeDocument/2006/relationships/ctrlProp" Target="../ctrlProps/ctrlProp565.xml"/><Relationship Id="rId2" Type="http://schemas.openxmlformats.org/officeDocument/2006/relationships/vmlDrawing" Target="../drawings/vmlDrawing30.vml"/><Relationship Id="rId1" Type="http://schemas.openxmlformats.org/officeDocument/2006/relationships/drawing" Target="../drawings/drawing30.xml"/><Relationship Id="rId6" Type="http://schemas.openxmlformats.org/officeDocument/2006/relationships/ctrlProp" Target="../ctrlProps/ctrlProp564.xml"/><Relationship Id="rId5" Type="http://schemas.openxmlformats.org/officeDocument/2006/relationships/ctrlProp" Target="../ctrlProps/ctrlProp563.xml"/><Relationship Id="rId4" Type="http://schemas.openxmlformats.org/officeDocument/2006/relationships/ctrlProp" Target="../ctrlProps/ctrlProp562.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72.xml"/><Relationship Id="rId3" Type="http://schemas.openxmlformats.org/officeDocument/2006/relationships/ctrlProp" Target="../ctrlProps/ctrlProp567.xml"/><Relationship Id="rId7" Type="http://schemas.openxmlformats.org/officeDocument/2006/relationships/ctrlProp" Target="../ctrlProps/ctrlProp571.xml"/><Relationship Id="rId2" Type="http://schemas.openxmlformats.org/officeDocument/2006/relationships/vmlDrawing" Target="../drawings/vmlDrawing31.vml"/><Relationship Id="rId1" Type="http://schemas.openxmlformats.org/officeDocument/2006/relationships/drawing" Target="../drawings/drawing31.xml"/><Relationship Id="rId6" Type="http://schemas.openxmlformats.org/officeDocument/2006/relationships/ctrlProp" Target="../ctrlProps/ctrlProp570.xml"/><Relationship Id="rId5" Type="http://schemas.openxmlformats.org/officeDocument/2006/relationships/ctrlProp" Target="../ctrlProps/ctrlProp569.xml"/><Relationship Id="rId4" Type="http://schemas.openxmlformats.org/officeDocument/2006/relationships/ctrlProp" Target="../ctrlProps/ctrlProp568.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77.xml"/><Relationship Id="rId13" Type="http://schemas.openxmlformats.org/officeDocument/2006/relationships/ctrlProp" Target="../ctrlProps/ctrlProp582.xml"/><Relationship Id="rId18" Type="http://schemas.openxmlformats.org/officeDocument/2006/relationships/ctrlProp" Target="../ctrlProps/ctrlProp587.xml"/><Relationship Id="rId3" Type="http://schemas.openxmlformats.org/officeDocument/2006/relationships/vmlDrawing" Target="../drawings/vmlDrawing32.vml"/><Relationship Id="rId21" Type="http://schemas.openxmlformats.org/officeDocument/2006/relationships/ctrlProp" Target="../ctrlProps/ctrlProp590.xml"/><Relationship Id="rId7" Type="http://schemas.openxmlformats.org/officeDocument/2006/relationships/ctrlProp" Target="../ctrlProps/ctrlProp576.xml"/><Relationship Id="rId12" Type="http://schemas.openxmlformats.org/officeDocument/2006/relationships/ctrlProp" Target="../ctrlProps/ctrlProp581.xml"/><Relationship Id="rId17" Type="http://schemas.openxmlformats.org/officeDocument/2006/relationships/ctrlProp" Target="../ctrlProps/ctrlProp586.xml"/><Relationship Id="rId2" Type="http://schemas.openxmlformats.org/officeDocument/2006/relationships/drawing" Target="../drawings/drawing32.xml"/><Relationship Id="rId16" Type="http://schemas.openxmlformats.org/officeDocument/2006/relationships/ctrlProp" Target="../ctrlProps/ctrlProp585.xml"/><Relationship Id="rId20" Type="http://schemas.openxmlformats.org/officeDocument/2006/relationships/ctrlProp" Target="../ctrlProps/ctrlProp589.xml"/><Relationship Id="rId1" Type="http://schemas.openxmlformats.org/officeDocument/2006/relationships/printerSettings" Target="../printerSettings/printerSettings28.bin"/><Relationship Id="rId6" Type="http://schemas.openxmlformats.org/officeDocument/2006/relationships/ctrlProp" Target="../ctrlProps/ctrlProp575.xml"/><Relationship Id="rId11" Type="http://schemas.openxmlformats.org/officeDocument/2006/relationships/ctrlProp" Target="../ctrlProps/ctrlProp580.xml"/><Relationship Id="rId5" Type="http://schemas.openxmlformats.org/officeDocument/2006/relationships/ctrlProp" Target="../ctrlProps/ctrlProp574.xml"/><Relationship Id="rId15" Type="http://schemas.openxmlformats.org/officeDocument/2006/relationships/ctrlProp" Target="../ctrlProps/ctrlProp584.xml"/><Relationship Id="rId10" Type="http://schemas.openxmlformats.org/officeDocument/2006/relationships/ctrlProp" Target="../ctrlProps/ctrlProp579.xml"/><Relationship Id="rId19" Type="http://schemas.openxmlformats.org/officeDocument/2006/relationships/ctrlProp" Target="../ctrlProps/ctrlProp588.xml"/><Relationship Id="rId4" Type="http://schemas.openxmlformats.org/officeDocument/2006/relationships/ctrlProp" Target="../ctrlProps/ctrlProp573.xml"/><Relationship Id="rId9" Type="http://schemas.openxmlformats.org/officeDocument/2006/relationships/ctrlProp" Target="../ctrlProps/ctrlProp578.xml"/><Relationship Id="rId14" Type="http://schemas.openxmlformats.org/officeDocument/2006/relationships/ctrlProp" Target="../ctrlProps/ctrlProp583.xml"/><Relationship Id="rId22" Type="http://schemas.openxmlformats.org/officeDocument/2006/relationships/ctrlProp" Target="../ctrlProps/ctrlProp5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40"/>
  <sheetViews>
    <sheetView showGridLines="0" tabSelected="1" topLeftCell="A3" zoomScaleNormal="100" workbookViewId="0">
      <selection activeCell="B7" sqref="B7:E7"/>
    </sheetView>
  </sheetViews>
  <sheetFormatPr defaultRowHeight="13.2" x14ac:dyDescent="0.25"/>
  <cols>
    <col min="1" max="1" width="32.109375" customWidth="1"/>
    <col min="2" max="2" width="15.44140625" customWidth="1"/>
    <col min="3" max="4" width="11.5546875" customWidth="1"/>
    <col min="5" max="5" width="16.5546875" customWidth="1"/>
    <col min="6" max="6" width="23.44140625" customWidth="1"/>
    <col min="7" max="12" width="5.5546875" customWidth="1"/>
    <col min="13" max="13" width="13.5546875" customWidth="1"/>
    <col min="14" max="14" width="5.5546875" customWidth="1"/>
    <col min="15" max="15" width="5.44140625" customWidth="1"/>
  </cols>
  <sheetData>
    <row r="1" spans="1:15" ht="15.6" x14ac:dyDescent="0.3">
      <c r="A1" s="538" t="s">
        <v>89</v>
      </c>
      <c r="B1" s="539"/>
      <c r="C1" s="539"/>
      <c r="D1" s="539"/>
      <c r="E1" s="539"/>
      <c r="F1" s="539"/>
      <c r="G1" s="4"/>
      <c r="H1" s="4"/>
      <c r="I1" s="4"/>
      <c r="J1" s="4"/>
      <c r="K1" s="4"/>
      <c r="L1" s="4"/>
      <c r="M1" s="4"/>
      <c r="N1" s="4"/>
      <c r="O1" s="4"/>
    </row>
    <row r="2" spans="1:15" x14ac:dyDescent="0.25">
      <c r="A2" s="540" t="s">
        <v>282</v>
      </c>
      <c r="B2" s="541"/>
      <c r="C2" s="541"/>
      <c r="D2" s="541"/>
      <c r="E2" s="541"/>
      <c r="F2" s="541"/>
      <c r="G2" s="4" t="s">
        <v>15</v>
      </c>
      <c r="H2" s="4"/>
      <c r="I2" s="4"/>
      <c r="J2" s="4"/>
      <c r="K2" s="4"/>
      <c r="L2" s="4"/>
      <c r="M2" s="4" t="s">
        <v>15</v>
      </c>
      <c r="N2" s="4" t="s">
        <v>15</v>
      </c>
      <c r="O2" s="4" t="s">
        <v>15</v>
      </c>
    </row>
    <row r="3" spans="1:15" x14ac:dyDescent="0.25">
      <c r="A3" s="536" t="s">
        <v>24</v>
      </c>
      <c r="B3" s="536"/>
      <c r="C3" s="536"/>
      <c r="D3" s="536"/>
      <c r="E3" s="536"/>
      <c r="F3" s="536"/>
    </row>
    <row r="4" spans="1:15" x14ac:dyDescent="0.25">
      <c r="A4" s="12"/>
      <c r="B4" s="12"/>
      <c r="C4" s="12"/>
      <c r="D4" s="12"/>
      <c r="E4" s="12"/>
      <c r="F4" s="12"/>
    </row>
    <row r="5" spans="1:15" ht="65.25" customHeight="1" x14ac:dyDescent="0.25">
      <c r="A5" s="537" t="s">
        <v>202</v>
      </c>
      <c r="B5" s="537"/>
      <c r="C5" s="537"/>
      <c r="D5" s="537"/>
      <c r="E5" s="537"/>
      <c r="F5" s="537"/>
    </row>
    <row r="6" spans="1:15" x14ac:dyDescent="0.25">
      <c r="A6" s="12"/>
      <c r="B6" s="12"/>
      <c r="C6" s="12"/>
      <c r="D6" s="12"/>
      <c r="E6" s="12"/>
      <c r="F6" s="11"/>
      <c r="O6" t="s">
        <v>15</v>
      </c>
    </row>
    <row r="7" spans="1:15" x14ac:dyDescent="0.25">
      <c r="A7" s="12" t="s">
        <v>2</v>
      </c>
      <c r="B7" s="547"/>
      <c r="C7" s="548"/>
      <c r="D7" s="548"/>
      <c r="E7" s="549"/>
      <c r="F7" s="11"/>
      <c r="G7" s="1"/>
      <c r="H7" s="1"/>
      <c r="I7" s="1"/>
      <c r="J7" s="1"/>
      <c r="K7" s="1"/>
      <c r="L7" s="1"/>
    </row>
    <row r="8" spans="1:15" x14ac:dyDescent="0.25">
      <c r="A8" s="231" t="s">
        <v>258</v>
      </c>
      <c r="B8" s="543"/>
      <c r="C8" s="543"/>
      <c r="D8" s="13"/>
      <c r="E8" s="13"/>
      <c r="F8" s="13"/>
      <c r="G8" s="1"/>
      <c r="H8" s="1"/>
      <c r="I8" s="1"/>
      <c r="J8" s="1"/>
      <c r="K8" s="1"/>
      <c r="L8" s="1"/>
    </row>
    <row r="9" spans="1:15" x14ac:dyDescent="0.25">
      <c r="A9" s="231" t="s">
        <v>240</v>
      </c>
      <c r="B9" s="141">
        <v>11</v>
      </c>
      <c r="C9" s="141">
        <v>2024</v>
      </c>
      <c r="D9" s="13"/>
      <c r="E9" s="13"/>
      <c r="F9" s="13"/>
    </row>
    <row r="10" spans="1:15" x14ac:dyDescent="0.25">
      <c r="A10" s="216"/>
      <c r="B10" s="514"/>
      <c r="C10" s="514"/>
      <c r="D10" s="13"/>
      <c r="E10" s="13"/>
      <c r="F10" s="13"/>
    </row>
    <row r="11" spans="1:15" x14ac:dyDescent="0.25">
      <c r="A11" s="12"/>
      <c r="B11" s="512" t="s">
        <v>100</v>
      </c>
      <c r="C11" s="513" t="s">
        <v>90</v>
      </c>
      <c r="D11" s="224"/>
      <c r="E11" s="140"/>
      <c r="F11" s="13"/>
    </row>
    <row r="12" spans="1:15" x14ac:dyDescent="0.25">
      <c r="A12" s="12" t="s">
        <v>35</v>
      </c>
      <c r="B12" s="544" t="s">
        <v>94</v>
      </c>
      <c r="C12" s="545"/>
      <c r="D12" s="545"/>
      <c r="E12" s="545"/>
      <c r="F12" s="546"/>
    </row>
    <row r="13" spans="1:15" x14ac:dyDescent="0.25">
      <c r="A13" s="12"/>
      <c r="B13" s="12"/>
      <c r="C13" s="12"/>
      <c r="D13" s="12"/>
      <c r="E13" s="12"/>
      <c r="F13" s="12"/>
    </row>
    <row r="14" spans="1:15" x14ac:dyDescent="0.25">
      <c r="A14" s="12"/>
      <c r="B14" s="12"/>
      <c r="C14" s="12"/>
      <c r="D14" s="12"/>
      <c r="E14" s="12"/>
      <c r="F14" s="13"/>
    </row>
    <row r="15" spans="1:15" x14ac:dyDescent="0.25">
      <c r="A15" s="231" t="s">
        <v>284</v>
      </c>
      <c r="B15" s="119">
        <v>0</v>
      </c>
      <c r="C15" s="240" t="s">
        <v>45</v>
      </c>
      <c r="D15" s="11"/>
      <c r="E15" s="14"/>
      <c r="F15" s="11" t="s">
        <v>15</v>
      </c>
    </row>
    <row r="16" spans="1:15" x14ac:dyDescent="0.25">
      <c r="A16" s="231" t="s">
        <v>285</v>
      </c>
      <c r="B16" s="119">
        <v>0</v>
      </c>
      <c r="C16" s="240" t="s">
        <v>45</v>
      </c>
      <c r="D16" s="225"/>
      <c r="E16" s="64">
        <v>3</v>
      </c>
      <c r="F16" s="14" t="s">
        <v>15</v>
      </c>
      <c r="G16" s="2"/>
      <c r="H16" s="2"/>
      <c r="I16" s="2"/>
      <c r="J16" s="2"/>
      <c r="K16" s="2"/>
      <c r="L16" s="2"/>
    </row>
    <row r="17" spans="1:13" x14ac:dyDescent="0.25">
      <c r="A17" s="12" t="s">
        <v>130</v>
      </c>
      <c r="B17" s="383"/>
      <c r="C17" s="240" t="s">
        <v>45</v>
      </c>
      <c r="D17" s="225"/>
      <c r="E17" s="64">
        <v>1</v>
      </c>
      <c r="F17" s="14" t="s">
        <v>15</v>
      </c>
      <c r="G17" s="2"/>
      <c r="H17" s="2"/>
      <c r="I17" s="2"/>
      <c r="J17" s="2"/>
      <c r="K17" s="2"/>
      <c r="L17" s="2"/>
    </row>
    <row r="18" spans="1:13" x14ac:dyDescent="0.25">
      <c r="A18" s="12"/>
      <c r="B18" s="14"/>
      <c r="C18" s="14"/>
      <c r="D18" s="14"/>
      <c r="E18" s="64">
        <v>2</v>
      </c>
      <c r="F18" s="14" t="s">
        <v>15</v>
      </c>
      <c r="G18" s="2"/>
      <c r="H18" s="2"/>
      <c r="I18" s="2"/>
      <c r="J18" s="2"/>
      <c r="K18" s="2"/>
      <c r="L18" s="2"/>
    </row>
    <row r="19" spans="1:13" x14ac:dyDescent="0.25">
      <c r="A19" s="12" t="s">
        <v>76</v>
      </c>
      <c r="B19" s="211"/>
      <c r="C19" s="14"/>
      <c r="D19" s="14"/>
      <c r="E19" s="230">
        <f>IF(E17=1,1,IF(E17=2,0.98,1.01))</f>
        <v>1</v>
      </c>
      <c r="F19" s="65"/>
      <c r="G19" s="2"/>
      <c r="H19" s="2"/>
      <c r="I19" s="2"/>
      <c r="J19" s="2"/>
      <c r="K19" s="2"/>
      <c r="L19" s="2"/>
    </row>
    <row r="20" spans="1:13" x14ac:dyDescent="0.25">
      <c r="A20" s="12" t="s">
        <v>77</v>
      </c>
      <c r="B20" s="211"/>
      <c r="C20" s="14"/>
      <c r="D20" s="14"/>
      <c r="E20" s="64"/>
      <c r="F20" s="14"/>
      <c r="G20" s="2"/>
      <c r="H20" s="2"/>
      <c r="I20" s="2"/>
      <c r="J20" s="2"/>
      <c r="K20" s="2"/>
      <c r="L20" s="2"/>
    </row>
    <row r="21" spans="1:13" x14ac:dyDescent="0.25">
      <c r="A21" s="12"/>
      <c r="B21" s="14"/>
      <c r="C21" s="14"/>
      <c r="D21" s="14"/>
      <c r="E21" s="64"/>
      <c r="F21" s="14"/>
      <c r="G21" s="2"/>
      <c r="H21" s="2"/>
      <c r="I21" s="2"/>
      <c r="J21" s="2"/>
      <c r="K21" s="2"/>
      <c r="L21" s="2"/>
    </row>
    <row r="22" spans="1:13" x14ac:dyDescent="0.25">
      <c r="A22" s="12" t="s">
        <v>87</v>
      </c>
      <c r="B22" s="119"/>
      <c r="C22" s="229" t="s">
        <v>41</v>
      </c>
      <c r="D22" s="14"/>
      <c r="E22" s="64"/>
      <c r="F22" s="14"/>
      <c r="G22" s="2"/>
      <c r="H22" s="2"/>
      <c r="I22" s="2"/>
      <c r="J22" s="2"/>
      <c r="K22" s="2"/>
      <c r="L22" s="2"/>
    </row>
    <row r="23" spans="1:13" x14ac:dyDescent="0.25">
      <c r="A23" s="12" t="s">
        <v>88</v>
      </c>
      <c r="B23" s="119"/>
      <c r="C23" s="229" t="s">
        <v>41</v>
      </c>
      <c r="D23" s="14"/>
      <c r="E23" s="64"/>
      <c r="F23" s="14"/>
      <c r="G23" s="2"/>
      <c r="H23" s="2"/>
      <c r="I23" s="2"/>
      <c r="J23" s="2"/>
      <c r="K23" s="2"/>
      <c r="L23" s="2"/>
    </row>
    <row r="24" spans="1:13" x14ac:dyDescent="0.25">
      <c r="A24" s="231" t="s">
        <v>283</v>
      </c>
      <c r="B24" s="119"/>
      <c r="C24" s="229" t="s">
        <v>41</v>
      </c>
      <c r="D24" s="229"/>
      <c r="E24" s="64"/>
      <c r="F24" s="14"/>
      <c r="G24" s="2"/>
      <c r="H24" s="2"/>
      <c r="I24" s="2"/>
      <c r="J24" s="2"/>
      <c r="K24" s="2"/>
      <c r="L24" s="2"/>
    </row>
    <row r="25" spans="1:13" x14ac:dyDescent="0.25">
      <c r="A25" s="12"/>
      <c r="B25" s="14"/>
      <c r="C25" s="14"/>
      <c r="D25" s="229"/>
      <c r="E25" s="231" t="s">
        <v>15</v>
      </c>
      <c r="F25" s="216"/>
      <c r="G25" s="2"/>
      <c r="H25" s="2"/>
      <c r="I25" s="2"/>
      <c r="J25" s="2"/>
      <c r="K25" s="2"/>
      <c r="L25" s="2"/>
      <c r="M25" s="217"/>
    </row>
    <row r="26" spans="1:13" x14ac:dyDescent="0.25">
      <c r="A26" s="12"/>
      <c r="B26" s="14"/>
      <c r="C26" s="14"/>
      <c r="D26" s="229"/>
      <c r="E26" s="219"/>
      <c r="F26" s="216"/>
    </row>
    <row r="27" spans="1:13" x14ac:dyDescent="0.25">
      <c r="A27" s="12" t="s">
        <v>127</v>
      </c>
      <c r="B27" s="122"/>
      <c r="C27" s="229" t="s">
        <v>126</v>
      </c>
      <c r="D27" s="229"/>
      <c r="E27" s="236"/>
      <c r="F27" s="218"/>
      <c r="G27" s="2"/>
      <c r="H27" s="2"/>
      <c r="I27" s="2"/>
      <c r="J27" s="2"/>
      <c r="K27" s="2"/>
      <c r="L27" s="2"/>
    </row>
    <row r="28" spans="1:13" x14ac:dyDescent="0.25">
      <c r="A28" s="12" t="s">
        <v>52</v>
      </c>
      <c r="B28" s="122">
        <v>0</v>
      </c>
      <c r="C28" s="229" t="s">
        <v>46</v>
      </c>
      <c r="D28" s="229"/>
      <c r="E28" s="231"/>
      <c r="F28" s="14" t="s">
        <v>15</v>
      </c>
      <c r="G28" s="2"/>
      <c r="H28" s="2"/>
      <c r="I28" s="2"/>
      <c r="J28" s="2"/>
      <c r="K28" s="2"/>
      <c r="L28" s="2"/>
    </row>
    <row r="29" spans="1:13" x14ac:dyDescent="0.25">
      <c r="A29" s="12"/>
      <c r="B29" s="14"/>
      <c r="C29" s="14"/>
      <c r="D29" s="229"/>
      <c r="E29" s="231"/>
      <c r="F29" s="14" t="s">
        <v>15</v>
      </c>
      <c r="G29" s="2"/>
      <c r="H29" s="2"/>
      <c r="I29" s="2"/>
      <c r="J29" s="2"/>
      <c r="K29" s="2"/>
      <c r="L29" s="2"/>
    </row>
    <row r="30" spans="1:13" x14ac:dyDescent="0.25">
      <c r="A30" s="12" t="s">
        <v>0</v>
      </c>
      <c r="B30" s="57"/>
      <c r="C30" s="232" t="s">
        <v>131</v>
      </c>
      <c r="D30" s="233">
        <f>IF(ISNUMBER(B30),B30,IF(ISNUMBER(B28),(IF(ABS(B22+B23)&gt;0,ROUND(COS(ATAN(B28/(B22+B23))),3),1)),1))</f>
        <v>1</v>
      </c>
      <c r="E30" s="231"/>
      <c r="F30" s="14" t="s">
        <v>15</v>
      </c>
      <c r="G30" s="2"/>
      <c r="H30" s="2"/>
      <c r="I30" s="2"/>
      <c r="J30" s="2"/>
      <c r="K30" s="2"/>
      <c r="L30" s="2"/>
    </row>
    <row r="31" spans="1:13" x14ac:dyDescent="0.25">
      <c r="A31" s="12"/>
      <c r="B31" s="14"/>
      <c r="C31" s="14"/>
      <c r="D31" s="234">
        <f>IF(D30&lt;&gt;0,SIGN(D30)*ROUND(1/D30,3),0)</f>
        <v>1</v>
      </c>
      <c r="E31" s="12"/>
      <c r="F31" s="65"/>
      <c r="G31" s="2"/>
      <c r="H31" s="2"/>
      <c r="I31" s="2"/>
      <c r="J31" s="2"/>
      <c r="K31" s="2"/>
      <c r="L31" s="2"/>
    </row>
    <row r="32" spans="1:13" ht="12" customHeight="1" x14ac:dyDescent="0.25">
      <c r="A32" s="62"/>
      <c r="B32" s="213"/>
      <c r="C32" s="248"/>
      <c r="D32" s="235"/>
      <c r="E32" s="12" t="s">
        <v>15</v>
      </c>
      <c r="F32" s="216"/>
      <c r="G32" s="2"/>
      <c r="H32" s="2"/>
      <c r="I32" s="2"/>
      <c r="J32" s="2"/>
      <c r="K32" s="2"/>
      <c r="L32" s="2"/>
    </row>
    <row r="33" spans="1:6" ht="12.75" customHeight="1" x14ac:dyDescent="0.25">
      <c r="A33" s="63" t="s">
        <v>125</v>
      </c>
      <c r="B33" s="213"/>
      <c r="C33" s="248" t="b">
        <v>0</v>
      </c>
      <c r="D33" s="235"/>
      <c r="E33" s="231"/>
      <c r="F33" s="231"/>
    </row>
    <row r="34" spans="1:6" ht="12" customHeight="1" x14ac:dyDescent="0.25">
      <c r="A34" s="63" t="s">
        <v>128</v>
      </c>
      <c r="B34" s="214"/>
      <c r="C34" s="248" t="b">
        <v>0</v>
      </c>
      <c r="D34" s="235"/>
      <c r="E34" s="231"/>
      <c r="F34" s="231"/>
    </row>
    <row r="35" spans="1:6" x14ac:dyDescent="0.25">
      <c r="A35" s="256" t="s">
        <v>224</v>
      </c>
      <c r="B35" s="214"/>
      <c r="C35" s="257" t="b">
        <v>0</v>
      </c>
      <c r="D35" s="215"/>
      <c r="E35" s="12"/>
      <c r="F35" s="216"/>
    </row>
    <row r="36" spans="1:6" ht="12" customHeight="1" x14ac:dyDescent="0.25">
      <c r="A36" s="63"/>
      <c r="B36" s="74"/>
      <c r="C36" s="215"/>
      <c r="D36" s="215"/>
      <c r="E36" s="12"/>
      <c r="F36" s="216"/>
    </row>
    <row r="37" spans="1:6" x14ac:dyDescent="0.25">
      <c r="A37" s="542" t="s">
        <v>25</v>
      </c>
      <c r="B37" s="542"/>
      <c r="C37" s="542"/>
      <c r="D37" s="223"/>
      <c r="E37" s="231"/>
      <c r="F37" s="289" t="s">
        <v>348</v>
      </c>
    </row>
    <row r="38" spans="1:6" x14ac:dyDescent="0.25">
      <c r="A38" s="12"/>
      <c r="B38" s="12"/>
      <c r="C38" s="12"/>
      <c r="D38" s="12"/>
      <c r="E38" s="12"/>
      <c r="F38" s="244"/>
    </row>
    <row r="40" spans="1:6" x14ac:dyDescent="0.25">
      <c r="B40" s="3"/>
    </row>
  </sheetData>
  <sheetProtection algorithmName="SHA-512" hashValue="F2X1hPy6XC+3rcuDqeugUVjNyuSk/Wa9n7qPoK1+KExUwh4kOANfYmfzYxDoCwDEYIx16sK4TCemC/ZPB5xg6A==" saltValue="9igvyn1uRsbJj2/HI0IS5w==" spinCount="100000" sheet="1" selectLockedCells="1"/>
  <mergeCells count="8">
    <mergeCell ref="A3:F3"/>
    <mergeCell ref="A5:F5"/>
    <mergeCell ref="A1:F1"/>
    <mergeCell ref="A2:F2"/>
    <mergeCell ref="A37:C37"/>
    <mergeCell ref="B8:C8"/>
    <mergeCell ref="B12:F12"/>
    <mergeCell ref="B7:E7"/>
  </mergeCells>
  <phoneticPr fontId="0" type="noConversion"/>
  <dataValidations count="1">
    <dataValidation type="custom" allowBlank="1" showInputMessage="1" showErrorMessage="1" errorTitle="Shopping Customer" error="Only customers who indicate that they elect to receive generation from a 3rd party supplier will enter a value in this cell. " sqref="B10" xr:uid="{6E78CC20-86E9-4BAD-9EC1-EED15467EFB1}">
      <formula1>#REF!="Yes"</formula1>
    </dataValidation>
  </dataValidations>
  <hyperlinks>
    <hyperlink ref="M14:N14" location="'Bundled GS-2 Subtran-Trans'!A1" display="GS-2 Sub Bundled" xr:uid="{00000000-0004-0000-0000-000000000000}"/>
    <hyperlink ref="M24:N24" location="'Bundled GS-3 Subtran-Trans'!A1" display="GS-3 Subtrans/Trans Bundled" xr:uid="{00000000-0004-0000-0000-000001000000}"/>
    <hyperlink ref="G26:M26" location="'Bundled GS-4 Pri'!A1" display="GS-4 Pri Bundled" xr:uid="{00000000-0004-0000-0000-000002000000}"/>
    <hyperlink ref="M18:N18" location="'Bundled GS-3 Pri'!A1" display="GS-3 Pri Bundled" xr:uid="{00000000-0004-0000-0000-000003000000}"/>
    <hyperlink ref="M17:N17" location="'Bundled GS-3 Sec'!A1" display="GS-3 Sec Bundled" xr:uid="{00000000-0004-0000-0000-000004000000}"/>
    <hyperlink ref="M16:N16" location="'Bundled GS-TOD Sec'!Print_Area" display="GS-TOD Bundled" xr:uid="{00000000-0004-0000-0000-000005000000}"/>
    <hyperlink ref="M12:N12" location="'Bundled GS-2 Pri'!A1" display="GS-2 Pri Bundled" xr:uid="{00000000-0004-0000-0000-000006000000}"/>
    <hyperlink ref="M11:N11" location="'Bundled GS-2 Sec'!A1" display="GS-2 Sec Bundled" xr:uid="{00000000-0004-0000-0000-000007000000}"/>
    <hyperlink ref="M9:N9" location="'Bundled GS-1 Sec'!A1" display="GS-1 Bundled" xr:uid="{00000000-0004-0000-0000-000008000000}"/>
    <hyperlink ref="M8:N8" location="'Bundled RS-TOD Sec'!A1" display="RS-TOD Bundled" xr:uid="{00000000-0004-0000-0000-000009000000}"/>
    <hyperlink ref="M7:N7" location="'Bundled RS Sec'!A1" display="RS Bundled" xr:uid="{00000000-0004-0000-0000-00000A000000}"/>
  </hyperlinks>
  <printOptions horizontalCentered="1" headings="1" gridLines="1"/>
  <pageMargins left="0.5" right="0.5" top="0.5" bottom="0.5" header="0.25" footer="0.25"/>
  <pageSetup orientation="landscape" r:id="rId1"/>
  <headerFooter alignWithMargins="0"/>
  <cellWatches>
    <cellWatch r="G32"/>
    <cellWatch r="G25"/>
  </cellWatches>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1</xdr:col>
                    <xdr:colOff>7620</xdr:colOff>
                    <xdr:row>31</xdr:row>
                    <xdr:rowOff>106680</xdr:rowOff>
                  </from>
                  <to>
                    <xdr:col>1</xdr:col>
                    <xdr:colOff>457200</xdr:colOff>
                    <xdr:row>33</xdr:row>
                    <xdr:rowOff>30480</xdr:rowOff>
                  </to>
                </anchor>
              </controlPr>
            </control>
          </mc:Choice>
        </mc:AlternateContent>
        <mc:AlternateContent xmlns:mc="http://schemas.openxmlformats.org/markup-compatibility/2006">
          <mc:Choice Requires="x14">
            <control shapeId="2157" r:id="rId5" name="Check Box 109">
              <controlPr defaultSize="0" autoFill="0" autoLine="0" autoPict="0" macro="[0]!Info">
                <anchor moveWithCells="1">
                  <from>
                    <xdr:col>1</xdr:col>
                    <xdr:colOff>7620</xdr:colOff>
                    <xdr:row>32</xdr:row>
                    <xdr:rowOff>68580</xdr:rowOff>
                  </from>
                  <to>
                    <xdr:col>2</xdr:col>
                    <xdr:colOff>106680</xdr:colOff>
                    <xdr:row>34</xdr:row>
                    <xdr:rowOff>45720</xdr:rowOff>
                  </to>
                </anchor>
              </controlPr>
            </control>
          </mc:Choice>
        </mc:AlternateContent>
        <mc:AlternateContent xmlns:mc="http://schemas.openxmlformats.org/markup-compatibility/2006">
          <mc:Choice Requires="x14">
            <control shapeId="2193" r:id="rId6" name="Check Box 145">
              <controlPr defaultSize="0" autoFill="0" autoLine="0" autoPict="0">
                <anchor moveWithCells="1">
                  <from>
                    <xdr:col>1</xdr:col>
                    <xdr:colOff>7620</xdr:colOff>
                    <xdr:row>33</xdr:row>
                    <xdr:rowOff>83820</xdr:rowOff>
                  </from>
                  <to>
                    <xdr:col>1</xdr:col>
                    <xdr:colOff>601980</xdr:colOff>
                    <xdr:row>35</xdr:row>
                    <xdr:rowOff>7620</xdr:rowOff>
                  </to>
                </anchor>
              </controlPr>
            </control>
          </mc:Choice>
        </mc:AlternateContent>
        <mc:AlternateContent xmlns:mc="http://schemas.openxmlformats.org/markup-compatibility/2006">
          <mc:Choice Requires="x14">
            <control shapeId="2066" r:id="rId7" name="Option Button 18">
              <controlPr defaultSize="0" autoFill="0" autoLine="0" autoPict="0" macro="[0]!OptionButton18_Click">
                <anchor moveWithCells="1">
                  <from>
                    <xdr:col>4</xdr:col>
                    <xdr:colOff>304800</xdr:colOff>
                    <xdr:row>13</xdr:row>
                    <xdr:rowOff>106680</xdr:rowOff>
                  </from>
                  <to>
                    <xdr:col>5</xdr:col>
                    <xdr:colOff>678180</xdr:colOff>
                    <xdr:row>15</xdr:row>
                    <xdr:rowOff>30480</xdr:rowOff>
                  </to>
                </anchor>
              </controlPr>
            </control>
          </mc:Choice>
        </mc:AlternateContent>
        <mc:AlternateContent xmlns:mc="http://schemas.openxmlformats.org/markup-compatibility/2006">
          <mc:Choice Requires="x14">
            <control shapeId="2067" r:id="rId8" name="Option Button 19">
              <controlPr defaultSize="0" autoFill="0" autoLine="0" autoPict="0">
                <anchor moveWithCells="1">
                  <from>
                    <xdr:col>4</xdr:col>
                    <xdr:colOff>304800</xdr:colOff>
                    <xdr:row>15</xdr:row>
                    <xdr:rowOff>30480</xdr:rowOff>
                  </from>
                  <to>
                    <xdr:col>5</xdr:col>
                    <xdr:colOff>678180</xdr:colOff>
                    <xdr:row>16</xdr:row>
                    <xdr:rowOff>68580</xdr:rowOff>
                  </to>
                </anchor>
              </controlPr>
            </control>
          </mc:Choice>
        </mc:AlternateContent>
        <mc:AlternateContent xmlns:mc="http://schemas.openxmlformats.org/markup-compatibility/2006">
          <mc:Choice Requires="x14">
            <control shapeId="2068" r:id="rId9" name="Option Button 20">
              <controlPr defaultSize="0" autoFill="0" autoLine="0" autoPict="0">
                <anchor moveWithCells="1">
                  <from>
                    <xdr:col>4</xdr:col>
                    <xdr:colOff>304800</xdr:colOff>
                    <xdr:row>16</xdr:row>
                    <xdr:rowOff>68580</xdr:rowOff>
                  </from>
                  <to>
                    <xdr:col>5</xdr:col>
                    <xdr:colOff>678180</xdr:colOff>
                    <xdr:row>17</xdr:row>
                    <xdr:rowOff>106680</xdr:rowOff>
                  </to>
                </anchor>
              </controlPr>
            </control>
          </mc:Choice>
        </mc:AlternateContent>
        <mc:AlternateContent xmlns:mc="http://schemas.openxmlformats.org/markup-compatibility/2006">
          <mc:Choice Requires="x14">
            <control shapeId="2069" r:id="rId10" name="Group Box 21">
              <controlPr defaultSize="0" autoFill="0" autoPict="0">
                <anchor moveWithCells="1">
                  <from>
                    <xdr:col>4</xdr:col>
                    <xdr:colOff>304800</xdr:colOff>
                    <xdr:row>13</xdr:row>
                    <xdr:rowOff>68580</xdr:rowOff>
                  </from>
                  <to>
                    <xdr:col>5</xdr:col>
                    <xdr:colOff>678180</xdr:colOff>
                    <xdr:row>18</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AF26-CB00-44FD-BC67-52E6ACCD0E9B}">
  <sheetPr codeName="Sheet4">
    <pageSetUpPr fitToPage="1"/>
  </sheetPr>
  <dimension ref="A1:A36"/>
  <sheetViews>
    <sheetView showGridLines="0" topLeftCell="A10" workbookViewId="0">
      <selection activeCell="F19" sqref="F19"/>
    </sheetView>
  </sheetViews>
  <sheetFormatPr defaultColWidth="9.109375" defaultRowHeight="9.9" customHeight="1" x14ac:dyDescent="0.2"/>
  <cols>
    <col min="1" max="1" width="130.5546875" style="377" customWidth="1"/>
    <col min="2" max="16384" width="9.109375" style="311"/>
  </cols>
  <sheetData>
    <row r="1" spans="1:1" ht="34.799999999999997" x14ac:dyDescent="0.2">
      <c r="A1" s="380" t="s">
        <v>322</v>
      </c>
    </row>
    <row r="2" spans="1:1" ht="23.4" x14ac:dyDescent="0.2">
      <c r="A2" s="381" t="s">
        <v>321</v>
      </c>
    </row>
    <row r="3" spans="1:1" ht="9.9" customHeight="1" x14ac:dyDescent="0.25">
      <c r="A3" s="298"/>
    </row>
    <row r="4" spans="1:1" ht="24" customHeight="1" x14ac:dyDescent="0.2">
      <c r="A4" s="381" t="s">
        <v>320</v>
      </c>
    </row>
    <row r="5" spans="1:1" ht="9.9" customHeight="1" x14ac:dyDescent="0.25">
      <c r="A5" s="298"/>
    </row>
    <row r="6" spans="1:1" ht="12" x14ac:dyDescent="0.2">
      <c r="A6" s="380" t="s">
        <v>319</v>
      </c>
    </row>
    <row r="7" spans="1:1" ht="9.9" customHeight="1" x14ac:dyDescent="0.2">
      <c r="A7" s="380"/>
    </row>
    <row r="8" spans="1:1" ht="34.799999999999997" x14ac:dyDescent="0.2">
      <c r="A8" s="380" t="s">
        <v>318</v>
      </c>
    </row>
    <row r="9" spans="1:1" ht="9.9" customHeight="1" x14ac:dyDescent="0.2">
      <c r="A9" s="381"/>
    </row>
    <row r="10" spans="1:1" ht="36" customHeight="1" x14ac:dyDescent="0.2">
      <c r="A10" s="380" t="s">
        <v>317</v>
      </c>
    </row>
    <row r="11" spans="1:1" ht="9.6" customHeight="1" x14ac:dyDescent="0.2">
      <c r="A11" s="380"/>
    </row>
    <row r="12" spans="1:1" ht="36" customHeight="1" x14ac:dyDescent="0.2">
      <c r="A12" s="380" t="s">
        <v>347</v>
      </c>
    </row>
    <row r="13" spans="1:1" ht="9.9" customHeight="1" x14ac:dyDescent="0.2">
      <c r="A13" s="380"/>
    </row>
    <row r="14" spans="1:1" ht="38.25" customHeight="1" x14ac:dyDescent="0.2">
      <c r="A14" s="380" t="s">
        <v>316</v>
      </c>
    </row>
    <row r="15" spans="1:1" ht="9.9" customHeight="1" x14ac:dyDescent="0.2">
      <c r="A15" s="380"/>
    </row>
    <row r="16" spans="1:1" ht="23.4" x14ac:dyDescent="0.2">
      <c r="A16" s="380" t="s">
        <v>315</v>
      </c>
    </row>
    <row r="17" spans="1:1" ht="9.9" customHeight="1" x14ac:dyDescent="0.2">
      <c r="A17" s="380"/>
    </row>
    <row r="18" spans="1:1" ht="23.4" x14ac:dyDescent="0.2">
      <c r="A18" s="380" t="s">
        <v>314</v>
      </c>
    </row>
    <row r="19" spans="1:1" ht="9.9" customHeight="1" x14ac:dyDescent="0.2">
      <c r="A19" s="380"/>
    </row>
    <row r="20" spans="1:1" ht="39.75" customHeight="1" x14ac:dyDescent="0.2">
      <c r="A20" s="380" t="s">
        <v>313</v>
      </c>
    </row>
    <row r="21" spans="1:1" ht="9.9" customHeight="1" x14ac:dyDescent="0.2">
      <c r="A21" s="380"/>
    </row>
    <row r="22" spans="1:1" ht="23.4" x14ac:dyDescent="0.2">
      <c r="A22" s="380" t="s">
        <v>312</v>
      </c>
    </row>
    <row r="23" spans="1:1" ht="9.9" customHeight="1" x14ac:dyDescent="0.2">
      <c r="A23" s="380"/>
    </row>
    <row r="24" spans="1:1" ht="23.4" x14ac:dyDescent="0.2">
      <c r="A24" s="380" t="s">
        <v>311</v>
      </c>
    </row>
    <row r="25" spans="1:1" ht="9.9" customHeight="1" x14ac:dyDescent="0.2">
      <c r="A25" s="380"/>
    </row>
    <row r="26" spans="1:1" ht="23.4" x14ac:dyDescent="0.2">
      <c r="A26" s="380" t="s">
        <v>310</v>
      </c>
    </row>
    <row r="27" spans="1:1" ht="9.9" customHeight="1" x14ac:dyDescent="0.2">
      <c r="A27" s="380"/>
    </row>
    <row r="28" spans="1:1" ht="23.4" x14ac:dyDescent="0.2">
      <c r="A28" s="378" t="s">
        <v>309</v>
      </c>
    </row>
    <row r="29" spans="1:1" ht="12" x14ac:dyDescent="0.2">
      <c r="A29" s="380"/>
    </row>
    <row r="30" spans="1:1" ht="45" customHeight="1" x14ac:dyDescent="0.2">
      <c r="A30" s="380" t="s">
        <v>308</v>
      </c>
    </row>
    <row r="32" spans="1:1" ht="36" customHeight="1" x14ac:dyDescent="0.2">
      <c r="A32" s="380" t="s">
        <v>307</v>
      </c>
    </row>
    <row r="33" spans="1:1" ht="9.9" customHeight="1" x14ac:dyDescent="0.2">
      <c r="A33" s="379"/>
    </row>
    <row r="34" spans="1:1" ht="12" x14ac:dyDescent="0.2">
      <c r="A34" s="378" t="s">
        <v>306</v>
      </c>
    </row>
    <row r="36" spans="1:1" ht="12" x14ac:dyDescent="0.2">
      <c r="A36" s="378" t="s">
        <v>305</v>
      </c>
    </row>
  </sheetData>
  <sheetProtection algorithmName="SHA-512" hashValue="sw0gObdE36b6XGnCdbYwMZs4Su3J2jA6HrrOBqogBlstBCDwjV0vGamzVAOELVdHTOfvhpszozV1WUb108PetQ==" saltValue="afL40i11CNkivVBCsQjmIA=="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IB93"/>
  <sheetViews>
    <sheetView showGridLines="0" topLeftCell="A25" zoomScale="80" zoomScaleNormal="80" workbookViewId="0">
      <selection activeCell="K45" sqref="K45"/>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552" t="s">
        <v>119</v>
      </c>
      <c r="B1" s="552"/>
      <c r="C1" s="552"/>
      <c r="D1" s="552"/>
      <c r="E1" s="552"/>
      <c r="F1" s="552"/>
      <c r="G1" s="552"/>
      <c r="H1" s="552"/>
      <c r="I1" s="552"/>
      <c r="J1" s="552"/>
      <c r="K1" s="552"/>
      <c r="L1" s="552"/>
      <c r="M1" s="552"/>
      <c r="N1" s="552"/>
      <c r="O1" s="552"/>
      <c r="P1" s="552"/>
      <c r="Q1" s="197"/>
    </row>
    <row r="2" spans="1:59" ht="18" customHeight="1" x14ac:dyDescent="0.25">
      <c r="A2" s="561" t="s">
        <v>115</v>
      </c>
      <c r="B2" s="561"/>
      <c r="C2" s="561"/>
      <c r="D2" s="561"/>
      <c r="E2" s="561"/>
      <c r="F2" s="561"/>
      <c r="G2" s="561"/>
      <c r="H2" s="561"/>
      <c r="I2" s="561"/>
      <c r="J2" s="561"/>
      <c r="K2" s="561"/>
      <c r="L2" s="561"/>
      <c r="M2" s="561"/>
      <c r="N2" s="561"/>
      <c r="O2" s="561"/>
      <c r="P2" s="561"/>
    </row>
    <row r="3" spans="1:59" ht="17.399999999999999" x14ac:dyDescent="0.3">
      <c r="A3" s="561"/>
      <c r="B3" s="561"/>
      <c r="C3" s="561"/>
      <c r="D3" s="561"/>
      <c r="E3" s="561"/>
      <c r="F3" s="561"/>
      <c r="G3" s="561"/>
      <c r="H3" s="561"/>
      <c r="I3" s="561"/>
      <c r="J3" s="561"/>
      <c r="K3" s="561"/>
      <c r="L3" s="561"/>
      <c r="M3" s="561"/>
      <c r="N3" s="561"/>
      <c r="O3" s="561"/>
      <c r="P3" s="561"/>
      <c r="Q3" s="198"/>
    </row>
    <row r="4" spans="1:59" ht="15.6" x14ac:dyDescent="0.3">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5">
      <c r="A5" s="75"/>
      <c r="B5" s="75"/>
      <c r="C5" s="75"/>
      <c r="D5" s="75"/>
      <c r="E5" s="75"/>
      <c r="F5" s="75"/>
      <c r="G5" s="75"/>
      <c r="H5" s="75"/>
      <c r="I5" s="75"/>
      <c r="J5" s="75"/>
      <c r="K5" s="75"/>
      <c r="L5" s="75"/>
      <c r="M5" s="75"/>
      <c r="N5" s="75"/>
      <c r="O5" s="75"/>
      <c r="P5" s="75"/>
      <c r="Q5" s="75"/>
    </row>
    <row r="6" spans="1:59" x14ac:dyDescent="0.25">
      <c r="A6" s="76">
        <f ca="1">TODAY()</f>
        <v>45588</v>
      </c>
      <c r="B6" s="560" t="s">
        <v>243</v>
      </c>
      <c r="C6" s="560"/>
      <c r="D6" s="560"/>
      <c r="E6" s="560"/>
      <c r="F6" s="560"/>
      <c r="G6" s="560"/>
      <c r="H6" s="560"/>
      <c r="I6" s="560"/>
      <c r="J6" s="560"/>
      <c r="K6" s="560"/>
      <c r="L6" s="560"/>
      <c r="M6" s="560"/>
      <c r="N6" s="560"/>
      <c r="O6" s="560"/>
    </row>
    <row r="7" spans="1:59" x14ac:dyDescent="0.25">
      <c r="A7" s="551" t="s">
        <v>15</v>
      </c>
      <c r="B7" s="551"/>
      <c r="C7" s="551"/>
      <c r="D7" s="551"/>
      <c r="E7" s="551"/>
      <c r="F7" s="551"/>
      <c r="G7" s="551"/>
      <c r="H7" s="551"/>
      <c r="I7" s="551"/>
      <c r="J7" s="551"/>
      <c r="K7" s="551"/>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99</v>
      </c>
      <c r="B11" s="200">
        <f>'Customer Info'!B9</f>
        <v>11</v>
      </c>
      <c r="C11" s="194" t="str">
        <f>LOOKUP($B$11,$S$11:$AD$11,S12:AD12)</f>
        <v>November</v>
      </c>
      <c r="D11" s="133">
        <f>'Customer Info'!C9</f>
        <v>2024</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5">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5">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51</v>
      </c>
      <c r="B17" s="78"/>
      <c r="D17" s="154">
        <f>IF('Customer Info'!B22+'Customer Info'!B23-'Customer Info'!B24&lt;0,0,'Customer Info'!B22+'Customer Info'!B23-'Customer Info'!B24)</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185</v>
      </c>
      <c r="B26" s="78"/>
      <c r="C26" s="78"/>
      <c r="D26" s="1">
        <f>MAX($D$17,0)</f>
        <v>0</v>
      </c>
      <c r="E26" s="101" t="s">
        <v>41</v>
      </c>
      <c r="F26" s="106" t="s">
        <v>8</v>
      </c>
      <c r="G26" s="247"/>
      <c r="H26" s="163"/>
      <c r="I26" s="165">
        <v>2.6312499999999999E-2</v>
      </c>
      <c r="J26" s="103">
        <f>SUM(G26:I26)</f>
        <v>2.6312499999999999E-2</v>
      </c>
      <c r="K26" s="108" t="s">
        <v>91</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48" t="s">
        <v>69</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78</v>
      </c>
      <c r="B31" s="176"/>
      <c r="C31" s="176"/>
      <c r="D31" s="100">
        <f>IF($D$17&lt;0,0,IF($D$17&gt;833000,833000,$D$17))</f>
        <v>0</v>
      </c>
      <c r="E31" s="101" t="s">
        <v>41</v>
      </c>
      <c r="F31" s="102" t="s">
        <v>8</v>
      </c>
      <c r="G31" s="103"/>
      <c r="H31" s="103"/>
      <c r="I31" s="103">
        <f>'Rider Rates'!$B$4</f>
        <v>5.9216E-3</v>
      </c>
      <c r="J31" s="103">
        <f t="shared" ref="J31:J37" si="0">SUM(G31:I31)</f>
        <v>5.9216E-3</v>
      </c>
      <c r="K31" s="104" t="s">
        <v>42</v>
      </c>
      <c r="L31" s="105"/>
      <c r="M31" s="105"/>
      <c r="N31" s="105">
        <f t="shared" ref="N31:N36" si="1">ROUND(D31*I31,2)</f>
        <v>0</v>
      </c>
      <c r="O31" s="250">
        <f t="shared" ref="O31:O53" si="2">SUM(L31:N31)</f>
        <v>0</v>
      </c>
      <c r="P31" s="245">
        <f>'Rider Rates'!$D$4</f>
        <v>45293</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79</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96</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97</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98</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159</v>
      </c>
      <c r="B36" s="78"/>
      <c r="C36" s="78"/>
      <c r="D36" s="100">
        <f>IF($D$17&lt;0,0,$D$17)</f>
        <v>0</v>
      </c>
      <c r="E36" s="101" t="s">
        <v>41</v>
      </c>
      <c r="F36" s="102" t="s">
        <v>8</v>
      </c>
      <c r="G36" s="103"/>
      <c r="H36" s="103"/>
      <c r="I36" s="103">
        <f>'Rider Rates'!B15</f>
        <v>0</v>
      </c>
      <c r="J36" s="103">
        <f t="shared" si="0"/>
        <v>0</v>
      </c>
      <c r="K36" s="104" t="s">
        <v>42</v>
      </c>
      <c r="L36" s="105"/>
      <c r="M36" s="105"/>
      <c r="N36" s="105">
        <f t="shared" si="1"/>
        <v>0</v>
      </c>
      <c r="O36" s="105">
        <f t="shared" ref="O36:O42" si="3">SUM(L36:N36)</f>
        <v>0</v>
      </c>
      <c r="P36" s="245">
        <f>'Rider Rates'!$D$15</f>
        <v>45505</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41" t="s">
        <v>245</v>
      </c>
      <c r="B37" s="78"/>
      <c r="C37" s="78"/>
      <c r="D37" s="195">
        <f>$N$27</f>
        <v>10</v>
      </c>
      <c r="E37" s="101" t="s">
        <v>121</v>
      </c>
      <c r="F37" s="102" t="s">
        <v>8</v>
      </c>
      <c r="G37" s="103"/>
      <c r="H37" s="103"/>
      <c r="I37" s="178">
        <f>'Rider Rates'!$B$18</f>
        <v>0</v>
      </c>
      <c r="J37" s="178">
        <f t="shared" si="0"/>
        <v>0</v>
      </c>
      <c r="K37" s="104"/>
      <c r="L37" s="105"/>
      <c r="M37" s="105"/>
      <c r="N37" s="105">
        <f>ROUND($D$37*'Rider Rates'!$B$18,2)+ROUND($D$37*'Rider Rates'!$E$18,2)</f>
        <v>0</v>
      </c>
      <c r="O37" s="105">
        <f t="shared" si="3"/>
        <v>0</v>
      </c>
      <c r="P37" s="245">
        <f>MAX('Rider Rates'!$D$18,'Rider Rates'!$F$18)</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194</v>
      </c>
      <c r="B38" s="78"/>
      <c r="C38" s="78"/>
      <c r="D38" s="100">
        <f>'Customer Info'!$B$22+'Customer Info'!$B$23-'Customer Info'!$B$24</f>
        <v>0</v>
      </c>
      <c r="E38" s="101" t="s">
        <v>41</v>
      </c>
      <c r="F38" s="102" t="s">
        <v>8</v>
      </c>
      <c r="G38" s="103">
        <f>'Rider Rates'!$B$21</f>
        <v>7.0209999999999995E-2</v>
      </c>
      <c r="H38" s="103"/>
      <c r="I38" s="103"/>
      <c r="J38" s="237">
        <f>SUM(G38:H38)</f>
        <v>7.0209999999999995E-2</v>
      </c>
      <c r="K38" s="104" t="s">
        <v>42</v>
      </c>
      <c r="L38" s="105">
        <f>ROUND(D38*G38,2)</f>
        <v>0</v>
      </c>
      <c r="M38" s="105"/>
      <c r="N38" s="105"/>
      <c r="O38" s="105">
        <f t="shared" si="3"/>
        <v>0</v>
      </c>
      <c r="P38" s="245">
        <f>'Rider Rates'!$D$21</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161</v>
      </c>
      <c r="B39" s="78"/>
      <c r="C39" s="78"/>
      <c r="D39" s="100">
        <f>'Customer Info'!$B$22+'Customer Info'!$B$23-'Customer Info'!$B$24</f>
        <v>0</v>
      </c>
      <c r="E39" s="101" t="s">
        <v>41</v>
      </c>
      <c r="F39" s="102" t="s">
        <v>8</v>
      </c>
      <c r="G39" s="103">
        <f>'Rider Rates'!$B$28</f>
        <v>3.2000000000000002E-3</v>
      </c>
      <c r="H39" s="103"/>
      <c r="I39" s="103"/>
      <c r="J39" s="237">
        <f>SUM(G39:H39)</f>
        <v>3.2000000000000002E-3</v>
      </c>
      <c r="K39" s="104" t="s">
        <v>42</v>
      </c>
      <c r="L39" s="239">
        <f>ROUND($D$39*$G$39,2)</f>
        <v>0</v>
      </c>
      <c r="M39" s="105"/>
      <c r="N39" s="105"/>
      <c r="O39" s="105">
        <f>SUM(L39:N39)</f>
        <v>0</v>
      </c>
      <c r="P39" s="245">
        <f>'Rider Rates'!$D$28</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201</v>
      </c>
      <c r="B40" s="78"/>
      <c r="C40" s="78"/>
      <c r="D40" s="100">
        <f>'Customer Info'!$B$22+'Customer Info'!$B$23-'Customer Info'!$B$24</f>
        <v>0</v>
      </c>
      <c r="E40" s="101" t="s">
        <v>41</v>
      </c>
      <c r="F40" s="102" t="s">
        <v>8</v>
      </c>
      <c r="G40" s="103">
        <f>'Rider Rates'!$B$49</f>
        <v>-1.2408E-3</v>
      </c>
      <c r="H40" s="103"/>
      <c r="I40" s="103"/>
      <c r="J40" s="237">
        <f>SUM(G40:H40)</f>
        <v>-1.2408E-3</v>
      </c>
      <c r="K40" s="104" t="s">
        <v>42</v>
      </c>
      <c r="L40" s="105">
        <f>ROUND(D40*G40,2)</f>
        <v>0</v>
      </c>
      <c r="M40" s="105"/>
      <c r="N40" s="105"/>
      <c r="O40" s="105">
        <f t="shared" si="3"/>
        <v>0</v>
      </c>
      <c r="P40" s="245">
        <f>'Rider Rates'!$D$49</f>
        <v>45562</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41" t="s">
        <v>218</v>
      </c>
      <c r="B41" s="78"/>
      <c r="C41" s="78"/>
      <c r="D41" s="100"/>
      <c r="E41" s="101" t="s">
        <v>114</v>
      </c>
      <c r="F41" s="102"/>
      <c r="G41" s="103"/>
      <c r="H41" s="103"/>
      <c r="I41" s="103">
        <f>'Rider Rates'!D52</f>
        <v>1.39</v>
      </c>
      <c r="J41" s="237">
        <f t="shared" ref="J41:J47" si="4">SUM(G41:I41)</f>
        <v>1.39</v>
      </c>
      <c r="K41" s="104"/>
      <c r="L41" s="105"/>
      <c r="M41" s="105"/>
      <c r="N41" s="105">
        <f>J41</f>
        <v>1.39</v>
      </c>
      <c r="O41" s="105">
        <f>SUM(L41:N41)</f>
        <v>1.39</v>
      </c>
      <c r="P41" s="245">
        <f>'Rider Rates'!E52</f>
        <v>45474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197</v>
      </c>
      <c r="B42" s="78"/>
      <c r="C42" s="78"/>
      <c r="D42" s="100">
        <f>IF($D$17&lt;0,0,$D$17)</f>
        <v>0</v>
      </c>
      <c r="E42" s="113" t="s">
        <v>41</v>
      </c>
      <c r="F42" s="102" t="s">
        <v>8</v>
      </c>
      <c r="G42" s="103"/>
      <c r="H42" s="103">
        <f>'Rider Rates'!$B$59</f>
        <v>4.3837099999999997E-2</v>
      </c>
      <c r="I42" s="103"/>
      <c r="J42" s="103">
        <f t="shared" si="4"/>
        <v>4.3837099999999997E-2</v>
      </c>
      <c r="K42" s="104" t="s">
        <v>42</v>
      </c>
      <c r="L42" s="105"/>
      <c r="M42" s="105">
        <f>ROUND(D42*H42,2)</f>
        <v>0</v>
      </c>
      <c r="N42" s="205"/>
      <c r="O42" s="105">
        <f t="shared" si="3"/>
        <v>0</v>
      </c>
      <c r="P42" s="245">
        <f>'Rider Rates'!$D$59</f>
        <v>45383</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346</v>
      </c>
      <c r="B43" s="78"/>
      <c r="C43" s="78"/>
      <c r="D43" s="100">
        <f>IF($D$17&lt;0,0,$D$17)</f>
        <v>0</v>
      </c>
      <c r="E43" s="101" t="s">
        <v>41</v>
      </c>
      <c r="F43" s="102" t="s">
        <v>8</v>
      </c>
      <c r="G43" s="103"/>
      <c r="H43" s="103"/>
      <c r="I43" s="103">
        <f>'Rider Rates'!$B$70</f>
        <v>8.6240000000000004E-4</v>
      </c>
      <c r="J43" s="103">
        <f t="shared" ref="J43" si="5">SUM(G43:I43)</f>
        <v>8.6240000000000004E-4</v>
      </c>
      <c r="K43" s="104" t="s">
        <v>42</v>
      </c>
      <c r="L43" s="105"/>
      <c r="M43" s="105"/>
      <c r="N43" s="105">
        <f>ROUND($D$43*'Rider Rates'!$B$70,2)</f>
        <v>0</v>
      </c>
      <c r="O43" s="250">
        <f>SUM(L43:N43)</f>
        <v>0</v>
      </c>
      <c r="P43" s="245">
        <f>'Rider Rates'!$D$70</f>
        <v>45532</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95</v>
      </c>
      <c r="B44" s="78"/>
      <c r="C44" s="78"/>
      <c r="D44" s="100">
        <f>IF('Customer Info'!C35=TRUE,0,IF($D$17&lt;0,0,$D$17))</f>
        <v>0</v>
      </c>
      <c r="E44" s="101" t="s">
        <v>41</v>
      </c>
      <c r="F44" s="102" t="s">
        <v>8</v>
      </c>
      <c r="G44" s="103"/>
      <c r="H44" s="103"/>
      <c r="I44" s="103">
        <f>'Rider Rates'!$B$73+'Rider Rates'!$C$73</f>
        <v>0</v>
      </c>
      <c r="J44" s="103">
        <f t="shared" si="4"/>
        <v>0</v>
      </c>
      <c r="K44" s="104" t="s">
        <v>42</v>
      </c>
      <c r="L44" s="105"/>
      <c r="M44" s="105"/>
      <c r="N44" s="105">
        <f>ROUND($D$44*'Rider Rates'!$B$73,2)+ROUND($D$44*'Rider Rates'!$C$73,2)</f>
        <v>0</v>
      </c>
      <c r="O44" s="250">
        <f t="shared" si="2"/>
        <v>0</v>
      </c>
      <c r="P44" s="245">
        <f>'Rider Rates'!$D$73</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80</v>
      </c>
      <c r="B45" s="78"/>
      <c r="C45" s="78"/>
      <c r="D45" s="195">
        <f>$N$27</f>
        <v>10</v>
      </c>
      <c r="E45" s="101" t="s">
        <v>121</v>
      </c>
      <c r="F45" s="102" t="s">
        <v>8</v>
      </c>
      <c r="G45" s="111"/>
      <c r="H45" s="112"/>
      <c r="I45" s="120">
        <f>'Rider Rates'!$B$89</f>
        <v>4.94232E-2</v>
      </c>
      <c r="J45" s="120">
        <f t="shared" si="4"/>
        <v>4.94232E-2</v>
      </c>
      <c r="K45" s="104"/>
      <c r="L45" s="105"/>
      <c r="M45" s="105"/>
      <c r="N45" s="105">
        <f>ROUND(D45*I45,2)</f>
        <v>0.49</v>
      </c>
      <c r="O45" s="105">
        <f t="shared" si="2"/>
        <v>0.49</v>
      </c>
      <c r="P45" s="245">
        <f>'Rider Rates'!$D$89</f>
        <v>45562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81</v>
      </c>
      <c r="B46" s="78"/>
      <c r="C46" s="78"/>
      <c r="D46" s="195">
        <f>$N$27</f>
        <v>10</v>
      </c>
      <c r="E46" s="101" t="s">
        <v>121</v>
      </c>
      <c r="F46" s="102" t="s">
        <v>8</v>
      </c>
      <c r="G46" s="114"/>
      <c r="H46" s="115"/>
      <c r="I46" s="120">
        <f>'Rider Rates'!$B$91</f>
        <v>6.6985699999999995E-2</v>
      </c>
      <c r="J46" s="120">
        <f t="shared" si="4"/>
        <v>6.6985699999999995E-2</v>
      </c>
      <c r="K46" s="104"/>
      <c r="L46" s="105"/>
      <c r="M46" s="105"/>
      <c r="N46" s="105">
        <f>ROUND(D46*I46,2)</f>
        <v>0.67</v>
      </c>
      <c r="O46" s="105">
        <f t="shared" si="2"/>
        <v>0.67</v>
      </c>
      <c r="P46" s="245">
        <f>'Rider Rates'!$D$91</f>
        <v>45167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214</v>
      </c>
      <c r="B47" s="78"/>
      <c r="C47" s="78"/>
      <c r="D47" s="195"/>
      <c r="E47" s="113" t="s">
        <v>114</v>
      </c>
      <c r="F47" s="106"/>
      <c r="G47" s="114"/>
      <c r="H47" s="115"/>
      <c r="I47" s="196">
        <f>'Rider Rates'!$B$94</f>
        <v>2.0299999999999998</v>
      </c>
      <c r="J47" s="196">
        <f t="shared" si="4"/>
        <v>2.0299999999999998</v>
      </c>
      <c r="K47" s="104"/>
      <c r="L47" s="105"/>
      <c r="M47" s="105"/>
      <c r="N47" s="105">
        <f>I47</f>
        <v>2.0299999999999998</v>
      </c>
      <c r="O47" s="250">
        <f>SUM(L47:N47)</f>
        <v>2.0299999999999998</v>
      </c>
      <c r="P47" s="245">
        <f>'Rider Rates'!$D$94</f>
        <v>45562</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41" t="s">
        <v>247</v>
      </c>
      <c r="B48" s="78"/>
      <c r="C48" s="78"/>
      <c r="D48" s="100">
        <f>IF($D$17&lt;0,0,$D$17)</f>
        <v>0</v>
      </c>
      <c r="E48" s="101" t="s">
        <v>41</v>
      </c>
      <c r="F48" s="102" t="s">
        <v>8</v>
      </c>
      <c r="G48" s="103"/>
      <c r="H48" s="103"/>
      <c r="I48" s="103"/>
      <c r="J48" s="103">
        <f>'Rider Rates'!$B$98</f>
        <v>0</v>
      </c>
      <c r="K48" s="104" t="s">
        <v>42</v>
      </c>
      <c r="L48" s="105"/>
      <c r="M48" s="105"/>
      <c r="N48" s="105"/>
      <c r="O48" s="105">
        <f>ROUND($D48*('Rider Rates'!B$98),2)</f>
        <v>0</v>
      </c>
      <c r="P48" s="245">
        <f>'Rider Rates'!$D$98</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99" t="s">
        <v>156</v>
      </c>
      <c r="B49" s="78"/>
      <c r="C49" s="78"/>
      <c r="D49" s="195">
        <f>$N$27</f>
        <v>10</v>
      </c>
      <c r="E49" s="101" t="s">
        <v>121</v>
      </c>
      <c r="F49" s="102" t="s">
        <v>8</v>
      </c>
      <c r="G49" s="114"/>
      <c r="H49" s="115"/>
      <c r="I49" s="120">
        <f>'Rider Rates'!$B$109</f>
        <v>0.211176</v>
      </c>
      <c r="J49" s="238">
        <f>SUM(G49:I49)</f>
        <v>0.211176</v>
      </c>
      <c r="K49" s="104"/>
      <c r="L49" s="105"/>
      <c r="M49" s="105"/>
      <c r="N49" s="105">
        <f>ROUND(D49*I49,2)</f>
        <v>2.11</v>
      </c>
      <c r="O49" s="105">
        <f t="shared" si="2"/>
        <v>2.11</v>
      </c>
      <c r="P49" s="245">
        <f>'Rider Rates'!$D$109</f>
        <v>45532</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217</v>
      </c>
      <c r="B50" s="78"/>
      <c r="C50" s="78"/>
      <c r="D50" s="195"/>
      <c r="E50" s="113" t="s">
        <v>114</v>
      </c>
      <c r="F50" s="106"/>
      <c r="G50" s="114"/>
      <c r="H50" s="115"/>
      <c r="I50" s="196">
        <f>'Rider Rates'!$B$112</f>
        <v>0</v>
      </c>
      <c r="J50" s="196">
        <f>SUM(G50:I50)</f>
        <v>0</v>
      </c>
      <c r="K50" s="104"/>
      <c r="L50" s="105"/>
      <c r="M50" s="105"/>
      <c r="N50" s="105">
        <f>I50</f>
        <v>0</v>
      </c>
      <c r="O50" s="105">
        <f>SUM(L50:N50)</f>
        <v>0</v>
      </c>
      <c r="P50" s="245">
        <f>'Rider Rates'!$D$112</f>
        <v>44894</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225</v>
      </c>
      <c r="B51" s="78"/>
      <c r="C51" s="78"/>
      <c r="D51" s="195"/>
      <c r="E51" s="113" t="s">
        <v>114</v>
      </c>
      <c r="F51" s="106"/>
      <c r="G51" s="114"/>
      <c r="H51" s="115"/>
      <c r="I51" s="258">
        <f>'Rider Rates'!B125</f>
        <v>0.97</v>
      </c>
      <c r="J51" s="259">
        <f>SUM(G51:I51)</f>
        <v>0.97</v>
      </c>
      <c r="K51" s="104"/>
      <c r="L51" s="105"/>
      <c r="M51" s="105"/>
      <c r="N51" s="260">
        <f>I51</f>
        <v>0.97</v>
      </c>
      <c r="O51" s="105">
        <f>SUM(L51:N51)</f>
        <v>0.97</v>
      </c>
      <c r="P51" s="245">
        <f>'Rider Rates'!D125</f>
        <v>45593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99" t="s">
        <v>157</v>
      </c>
      <c r="B52" s="78"/>
      <c r="C52" s="78"/>
      <c r="D52" s="100">
        <f>'Customer Info'!$B$22+'Customer Info'!$B$23-'Customer Info'!$B$24</f>
        <v>0</v>
      </c>
      <c r="E52" s="101" t="s">
        <v>41</v>
      </c>
      <c r="F52" s="102" t="s">
        <v>8</v>
      </c>
      <c r="G52" s="103">
        <f>'Rider Rates'!$B$116</f>
        <v>3.8972999999999998E-3</v>
      </c>
      <c r="H52" s="103"/>
      <c r="I52" s="103"/>
      <c r="J52" s="237">
        <f>SUM(G52:H52)</f>
        <v>3.8972999999999998E-3</v>
      </c>
      <c r="K52" s="104" t="s">
        <v>42</v>
      </c>
      <c r="L52" s="105">
        <f>ROUND(D52*G52,2)</f>
        <v>0</v>
      </c>
      <c r="M52" s="105"/>
      <c r="N52" s="105"/>
      <c r="O52" s="105">
        <f t="shared" si="2"/>
        <v>0</v>
      </c>
      <c r="P52" s="245">
        <f>'Rider Rates'!$D$116</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10" t="s">
        <v>216</v>
      </c>
      <c r="B53" s="78"/>
      <c r="C53" s="78"/>
      <c r="D53" s="100">
        <f>IF($D$17&lt;1,0,$D$17)</f>
        <v>0</v>
      </c>
      <c r="E53" s="101" t="s">
        <v>41</v>
      </c>
      <c r="F53" s="249" t="s">
        <v>8</v>
      </c>
      <c r="G53" s="103"/>
      <c r="H53" s="103"/>
      <c r="I53" s="103">
        <f>'Rider Rates'!$B$121</f>
        <v>-2.3000000000000001E-4</v>
      </c>
      <c r="J53" s="237">
        <f>SUM(G53:I53)</f>
        <v>-2.3000000000000001E-4</v>
      </c>
      <c r="K53" s="104" t="s">
        <v>42</v>
      </c>
      <c r="L53" s="105"/>
      <c r="M53" s="105"/>
      <c r="N53" s="105">
        <f>D53*J53</f>
        <v>0</v>
      </c>
      <c r="O53" s="105">
        <f t="shared" si="2"/>
        <v>0</v>
      </c>
      <c r="P53" s="245">
        <f>'Rider Rates'!D121</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238</v>
      </c>
      <c r="B54" s="78"/>
      <c r="C54" s="78"/>
      <c r="D54" s="100"/>
      <c r="E54" s="101" t="s">
        <v>114</v>
      </c>
      <c r="F54" s="102" t="s">
        <v>8</v>
      </c>
      <c r="G54" s="263"/>
      <c r="H54" s="263"/>
      <c r="I54" s="263">
        <f>'Rider Rates'!$B$129</f>
        <v>0.1</v>
      </c>
      <c r="J54" s="263">
        <f>SUM(G54:I54)</f>
        <v>0.1</v>
      </c>
      <c r="K54" s="104"/>
      <c r="L54" s="209"/>
      <c r="M54" s="209"/>
      <c r="N54" s="209">
        <f>J54</f>
        <v>0.1</v>
      </c>
      <c r="O54" s="209">
        <f>SUM(L54:N54)</f>
        <v>0.1</v>
      </c>
      <c r="P54" s="264">
        <f>'Rider Rates'!E129</f>
        <v>44927</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250</v>
      </c>
      <c r="B55" s="78"/>
      <c r="C55" s="78"/>
      <c r="D55" s="100">
        <f>D17</f>
        <v>0</v>
      </c>
      <c r="E55" s="101" t="s">
        <v>41</v>
      </c>
      <c r="F55" s="249" t="s">
        <v>8</v>
      </c>
      <c r="G55" s="103"/>
      <c r="H55" s="103"/>
      <c r="I55" s="103">
        <f>'Rider Rates'!B134</f>
        <v>0</v>
      </c>
      <c r="J55" s="237">
        <f>SUM(G55:I55)</f>
        <v>0</v>
      </c>
      <c r="K55" s="104" t="s">
        <v>42</v>
      </c>
      <c r="L55" s="105"/>
      <c r="M55" s="105"/>
      <c r="N55" s="105">
        <f>D55*J55</f>
        <v>0</v>
      </c>
      <c r="O55" s="105">
        <f>SUM(L55:N55)</f>
        <v>0</v>
      </c>
      <c r="P55" s="245">
        <f>'Rider Rates'!D134</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249</v>
      </c>
      <c r="B56" s="78"/>
      <c r="C56" s="78"/>
      <c r="D56" s="100"/>
      <c r="E56" s="101" t="s">
        <v>114</v>
      </c>
      <c r="F56" s="102" t="s">
        <v>8</v>
      </c>
      <c r="G56" s="263"/>
      <c r="H56" s="263"/>
      <c r="I56" s="263">
        <f>'Rider Rates'!$B$141</f>
        <v>0</v>
      </c>
      <c r="J56" s="263">
        <f>SUM(G56:I56)</f>
        <v>0</v>
      </c>
      <c r="K56" s="104"/>
      <c r="L56" s="209"/>
      <c r="M56" s="209"/>
      <c r="N56" s="209">
        <f>J56</f>
        <v>0</v>
      </c>
      <c r="O56" s="209">
        <f>SUM(L56:N56)</f>
        <v>0</v>
      </c>
      <c r="P56" s="264">
        <f>'Rider Rates'!D141</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251</v>
      </c>
      <c r="B57" s="78"/>
      <c r="C57" s="78"/>
      <c r="D57" s="100"/>
      <c r="E57" s="101"/>
      <c r="F57" s="102"/>
      <c r="G57" s="263"/>
      <c r="H57" s="263"/>
      <c r="I57" s="263"/>
      <c r="J57" s="263"/>
      <c r="K57" s="104"/>
      <c r="L57" s="209"/>
      <c r="M57" s="209"/>
      <c r="N57" s="209"/>
      <c r="O57" s="209"/>
      <c r="P57" s="2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179" t="s">
        <v>70</v>
      </c>
      <c r="B58" s="148"/>
      <c r="C58" s="148"/>
      <c r="D58" s="180"/>
      <c r="E58" s="181"/>
      <c r="F58" s="182"/>
      <c r="G58" s="182"/>
      <c r="H58" s="182"/>
      <c r="I58" s="182"/>
      <c r="J58" s="182"/>
      <c r="K58" s="183"/>
      <c r="L58" s="169">
        <f>SUM(L31:L57)</f>
        <v>0</v>
      </c>
      <c r="M58" s="169">
        <f>SUM(M31:M57)</f>
        <v>0</v>
      </c>
      <c r="N58" s="169">
        <f>SUM(N31:N57)</f>
        <v>7.7599999999999989</v>
      </c>
      <c r="O58" s="169">
        <f>SUM(O31:O57)</f>
        <v>7.7599999999999989</v>
      </c>
      <c r="P58" s="184"/>
      <c r="Q58" s="10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78"/>
      <c r="B59" s="78"/>
      <c r="C59" s="78"/>
      <c r="D59" s="100"/>
      <c r="E59" s="113"/>
      <c r="F59" s="106"/>
      <c r="G59" s="106"/>
      <c r="H59" s="106"/>
      <c r="I59" s="106"/>
      <c r="J59" s="107"/>
      <c r="K59" s="104"/>
      <c r="L59" s="106"/>
      <c r="M59" s="106"/>
      <c r="N59" s="106"/>
      <c r="O59" s="106"/>
      <c r="P59" s="164"/>
      <c r="Q59" s="10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185" t="s">
        <v>93</v>
      </c>
      <c r="B60" s="170"/>
      <c r="C60" s="170"/>
      <c r="D60" s="170"/>
      <c r="E60" s="170"/>
      <c r="F60" s="170"/>
      <c r="G60" s="170"/>
      <c r="H60" s="170"/>
      <c r="I60" s="170"/>
      <c r="J60" s="170"/>
      <c r="K60" s="170"/>
      <c r="L60" s="186">
        <f>L27+L58</f>
        <v>0</v>
      </c>
      <c r="M60" s="186">
        <f>M27+M58</f>
        <v>0</v>
      </c>
      <c r="N60" s="186">
        <f>N27+N58</f>
        <v>17.759999999999998</v>
      </c>
      <c r="O60" s="187">
        <f>O27+O58</f>
        <v>17.759999999999998</v>
      </c>
      <c r="P60" s="187"/>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78"/>
      <c r="B61" s="78"/>
      <c r="C61" s="78"/>
      <c r="D61" s="78"/>
      <c r="E61" s="78"/>
      <c r="F61" s="78"/>
      <c r="G61" s="78"/>
      <c r="H61" s="78"/>
      <c r="I61" s="78"/>
      <c r="J61" s="78"/>
      <c r="K61" s="78"/>
      <c r="L61" s="78"/>
      <c r="M61" s="78"/>
      <c r="N61" s="151"/>
      <c r="O61" s="151"/>
      <c r="P61" s="151"/>
      <c r="Q61" s="16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166" t="s">
        <v>92</v>
      </c>
      <c r="B63" s="78"/>
      <c r="C63" s="78"/>
      <c r="D63" s="78"/>
      <c r="E63" s="78"/>
      <c r="F63" s="78"/>
      <c r="G63" s="78"/>
      <c r="H63" s="78"/>
      <c r="I63" s="78"/>
      <c r="J63" s="78"/>
      <c r="K63" s="78"/>
      <c r="L63" s="78"/>
      <c r="M63" s="78"/>
      <c r="N63" s="78"/>
      <c r="O63" s="109">
        <f>IF(D17&lt;0,MIN(O25,O60),O25)</f>
        <v>10</v>
      </c>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5">
      <c r="A64" s="166" t="s">
        <v>15</v>
      </c>
      <c r="B64" s="166"/>
      <c r="C64" s="166"/>
      <c r="D64" s="166"/>
      <c r="E64" s="166"/>
      <c r="F64" s="166"/>
      <c r="G64" s="166"/>
      <c r="H64" s="166"/>
      <c r="I64" s="78"/>
      <c r="J64" s="78"/>
      <c r="K64" s="78"/>
      <c r="L64" s="78"/>
      <c r="M64" s="78"/>
      <c r="N64" s="151"/>
      <c r="O64" s="151"/>
      <c r="P64" s="151"/>
      <c r="Q64" s="78"/>
      <c r="R64" s="107"/>
      <c r="S64" s="108"/>
      <c r="T64" s="109"/>
      <c r="U64" s="78"/>
      <c r="V64" s="110"/>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5">
      <c r="A65" s="148" t="s">
        <v>116</v>
      </c>
      <c r="B65" s="151"/>
      <c r="C65" s="151"/>
      <c r="D65" s="151"/>
      <c r="E65" s="151"/>
      <c r="F65" s="151"/>
      <c r="G65" s="151"/>
      <c r="H65" s="151"/>
      <c r="I65" s="151"/>
      <c r="J65" s="151"/>
      <c r="K65" s="151"/>
      <c r="L65" s="151"/>
      <c r="M65" s="151"/>
      <c r="N65" s="151"/>
      <c r="O65" s="190">
        <f>IF($D$17&lt;0,O60,IF(O60&gt;O63,O60,O63))</f>
        <v>17.759999999999998</v>
      </c>
      <c r="P65" s="160"/>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5">
      <c r="A66" s="148"/>
      <c r="B66" s="151"/>
      <c r="C66" s="151"/>
      <c r="D66" s="151"/>
      <c r="E66" s="151"/>
      <c r="F66" s="151"/>
      <c r="G66" s="151"/>
      <c r="H66" s="151"/>
      <c r="I66" s="151"/>
      <c r="J66" s="151"/>
      <c r="K66" s="151"/>
      <c r="L66" s="151"/>
      <c r="M66" s="151"/>
      <c r="N66" s="151"/>
      <c r="O66" s="138"/>
      <c r="P66" s="160"/>
      <c r="Q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5">
      <c r="A67" s="148"/>
      <c r="B67" s="166"/>
      <c r="C67" s="166"/>
      <c r="D67" s="166"/>
      <c r="E67" s="166"/>
      <c r="F67" s="166"/>
      <c r="G67" s="166"/>
      <c r="H67" s="166"/>
      <c r="I67" s="166" t="s">
        <v>120</v>
      </c>
      <c r="J67" s="166"/>
      <c r="K67" s="166"/>
      <c r="L67" s="191"/>
      <c r="M67" s="191"/>
      <c r="N67" s="191"/>
      <c r="O67" s="191">
        <f>ROUND(IF($D$17&lt;1,0,O60/($D$17*100)*10000),2)</f>
        <v>0</v>
      </c>
      <c r="P67" s="37" t="s">
        <v>86</v>
      </c>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row>
    <row r="68" spans="1:236" x14ac:dyDescent="0.25">
      <c r="A68" s="37"/>
      <c r="B68" s="78"/>
      <c r="C68" s="78"/>
      <c r="D68" s="78"/>
      <c r="E68" s="78"/>
      <c r="F68" s="78"/>
      <c r="G68" s="78"/>
      <c r="H68" s="192"/>
      <c r="I68" s="242" t="s">
        <v>198</v>
      </c>
      <c r="J68" s="78"/>
      <c r="K68" s="78"/>
      <c r="L68" s="78"/>
      <c r="M68" s="78"/>
      <c r="N68" s="78"/>
      <c r="O68" s="243">
        <f>ROUND(IF($D$17&lt;1,0,(L60)/($D$17*100)*10000),2)</f>
        <v>0</v>
      </c>
      <c r="P68" s="25" t="s">
        <v>86</v>
      </c>
      <c r="Q68" s="78"/>
      <c r="AE68" s="78"/>
      <c r="AF68" s="78"/>
      <c r="AG68" s="78"/>
      <c r="AH68" s="78"/>
      <c r="AI68" s="78"/>
      <c r="AJ68" s="78"/>
      <c r="AK68" s="78"/>
      <c r="AL68" s="78"/>
      <c r="AM68" s="78"/>
      <c r="AN68" s="78"/>
      <c r="AO68" s="78"/>
      <c r="AP68" s="78"/>
      <c r="AQ68" s="78"/>
      <c r="AR68" s="78"/>
      <c r="AS68" s="78"/>
      <c r="AT68" s="78"/>
      <c r="HE68" s="78"/>
      <c r="HF68" s="78"/>
      <c r="HG68" s="78"/>
      <c r="HH68" s="78"/>
      <c r="HI68" s="78"/>
      <c r="HJ68" s="78"/>
      <c r="HK68" s="78"/>
      <c r="HL68" s="78"/>
      <c r="HM68" s="78"/>
      <c r="HN68" s="78"/>
    </row>
    <row r="69" spans="1:236" x14ac:dyDescent="0.25">
      <c r="A69" s="99"/>
      <c r="B69" s="78"/>
      <c r="C69" s="78"/>
      <c r="D69" s="100"/>
      <c r="E69" s="101"/>
      <c r="F69" s="106"/>
      <c r="G69" s="133"/>
      <c r="H69" s="56"/>
      <c r="I69" s="133"/>
      <c r="J69" s="25"/>
      <c r="K69" s="25"/>
      <c r="L69" s="134"/>
      <c r="M69" s="134"/>
      <c r="N69" s="134"/>
      <c r="O69" s="135"/>
      <c r="Q69" s="80"/>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row>
    <row r="70" spans="1:236" x14ac:dyDescent="0.25">
      <c r="A70" s="99"/>
      <c r="B70" s="78"/>
      <c r="C70" s="78"/>
      <c r="D70" s="100"/>
      <c r="E70" s="113"/>
      <c r="F70" s="106"/>
      <c r="Q70" s="80"/>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5">
      <c r="A71" s="78"/>
      <c r="D71" s="1"/>
      <c r="E71" s="35"/>
      <c r="F71" s="106"/>
      <c r="Q71" s="80"/>
    </row>
    <row r="72" spans="1:236" x14ac:dyDescent="0.25">
      <c r="A72" s="96"/>
      <c r="D72" s="1"/>
      <c r="E72" s="35"/>
      <c r="F72" s="4"/>
      <c r="Q72" s="36"/>
    </row>
    <row r="73" spans="1:236" x14ac:dyDescent="0.25">
      <c r="A73" s="96"/>
      <c r="D73" s="1"/>
      <c r="E73" s="35"/>
      <c r="F73" s="4"/>
      <c r="Q73" s="36"/>
    </row>
    <row r="74" spans="1:236" x14ac:dyDescent="0.25">
      <c r="A74" s="41"/>
      <c r="B74" s="77"/>
      <c r="C74" s="77"/>
      <c r="D74" s="77"/>
      <c r="E74" s="77"/>
      <c r="F74" s="77"/>
    </row>
    <row r="75" spans="1:236" x14ac:dyDescent="0.25">
      <c r="B75" s="37"/>
      <c r="C75" s="37"/>
      <c r="D75" s="37"/>
      <c r="E75" s="37"/>
      <c r="F75" s="37"/>
      <c r="P75" s="37"/>
      <c r="Q75" s="37"/>
    </row>
    <row r="76" spans="1:236" x14ac:dyDescent="0.25">
      <c r="B76" s="37"/>
      <c r="C76" s="37"/>
      <c r="D76" s="37"/>
      <c r="E76" s="37"/>
      <c r="F76" s="37"/>
      <c r="P76" s="25"/>
      <c r="Q76" s="25"/>
    </row>
    <row r="79" spans="1:236" x14ac:dyDescent="0.25">
      <c r="A79" s="550"/>
    </row>
    <row r="80" spans="1:23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row r="90" spans="1:1" x14ac:dyDescent="0.25">
      <c r="A90" s="550"/>
    </row>
    <row r="91" spans="1:1" x14ac:dyDescent="0.25">
      <c r="A91" s="550"/>
    </row>
    <row r="92" spans="1:1" x14ac:dyDescent="0.25">
      <c r="A92" s="550"/>
    </row>
    <row r="93" spans="1:1" x14ac:dyDescent="0.25">
      <c r="A93" s="550"/>
    </row>
  </sheetData>
  <sheetProtection algorithmName="SHA-512" hashValue="fakVRPZfbBtThA36H9VpWd8UyfhBlvzWHjaYNA43zeBt8+dWJaRU/Ndu/UdSy10pjeO3bj0Zl6v0jKPqA1WR7w==" saltValue="AWzLASpYhI83ZdtSd45x/w==" spinCount="100000" sheet="1" objects="1" scenarios="1"/>
  <mergeCells count="8">
    <mergeCell ref="A79:A93"/>
    <mergeCell ref="A7:K7"/>
    <mergeCell ref="A1:P1"/>
    <mergeCell ref="A4:P4"/>
    <mergeCell ref="L23:O23"/>
    <mergeCell ref="G23:J23"/>
    <mergeCell ref="B6:O6"/>
    <mergeCell ref="A2:P3"/>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21521" r:id="rId5" name="Button 17">
              <controlPr defaultSize="0" print="0" autoFill="0" autoPict="0" macro="[0]!Info">
                <anchor moveWithCells="1">
                  <from>
                    <xdr:col>16</xdr:col>
                    <xdr:colOff>388620</xdr:colOff>
                    <xdr:row>86</xdr:row>
                    <xdr:rowOff>38100</xdr:rowOff>
                  </from>
                  <to>
                    <xdr:col>30</xdr:col>
                    <xdr:colOff>160020</xdr:colOff>
                    <xdr:row>87</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B68"/>
  <sheetViews>
    <sheetView showGridLines="0" topLeftCell="A16" zoomScale="80" zoomScaleNormal="80" workbookViewId="0">
      <selection activeCell="A37" sqref="A37:XFD37"/>
    </sheetView>
  </sheetViews>
  <sheetFormatPr defaultRowHeight="13.2" x14ac:dyDescent="0.25"/>
  <cols>
    <col min="1" max="1" width="39" customWidth="1"/>
    <col min="2" max="2" width="2.109375" customWidth="1"/>
    <col min="3" max="3" width="13" customWidth="1"/>
    <col min="4" max="4" width="15.44140625" customWidth="1"/>
    <col min="5" max="5" width="10.44140625" customWidth="1"/>
    <col min="6" max="6" width="5.5546875" customWidth="1"/>
    <col min="7" max="8" width="13.44140625" customWidth="1"/>
    <col min="9" max="9" width="14.5546875" customWidth="1"/>
    <col min="10" max="10" width="13.44140625" customWidth="1"/>
    <col min="11" max="11" width="5.5546875" bestFit="1" customWidth="1"/>
    <col min="12" max="12" width="15.109375" customWidth="1"/>
    <col min="13" max="13" width="17.44140625" bestFit="1" customWidth="1"/>
    <col min="14" max="14" width="17.5546875" customWidth="1"/>
    <col min="15" max="15" width="18.5546875" customWidth="1"/>
    <col min="16" max="16" width="15" customWidth="1"/>
    <col min="17" max="17" width="12.88671875" bestFit="1" customWidth="1"/>
    <col min="18" max="18" width="10.5546875"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c r="Q1" s="203"/>
    </row>
    <row r="2" spans="1:30" ht="21" x14ac:dyDescent="0.4">
      <c r="A2" s="568" t="s">
        <v>253</v>
      </c>
      <c r="B2" s="568"/>
      <c r="C2" s="568"/>
      <c r="D2" s="568"/>
      <c r="E2" s="568"/>
      <c r="F2" s="568"/>
      <c r="G2" s="568"/>
      <c r="H2" s="568"/>
      <c r="I2" s="568"/>
      <c r="J2" s="568"/>
      <c r="K2" s="568"/>
      <c r="L2" s="568"/>
      <c r="M2" s="568"/>
      <c r="N2" s="568"/>
      <c r="O2" s="568"/>
      <c r="P2" s="568"/>
      <c r="Q2" s="197"/>
    </row>
    <row r="3" spans="1:30" ht="17.399999999999999" x14ac:dyDescent="0.3">
      <c r="A3" s="553" t="s">
        <v>94</v>
      </c>
      <c r="B3" s="553"/>
      <c r="C3" s="553"/>
      <c r="D3" s="553"/>
      <c r="E3" s="553"/>
      <c r="F3" s="553"/>
      <c r="G3" s="553"/>
      <c r="H3" s="553"/>
      <c r="I3" s="553"/>
      <c r="J3" s="553"/>
      <c r="K3" s="553"/>
      <c r="L3" s="553"/>
      <c r="M3" s="553"/>
      <c r="N3" s="553"/>
      <c r="O3" s="553"/>
      <c r="P3" s="553"/>
      <c r="Q3" s="198"/>
    </row>
    <row r="4" spans="1:30" ht="15.6" x14ac:dyDescent="0.3">
      <c r="A4" s="553"/>
      <c r="B4" s="553"/>
      <c r="C4" s="553"/>
      <c r="D4" s="553"/>
      <c r="E4" s="553"/>
      <c r="F4" s="553"/>
      <c r="G4" s="553"/>
      <c r="H4" s="553"/>
      <c r="I4" s="553"/>
      <c r="J4" s="553"/>
      <c r="K4" s="553"/>
      <c r="L4" s="553"/>
      <c r="M4" s="553"/>
      <c r="N4" s="553"/>
      <c r="O4" s="553"/>
      <c r="P4" s="553"/>
      <c r="Q4" s="199"/>
    </row>
    <row r="5" spans="1:30" x14ac:dyDescent="0.25">
      <c r="A5" s="286">
        <f ca="1">TODAY()</f>
        <v>45588</v>
      </c>
      <c r="B5" s="560" t="s">
        <v>255</v>
      </c>
      <c r="C5" s="560"/>
      <c r="D5" s="560"/>
      <c r="E5" s="560"/>
      <c r="F5" s="560"/>
      <c r="G5" s="560"/>
      <c r="H5" s="560"/>
      <c r="I5" s="560"/>
      <c r="J5" s="560"/>
      <c r="K5" s="560"/>
      <c r="L5" s="560"/>
      <c r="M5" s="560"/>
      <c r="N5" s="560"/>
      <c r="O5" s="560"/>
    </row>
    <row r="6" spans="1:30" x14ac:dyDescent="0.25">
      <c r="A6" s="551" t="s">
        <v>15</v>
      </c>
      <c r="B6" s="551"/>
      <c r="C6" s="551"/>
      <c r="D6" s="551"/>
      <c r="E6" s="551"/>
      <c r="F6" s="551"/>
      <c r="G6" s="551"/>
      <c r="H6" s="551"/>
      <c r="I6" s="551"/>
      <c r="J6" s="551"/>
      <c r="K6" s="551"/>
    </row>
    <row r="7" spans="1:30" x14ac:dyDescent="0.25">
      <c r="C7" s="18"/>
      <c r="D7" s="18"/>
      <c r="E7" s="18"/>
      <c r="F7" s="18"/>
      <c r="G7" s="18"/>
      <c r="H7" s="18"/>
      <c r="I7" s="18"/>
      <c r="J7" s="18"/>
      <c r="K7" s="18"/>
    </row>
    <row r="8" spans="1:30" ht="15" x14ac:dyDescent="0.25">
      <c r="A8" s="23" t="s">
        <v>2</v>
      </c>
      <c r="B8" s="24"/>
      <c r="C8" s="25">
        <f>'Customer Info'!B7</f>
        <v>0</v>
      </c>
      <c r="I8" s="26"/>
    </row>
    <row r="9" spans="1:30" ht="15" x14ac:dyDescent="0.25">
      <c r="A9" s="27" t="s">
        <v>26</v>
      </c>
      <c r="B9" s="24"/>
      <c r="C9" s="25">
        <f>'Customer Info'!B8</f>
        <v>0</v>
      </c>
    </row>
    <row r="10" spans="1:30" x14ac:dyDescent="0.25">
      <c r="A10" s="23" t="s">
        <v>3</v>
      </c>
      <c r="B10" s="200">
        <f>'Customer Info'!B9</f>
        <v>11</v>
      </c>
      <c r="C10" s="194" t="str">
        <f>LOOKUP(B10,S11:AD11,S12:AD12)</f>
        <v>November</v>
      </c>
      <c r="D10" s="133">
        <f>'Customer Info'!C9</f>
        <v>2024</v>
      </c>
    </row>
    <row r="11" spans="1:30" x14ac:dyDescent="0.25">
      <c r="A11" s="562"/>
      <c r="B11" s="562"/>
      <c r="C11" s="562"/>
      <c r="D11" s="562"/>
      <c r="E11" s="562"/>
      <c r="F11" s="562"/>
      <c r="G11" s="562"/>
      <c r="H11" s="562"/>
      <c r="I11" s="562"/>
      <c r="J11" s="94"/>
      <c r="K11" s="94"/>
      <c r="L11" s="94"/>
      <c r="M11" s="94"/>
      <c r="N11" s="94"/>
      <c r="O11" s="94"/>
      <c r="P11" s="94"/>
      <c r="S11">
        <v>1</v>
      </c>
      <c r="T11">
        <v>2</v>
      </c>
      <c r="U11">
        <v>3</v>
      </c>
      <c r="V11">
        <v>4</v>
      </c>
      <c r="W11">
        <v>5</v>
      </c>
      <c r="X11">
        <v>6</v>
      </c>
      <c r="Y11">
        <v>7</v>
      </c>
      <c r="Z11">
        <v>8</v>
      </c>
      <c r="AA11">
        <v>9</v>
      </c>
      <c r="AB11">
        <v>10</v>
      </c>
      <c r="AC11">
        <v>11</v>
      </c>
      <c r="AD11">
        <v>12</v>
      </c>
    </row>
    <row r="12" spans="1:30" x14ac:dyDescent="0.25">
      <c r="A12" s="97" t="s">
        <v>27</v>
      </c>
      <c r="B12" s="18"/>
      <c r="C12" s="18"/>
      <c r="D12" s="18"/>
      <c r="E12" s="18"/>
      <c r="F12" s="18"/>
      <c r="G12" s="18"/>
      <c r="H12" s="18"/>
      <c r="I12" s="1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18"/>
      <c r="B13" s="18"/>
      <c r="C13" s="18"/>
      <c r="D13" s="18"/>
      <c r="E13" s="18"/>
      <c r="F13" s="18"/>
      <c r="G13" s="18"/>
      <c r="H13" s="18"/>
      <c r="I13" s="18"/>
      <c r="R13" s="78" t="s">
        <v>117</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153" t="s">
        <v>51</v>
      </c>
      <c r="B14" s="31"/>
      <c r="C14" s="32">
        <f>IF('Customer Info'!B22+'Customer Info'!B23-'Customer Info'!B24&lt;0,0,'Customer Info'!B22+'Customer Info'!B23-'Customer Info'!B24)</f>
        <v>0</v>
      </c>
      <c r="D14" s="31" t="s">
        <v>41</v>
      </c>
      <c r="E14" s="31"/>
      <c r="F14" s="33"/>
      <c r="G14" s="31"/>
      <c r="H14" s="31"/>
      <c r="I14" s="31"/>
      <c r="R14" s="78" t="s">
        <v>118</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c r="B15" s="31"/>
      <c r="C15" s="33"/>
      <c r="D15" s="33"/>
      <c r="E15" s="33"/>
      <c r="F15" s="33"/>
      <c r="G15" s="23"/>
      <c r="H15" s="31"/>
      <c r="I15" s="31"/>
      <c r="R15" t="s">
        <v>165</v>
      </c>
      <c r="S15" s="222">
        <f>'Rider Rates'!$C$29</f>
        <v>4.4387999999999997E-3</v>
      </c>
      <c r="T15" s="222">
        <f>'Rider Rates'!$C$29</f>
        <v>4.4387999999999997E-3</v>
      </c>
      <c r="U15" s="222">
        <f>'Rider Rates'!$C$29</f>
        <v>4.4387999999999997E-3</v>
      </c>
      <c r="V15" s="222">
        <f>'Rider Rates'!$C$29</f>
        <v>4.4387999999999997E-3</v>
      </c>
      <c r="W15" s="222">
        <f>'Rider Rates'!$C$29</f>
        <v>4.4387999999999997E-3</v>
      </c>
      <c r="X15" s="222">
        <f>'Rider Rates'!$B$29</f>
        <v>4.4387999999999997E-3</v>
      </c>
      <c r="Y15" s="222">
        <f>'Rider Rates'!$B$29</f>
        <v>4.4387999999999997E-3</v>
      </c>
      <c r="Z15" s="222">
        <f>'Rider Rates'!$B$29</f>
        <v>4.4387999999999997E-3</v>
      </c>
      <c r="AA15" s="222">
        <f>'Rider Rates'!$B$29</f>
        <v>4.4387999999999997E-3</v>
      </c>
      <c r="AB15" s="222">
        <f>'Rider Rates'!$C$29</f>
        <v>4.4387999999999997E-3</v>
      </c>
      <c r="AC15" s="222">
        <f>'Rider Rates'!$C$29</f>
        <v>4.4387999999999997E-3</v>
      </c>
      <c r="AD15" s="222">
        <f>'Rider Rates'!$C$29</f>
        <v>4.4387999999999997E-3</v>
      </c>
    </row>
    <row r="16" spans="1:30" x14ac:dyDescent="0.25">
      <c r="A16" s="28" t="s">
        <v>124</v>
      </c>
      <c r="B16" s="22"/>
      <c r="C16" s="22"/>
      <c r="D16" s="22"/>
      <c r="E16" s="22"/>
      <c r="F16" s="22"/>
      <c r="G16" s="563" t="s">
        <v>67</v>
      </c>
      <c r="H16" s="564"/>
      <c r="I16" s="564"/>
      <c r="J16" s="565"/>
      <c r="K16" s="22"/>
      <c r="L16" s="566" t="s">
        <v>68</v>
      </c>
      <c r="M16" s="566"/>
      <c r="N16" s="566"/>
      <c r="O16" s="566"/>
      <c r="R16" t="s">
        <v>166</v>
      </c>
      <c r="S16" s="222">
        <f>'Rider Rates'!$C$30</f>
        <v>2.4020999999999999E-3</v>
      </c>
      <c r="T16" s="222">
        <f>'Rider Rates'!$C$30</f>
        <v>2.4020999999999999E-3</v>
      </c>
      <c r="U16" s="222">
        <f>'Rider Rates'!$C$30</f>
        <v>2.4020999999999999E-3</v>
      </c>
      <c r="V16" s="222">
        <f>'Rider Rates'!$C$30</f>
        <v>2.4020999999999999E-3</v>
      </c>
      <c r="W16" s="222">
        <f>'Rider Rates'!$C$30</f>
        <v>2.4020999999999999E-3</v>
      </c>
      <c r="X16" s="222">
        <f>'Rider Rates'!$B$30</f>
        <v>4.2166E-3</v>
      </c>
      <c r="Y16" s="222">
        <f>'Rider Rates'!$B$30</f>
        <v>4.2166E-3</v>
      </c>
      <c r="Z16" s="222">
        <f>'Rider Rates'!$B$30</f>
        <v>4.2166E-3</v>
      </c>
      <c r="AA16" s="222">
        <f>'Rider Rates'!$B$30</f>
        <v>4.2166E-3</v>
      </c>
      <c r="AB16" s="222">
        <f>'Rider Rates'!$C$30</f>
        <v>2.4020999999999999E-3</v>
      </c>
      <c r="AC16" s="222">
        <f>'Rider Rates'!$C$30</f>
        <v>2.4020999999999999E-3</v>
      </c>
      <c r="AD16" s="222">
        <f>'Rider Rates'!$C$30</f>
        <v>2.4020999999999999E-3</v>
      </c>
    </row>
    <row r="17" spans="1:221" x14ac:dyDescent="0.25">
      <c r="A17" s="18"/>
      <c r="B17" s="18"/>
      <c r="C17" s="18"/>
      <c r="D17" s="18"/>
      <c r="E17" s="18"/>
      <c r="F17" s="18"/>
      <c r="G17" s="8" t="s">
        <v>64</v>
      </c>
      <c r="H17" s="8" t="s">
        <v>65</v>
      </c>
      <c r="I17" s="8" t="s">
        <v>66</v>
      </c>
      <c r="J17" s="112" t="s">
        <v>34</v>
      </c>
      <c r="K17" s="18"/>
      <c r="L17" s="287" t="s">
        <v>64</v>
      </c>
      <c r="M17" s="287" t="s">
        <v>65</v>
      </c>
      <c r="N17" s="287" t="s">
        <v>66</v>
      </c>
      <c r="O17" s="132" t="s">
        <v>34</v>
      </c>
      <c r="P17" s="43" t="s">
        <v>56</v>
      </c>
      <c r="R17" t="s">
        <v>167</v>
      </c>
      <c r="S17" s="222">
        <f>'Rider Rates'!$C$31</f>
        <v>2.8092999999999998E-3</v>
      </c>
      <c r="T17" s="222">
        <f>'Rider Rates'!$C$31</f>
        <v>2.8092999999999998E-3</v>
      </c>
      <c r="U17" s="222">
        <f>'Rider Rates'!$C$31</f>
        <v>2.8092999999999998E-3</v>
      </c>
      <c r="V17" s="222">
        <f>'Rider Rates'!$C$31</f>
        <v>2.8092999999999998E-3</v>
      </c>
      <c r="W17" s="222">
        <f>'Rider Rates'!$C$31</f>
        <v>2.8092999999999998E-3</v>
      </c>
      <c r="X17" s="222">
        <f>'Rider Rates'!$B$31</f>
        <v>3.9453999999999999E-3</v>
      </c>
      <c r="Y17" s="222">
        <f>'Rider Rates'!$B$31</f>
        <v>3.9453999999999999E-3</v>
      </c>
      <c r="Z17" s="222">
        <f>'Rider Rates'!$B$31</f>
        <v>3.9453999999999999E-3</v>
      </c>
      <c r="AA17" s="222">
        <f>'Rider Rates'!$B$31</f>
        <v>3.9453999999999999E-3</v>
      </c>
      <c r="AB17" s="222">
        <f>'Rider Rates'!$C$31</f>
        <v>2.8092999999999998E-3</v>
      </c>
      <c r="AC17" s="222">
        <f>'Rider Rates'!$C$31</f>
        <v>2.8092999999999998E-3</v>
      </c>
      <c r="AD17" s="222">
        <f>'Rider Rates'!$C$31</f>
        <v>2.8092999999999998E-3</v>
      </c>
    </row>
    <row r="18" spans="1:221" x14ac:dyDescent="0.25">
      <c r="A18" t="s">
        <v>32</v>
      </c>
      <c r="G18" s="83"/>
      <c r="H18" s="83"/>
      <c r="I18" s="125">
        <v>10</v>
      </c>
      <c r="J18" s="125">
        <f>SUM(G18:I18)</f>
        <v>10</v>
      </c>
      <c r="L18" s="125"/>
      <c r="M18" s="125"/>
      <c r="N18" s="125">
        <f>I18</f>
        <v>10</v>
      </c>
      <c r="O18" s="125">
        <f>+SUM(L18:N18)</f>
        <v>10</v>
      </c>
      <c r="P18" s="245">
        <v>44531</v>
      </c>
      <c r="R18" s="3" t="s">
        <v>199</v>
      </c>
      <c r="S18">
        <f>'Rider Rates'!$C$21</f>
        <v>7.0209999999999995E-2</v>
      </c>
      <c r="T18">
        <f>'Rider Rates'!$C$21</f>
        <v>7.0209999999999995E-2</v>
      </c>
      <c r="U18">
        <f>'Rider Rates'!$C$21</f>
        <v>7.0209999999999995E-2</v>
      </c>
      <c r="V18">
        <f>'Rider Rates'!$C$21</f>
        <v>7.0209999999999995E-2</v>
      </c>
      <c r="W18">
        <f>'Rider Rates'!$C$21</f>
        <v>7.0209999999999995E-2</v>
      </c>
      <c r="X18">
        <f>'Rider Rates'!$B$21</f>
        <v>7.0209999999999995E-2</v>
      </c>
      <c r="Y18">
        <f>'Rider Rates'!$B$21</f>
        <v>7.0209999999999995E-2</v>
      </c>
      <c r="Z18">
        <f>'Rider Rates'!$B$21</f>
        <v>7.0209999999999995E-2</v>
      </c>
      <c r="AA18">
        <f>'Rider Rates'!$B$21</f>
        <v>7.0209999999999995E-2</v>
      </c>
      <c r="AB18">
        <f>'Rider Rates'!$C$21</f>
        <v>7.0209999999999995E-2</v>
      </c>
      <c r="AC18">
        <f>'Rider Rates'!$C$21</f>
        <v>7.0209999999999995E-2</v>
      </c>
      <c r="AD18">
        <f>'Rider Rates'!$C$21</f>
        <v>7.0209999999999995E-2</v>
      </c>
    </row>
    <row r="19" spans="1:221" x14ac:dyDescent="0.25">
      <c r="A19" s="78" t="s">
        <v>185</v>
      </c>
      <c r="B19" s="18"/>
      <c r="C19" s="18"/>
      <c r="D19" s="1">
        <f>MAX($C$14,0)</f>
        <v>0</v>
      </c>
      <c r="E19" s="124" t="s">
        <v>41</v>
      </c>
      <c r="F19" s="288" t="s">
        <v>8</v>
      </c>
      <c r="G19" s="165"/>
      <c r="H19" s="83"/>
      <c r="I19" s="165">
        <v>2.6312499999999999E-2</v>
      </c>
      <c r="J19" s="126">
        <f>SUM(G19:I19)</f>
        <v>2.6312499999999999E-2</v>
      </c>
      <c r="K19" t="s">
        <v>42</v>
      </c>
      <c r="L19" s="125"/>
      <c r="M19" s="125"/>
      <c r="N19" s="125">
        <f>IF($C$14&lt;0,0,ROUND($D19*I19,2))</f>
        <v>0</v>
      </c>
      <c r="O19" s="125">
        <f>+SUM(L19:N19)</f>
        <v>0</v>
      </c>
      <c r="P19" s="245">
        <v>44531</v>
      </c>
      <c r="R19" s="3"/>
    </row>
    <row r="20" spans="1:221" x14ac:dyDescent="0.25">
      <c r="A20" s="96" t="s">
        <v>74</v>
      </c>
      <c r="B20" s="37"/>
      <c r="C20" s="37"/>
      <c r="D20" s="38"/>
      <c r="E20" s="38"/>
      <c r="F20" s="37"/>
      <c r="G20" s="37"/>
      <c r="I20" s="40"/>
      <c r="K20" s="39"/>
      <c r="L20" s="95"/>
      <c r="M20" s="54"/>
      <c r="N20" s="95">
        <f>SUM(N18:N19)</f>
        <v>10</v>
      </c>
      <c r="O20" s="95">
        <f>SUM(O18:O19)</f>
        <v>10</v>
      </c>
      <c r="R20" s="107"/>
      <c r="S20" s="108"/>
      <c r="T20" s="109"/>
      <c r="U20" s="78"/>
      <c r="V20" s="110"/>
      <c r="W20" s="78"/>
      <c r="X20" s="78"/>
      <c r="Y20" s="78"/>
      <c r="Z20" s="78"/>
      <c r="AA20" s="78"/>
      <c r="AB20" s="78"/>
      <c r="AC20" s="78"/>
      <c r="AD20" s="78"/>
    </row>
    <row r="21" spans="1:221" x14ac:dyDescent="0.25">
      <c r="A21" s="170"/>
      <c r="B21" s="170"/>
      <c r="C21" s="170"/>
      <c r="D21" s="171"/>
      <c r="E21" s="171"/>
      <c r="F21" s="170"/>
      <c r="G21" s="171"/>
      <c r="H21" s="171"/>
      <c r="I21" s="171"/>
      <c r="J21" s="171"/>
      <c r="K21" s="172"/>
      <c r="L21" s="171"/>
      <c r="M21" s="171"/>
      <c r="N21" s="171"/>
      <c r="O21" s="171"/>
      <c r="P21" s="171"/>
      <c r="R21" s="107"/>
      <c r="S21" s="108"/>
      <c r="T21" s="109"/>
      <c r="U21" s="78"/>
      <c r="V21" s="110"/>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48" t="s">
        <v>69</v>
      </c>
      <c r="B22" s="166"/>
      <c r="C22" s="166"/>
      <c r="D22" s="167"/>
      <c r="E22" s="167"/>
      <c r="F22" s="166"/>
      <c r="G22" s="167"/>
      <c r="H22" s="167"/>
      <c r="I22" s="167"/>
      <c r="J22" s="167"/>
      <c r="K22" s="167"/>
      <c r="L22" s="167"/>
      <c r="M22" s="167"/>
      <c r="N22" s="167"/>
      <c r="O22" s="167"/>
      <c r="P22" s="167"/>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row>
    <row r="23" spans="1:221" x14ac:dyDescent="0.25">
      <c r="A23" s="151"/>
      <c r="B23" s="151"/>
      <c r="C23" s="151"/>
      <c r="D23" s="151"/>
      <c r="E23" s="151"/>
      <c r="F23" s="151"/>
      <c r="G23" s="151"/>
      <c r="H23" s="151"/>
      <c r="I23" s="151"/>
      <c r="J23" s="151"/>
      <c r="K23" s="151"/>
      <c r="L23" s="151"/>
      <c r="M23" s="151"/>
      <c r="N23" s="151"/>
      <c r="O23" s="151"/>
      <c r="P23" s="106"/>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99" t="s">
        <v>78</v>
      </c>
      <c r="B24" s="176"/>
      <c r="C24" s="176"/>
      <c r="D24" s="100">
        <f>IF($C$14&lt;0,0,IF($C$14&gt;833000,833000,$C$14))</f>
        <v>0</v>
      </c>
      <c r="E24" s="101" t="s">
        <v>41</v>
      </c>
      <c r="F24" s="102" t="s">
        <v>8</v>
      </c>
      <c r="G24" s="103"/>
      <c r="H24" s="103"/>
      <c r="I24" s="103">
        <f>'Rider Rates'!$B$4</f>
        <v>5.9216E-3</v>
      </c>
      <c r="J24" s="201">
        <f t="shared" ref="J24:J46" si="0">SUM(G24:I24)</f>
        <v>5.9216E-3</v>
      </c>
      <c r="K24" s="104" t="s">
        <v>42</v>
      </c>
      <c r="L24" s="105"/>
      <c r="M24" s="105"/>
      <c r="N24" s="105">
        <f t="shared" ref="N24:N29" si="1">ROUND(D24*I24,2)</f>
        <v>0</v>
      </c>
      <c r="O24" s="105">
        <f t="shared" ref="O24:O37" si="2">SUM(L24:N24)</f>
        <v>0</v>
      </c>
      <c r="P24" s="245">
        <f>'Rider Rates'!$D$4</f>
        <v>45293</v>
      </c>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79</v>
      </c>
      <c r="B25" s="78"/>
      <c r="C25" s="78"/>
      <c r="D25" s="123">
        <f>IF($C$14&gt;833000,$C$14-833000,0)</f>
        <v>0</v>
      </c>
      <c r="E25" s="101" t="s">
        <v>41</v>
      </c>
      <c r="F25" s="102" t="s">
        <v>8</v>
      </c>
      <c r="G25" s="103"/>
      <c r="H25" s="103"/>
      <c r="I25" s="103">
        <f>'Rider Rates'!$B$5</f>
        <v>1.7560000000000001E-4</v>
      </c>
      <c r="J25" s="201">
        <f t="shared" si="0"/>
        <v>1.7560000000000001E-4</v>
      </c>
      <c r="K25" s="104" t="s">
        <v>42</v>
      </c>
      <c r="L25" s="105"/>
      <c r="M25" s="105"/>
      <c r="N25" s="105">
        <f t="shared" si="1"/>
        <v>0</v>
      </c>
      <c r="O25" s="105">
        <f t="shared" si="2"/>
        <v>0</v>
      </c>
      <c r="P25" s="245">
        <f>'Rider Rates'!$D$4</f>
        <v>45293</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96</v>
      </c>
      <c r="B26" s="78"/>
      <c r="C26" s="78"/>
      <c r="D26" s="100">
        <f>IF($C$14&lt;0,0,IF($C$14&gt;2000,2000,$C$14))</f>
        <v>0</v>
      </c>
      <c r="E26" s="101" t="s">
        <v>41</v>
      </c>
      <c r="F26" s="102" t="s">
        <v>8</v>
      </c>
      <c r="G26" s="103"/>
      <c r="H26" s="103"/>
      <c r="I26" s="177">
        <f>'Rider Rates'!$B$8</f>
        <v>4.6499999999999996E-3</v>
      </c>
      <c r="J26" s="177">
        <f t="shared" si="0"/>
        <v>4.6499999999999996E-3</v>
      </c>
      <c r="K26" s="104" t="s">
        <v>42</v>
      </c>
      <c r="L26" s="105"/>
      <c r="M26" s="105"/>
      <c r="N26" s="105">
        <f t="shared" si="1"/>
        <v>0</v>
      </c>
      <c r="O26" s="105">
        <f t="shared" si="2"/>
        <v>0</v>
      </c>
      <c r="P26" s="245">
        <f>'Rider Rates'!$D$7</f>
        <v>44531</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97</v>
      </c>
      <c r="B27" s="78"/>
      <c r="C27" s="78"/>
      <c r="D27" s="100">
        <f>IF($C$14&lt;=2000,0,IF($C$14=0,0,IF($C$14-2000&gt;13000,13000,$C$14-2000)))</f>
        <v>0</v>
      </c>
      <c r="E27" s="101" t="s">
        <v>41</v>
      </c>
      <c r="F27" s="102" t="s">
        <v>8</v>
      </c>
      <c r="G27" s="103"/>
      <c r="H27" s="103"/>
      <c r="I27" s="177">
        <f>'Rider Rates'!$B$9</f>
        <v>4.1900000000000001E-3</v>
      </c>
      <c r="J27" s="177">
        <f t="shared" si="0"/>
        <v>4.1900000000000001E-3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98</v>
      </c>
      <c r="B28" s="78"/>
      <c r="C28" s="78"/>
      <c r="D28" s="100">
        <f>IF($C$14=0,0,IF($C$14-15000&gt;=0,$C$14-15000,0))</f>
        <v>0</v>
      </c>
      <c r="E28" s="101" t="s">
        <v>41</v>
      </c>
      <c r="F28" s="102" t="s">
        <v>8</v>
      </c>
      <c r="G28" s="103"/>
      <c r="H28" s="103"/>
      <c r="I28" s="177">
        <f>'Rider Rates'!$B$10</f>
        <v>3.63E-3</v>
      </c>
      <c r="J28" s="177">
        <f t="shared" si="0"/>
        <v>3.63E-3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210" t="s">
        <v>159</v>
      </c>
      <c r="B29" s="78"/>
      <c r="C29" s="78"/>
      <c r="D29" s="100">
        <f>IF($C$14&lt;0,0,$C$14)</f>
        <v>0</v>
      </c>
      <c r="E29" s="101" t="s">
        <v>41</v>
      </c>
      <c r="F29" s="102" t="s">
        <v>8</v>
      </c>
      <c r="G29" s="103"/>
      <c r="H29" s="103"/>
      <c r="I29" s="103">
        <f>'Rider Rates'!B15</f>
        <v>0</v>
      </c>
      <c r="J29" s="103">
        <f>SUM(G29:I29)</f>
        <v>0</v>
      </c>
      <c r="K29" s="104" t="s">
        <v>42</v>
      </c>
      <c r="L29" s="105"/>
      <c r="M29" s="105"/>
      <c r="N29" s="105">
        <f t="shared" si="1"/>
        <v>0</v>
      </c>
      <c r="O29" s="105">
        <f t="shared" si="2"/>
        <v>0</v>
      </c>
      <c r="P29" s="245">
        <f>'Rider Rates'!$D$15</f>
        <v>45505</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241" t="s">
        <v>245</v>
      </c>
      <c r="B30" s="78"/>
      <c r="C30" s="78"/>
      <c r="D30" s="290">
        <f>$N$20</f>
        <v>10</v>
      </c>
      <c r="E30" s="101" t="s">
        <v>121</v>
      </c>
      <c r="F30" s="102" t="s">
        <v>8</v>
      </c>
      <c r="G30" s="103"/>
      <c r="H30" s="103"/>
      <c r="I30" s="178">
        <f>'Rider Rates'!$B$18</f>
        <v>0</v>
      </c>
      <c r="J30" s="178">
        <f>SUM(G30:I30)</f>
        <v>0</v>
      </c>
      <c r="K30" s="104"/>
      <c r="L30" s="105"/>
      <c r="M30" s="105"/>
      <c r="N30" s="105">
        <f>ROUND($D$30*'Rider Rates'!$B$18,2)+ROUND($D$30*'Rider Rates'!$E$18,2)</f>
        <v>0</v>
      </c>
      <c r="O30" s="105">
        <f t="shared" si="2"/>
        <v>0</v>
      </c>
      <c r="P30" s="245">
        <f>MAX('Rider Rates'!$D$18,'Rider Rates'!$F$18)</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200</v>
      </c>
      <c r="B31" s="78"/>
      <c r="C31" s="78"/>
      <c r="D31" s="100">
        <f>'Customer Info'!$B$22+'Customer Info'!$B$23-'Customer Info'!$B$24</f>
        <v>0</v>
      </c>
      <c r="E31" s="101" t="s">
        <v>41</v>
      </c>
      <c r="F31" s="102" t="s">
        <v>8</v>
      </c>
      <c r="G31" s="103">
        <f>LOOKUP($B$10,$S$11:$AD$11,S18:AD18)</f>
        <v>7.0209999999999995E-2</v>
      </c>
      <c r="H31" s="103"/>
      <c r="I31" s="103"/>
      <c r="J31" s="237">
        <f>SUM(G31:H31)</f>
        <v>7.0209999999999995E-2</v>
      </c>
      <c r="K31" s="104" t="s">
        <v>42</v>
      </c>
      <c r="L31" s="105">
        <f>ROUND(D31*G31,2)</f>
        <v>0</v>
      </c>
      <c r="M31" s="105"/>
      <c r="N31" s="105"/>
      <c r="O31" s="105">
        <f t="shared" si="2"/>
        <v>0</v>
      </c>
      <c r="P31" s="245">
        <f>'Rider Rates'!$D$29</f>
        <v>45444</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41" t="s">
        <v>173</v>
      </c>
      <c r="B32" s="78"/>
      <c r="C32" s="78"/>
      <c r="D32" s="100">
        <f>MIN(('Customer Info'!$B$22+'Customer Info'!$B$23-'Customer Info'!$B$24),750)</f>
        <v>0</v>
      </c>
      <c r="E32" s="101" t="s">
        <v>41</v>
      </c>
      <c r="F32" s="102" t="s">
        <v>8</v>
      </c>
      <c r="G32" s="165">
        <f>LOOKUP($B$10,$S$11:$AD11,S15:AD15)</f>
        <v>4.4387999999999997E-3</v>
      </c>
      <c r="H32" s="103"/>
      <c r="I32" s="103"/>
      <c r="J32" s="237">
        <f>SUM(G32:H32)</f>
        <v>4.4387999999999997E-3</v>
      </c>
      <c r="K32" s="104" t="s">
        <v>42</v>
      </c>
      <c r="L32" s="105">
        <f>ROUND(D32*G32,2)</f>
        <v>0</v>
      </c>
      <c r="M32" s="105"/>
      <c r="N32" s="105"/>
      <c r="O32" s="105">
        <f t="shared" si="2"/>
        <v>0</v>
      </c>
      <c r="P32" s="245">
        <f>'Rider Rates'!$D$29</f>
        <v>45444</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41" t="s">
        <v>174</v>
      </c>
      <c r="B33" s="78"/>
      <c r="C33" s="78"/>
      <c r="D33" s="100">
        <f>IF(('Customer Info'!$B$22+'Customer Info'!$B$23-'Customer Info'!$B$24)&lt;=750,0,IF(C14-750&gt;150,150,C14-750))</f>
        <v>0</v>
      </c>
      <c r="E33" s="101" t="s">
        <v>41</v>
      </c>
      <c r="F33" s="102" t="s">
        <v>8</v>
      </c>
      <c r="G33" s="165">
        <f>LOOKUP($B$10,$S$11:$AD11,S16:AD16)</f>
        <v>2.4020999999999999E-3</v>
      </c>
      <c r="H33" s="103"/>
      <c r="I33" s="103"/>
      <c r="J33" s="237">
        <f>SUM(G33:H33)</f>
        <v>2.4020999999999999E-3</v>
      </c>
      <c r="K33" s="104" t="s">
        <v>42</v>
      </c>
      <c r="L33" s="105">
        <f>ROUND(D33*G33,2)</f>
        <v>0</v>
      </c>
      <c r="M33" s="105"/>
      <c r="N33" s="105"/>
      <c r="O33" s="105">
        <f t="shared" si="2"/>
        <v>0</v>
      </c>
      <c r="P33" s="245">
        <f>'Rider Rates'!$D$30</f>
        <v>45444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41" t="s">
        <v>175</v>
      </c>
      <c r="B34" s="78"/>
      <c r="C34" s="78"/>
      <c r="D34" s="100">
        <f>IF(C14=0,0,IF(C14-900&gt;=0,C14-900,0))</f>
        <v>0</v>
      </c>
      <c r="E34" s="101" t="s">
        <v>41</v>
      </c>
      <c r="F34" s="102" t="s">
        <v>8</v>
      </c>
      <c r="G34" s="165">
        <f>LOOKUP($B$10,$S$11:$AD11,S17:AD17)</f>
        <v>2.8092999999999998E-3</v>
      </c>
      <c r="H34" s="103"/>
      <c r="I34" s="103"/>
      <c r="J34" s="237">
        <f>SUM(G34:H34)</f>
        <v>2.8092999999999998E-3</v>
      </c>
      <c r="K34" s="104" t="s">
        <v>42</v>
      </c>
      <c r="L34" s="105">
        <f>ROUND(D34*G34,2)</f>
        <v>0</v>
      </c>
      <c r="M34" s="105"/>
      <c r="N34" s="105"/>
      <c r="O34" s="105">
        <f t="shared" si="2"/>
        <v>0</v>
      </c>
      <c r="P34" s="245">
        <f>'Rider Rates'!$D$31</f>
        <v>45444</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201</v>
      </c>
      <c r="B35" s="78"/>
      <c r="C35" s="78"/>
      <c r="D35" s="100">
        <f>'Customer Info'!$B$22+'Customer Info'!$B$23-'Customer Info'!$B$24</f>
        <v>0</v>
      </c>
      <c r="E35" s="101" t="s">
        <v>41</v>
      </c>
      <c r="F35" s="102" t="s">
        <v>8</v>
      </c>
      <c r="G35" s="103">
        <f>'Rider Rates'!B49</f>
        <v>-1.2408E-3</v>
      </c>
      <c r="H35" s="103"/>
      <c r="I35" s="103"/>
      <c r="J35" s="237">
        <f>SUM(G35:H35)</f>
        <v>-1.2408E-3</v>
      </c>
      <c r="K35" s="104" t="s">
        <v>42</v>
      </c>
      <c r="L35" s="105">
        <f>ROUND(D35*G35,2)</f>
        <v>0</v>
      </c>
      <c r="M35" s="105"/>
      <c r="N35" s="105"/>
      <c r="O35" s="105">
        <f>SUM(L35:N35)</f>
        <v>0</v>
      </c>
      <c r="P35" s="245">
        <f>'Rider Rates'!$D$49</f>
        <v>45562</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41" t="s">
        <v>218</v>
      </c>
      <c r="B36" s="78"/>
      <c r="C36" s="78"/>
      <c r="D36" s="100"/>
      <c r="E36" s="101" t="s">
        <v>114</v>
      </c>
      <c r="F36" s="102"/>
      <c r="G36" s="103"/>
      <c r="H36" s="103"/>
      <c r="I36" s="103">
        <f>'Rider Rates'!D52</f>
        <v>1.39</v>
      </c>
      <c r="J36" s="103">
        <f>SUM(G36:I36)</f>
        <v>1.39</v>
      </c>
      <c r="K36" s="104" t="s">
        <v>42</v>
      </c>
      <c r="L36" s="105"/>
      <c r="M36" s="105"/>
      <c r="N36" s="105">
        <f>J36</f>
        <v>1.39</v>
      </c>
      <c r="O36" s="105">
        <f>SUM(L36:N36)</f>
        <v>1.39</v>
      </c>
      <c r="P36" s="245">
        <f>'Rider Rates'!E52</f>
        <v>45474</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197</v>
      </c>
      <c r="B37" s="78"/>
      <c r="C37" s="78"/>
      <c r="D37" s="100">
        <f>IF($C$14&lt;0,0,$C$14)</f>
        <v>0</v>
      </c>
      <c r="E37" s="113" t="s">
        <v>41</v>
      </c>
      <c r="F37" s="102" t="s">
        <v>8</v>
      </c>
      <c r="G37" s="103"/>
      <c r="H37" s="103">
        <f>'Rider Rates'!$B$59</f>
        <v>4.3837099999999997E-2</v>
      </c>
      <c r="I37" s="103"/>
      <c r="J37" s="103">
        <f>SUM(G37:I37)</f>
        <v>4.3837099999999997E-2</v>
      </c>
      <c r="K37" s="104" t="s">
        <v>42</v>
      </c>
      <c r="L37" s="105"/>
      <c r="M37" s="105">
        <f>ROUND(D37*H37,2)</f>
        <v>0</v>
      </c>
      <c r="N37" s="205"/>
      <c r="O37" s="105">
        <f t="shared" si="2"/>
        <v>0</v>
      </c>
      <c r="P37" s="245">
        <f>'Rider Rates'!$D$59</f>
        <v>45383</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346</v>
      </c>
      <c r="B38" s="78"/>
      <c r="C38" s="78"/>
      <c r="D38" s="100">
        <f>IF($C$14&lt;0,0,$C$14)</f>
        <v>0</v>
      </c>
      <c r="E38" s="101" t="s">
        <v>41</v>
      </c>
      <c r="F38" s="102" t="s">
        <v>8</v>
      </c>
      <c r="G38" s="103"/>
      <c r="H38" s="103"/>
      <c r="I38" s="103">
        <f>'Rider Rates'!$B$70</f>
        <v>8.6240000000000004E-4</v>
      </c>
      <c r="J38" s="103">
        <f t="shared" ref="J38" si="3">SUM(G38:I38)</f>
        <v>8.6240000000000004E-4</v>
      </c>
      <c r="K38" s="104" t="s">
        <v>42</v>
      </c>
      <c r="L38" s="105"/>
      <c r="M38" s="105"/>
      <c r="N38" s="105">
        <f>ROUND($D$38*'Rider Rates'!$B$70,2)</f>
        <v>0</v>
      </c>
      <c r="O38" s="105">
        <f>SUM(L38:N38)</f>
        <v>0</v>
      </c>
      <c r="P38" s="245">
        <f>'Rider Rates'!$D$70</f>
        <v>45532</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95</v>
      </c>
      <c r="B39" s="78"/>
      <c r="C39" s="78"/>
      <c r="D39" s="100">
        <f>IF('Customer Info'!C35=TRUE,0,IF($C$14&lt;0,0,$C$14))</f>
        <v>0</v>
      </c>
      <c r="E39" s="101" t="s">
        <v>41</v>
      </c>
      <c r="F39" s="102" t="s">
        <v>8</v>
      </c>
      <c r="G39" s="103"/>
      <c r="H39" s="103"/>
      <c r="I39" s="103">
        <f>'Rider Rates'!$B$73+'Rider Rates'!$C$73</f>
        <v>0</v>
      </c>
      <c r="J39" s="103">
        <f t="shared" si="0"/>
        <v>0</v>
      </c>
      <c r="K39" s="104" t="s">
        <v>42</v>
      </c>
      <c r="L39" s="105"/>
      <c r="M39" s="105"/>
      <c r="N39" s="105">
        <f>ROUND($D$39*'Rider Rates'!$B$73,2)+ROUND($D$39*'Rider Rates'!$C$73,2)</f>
        <v>0</v>
      </c>
      <c r="O39" s="105">
        <f>SUM(L39:N39)</f>
        <v>0</v>
      </c>
      <c r="P39" s="245">
        <f>'Rider Rates'!$D$73</f>
        <v>44531</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80</v>
      </c>
      <c r="B40" s="78"/>
      <c r="C40" s="78"/>
      <c r="D40" s="195">
        <f>$N$20</f>
        <v>10</v>
      </c>
      <c r="E40" s="101" t="s">
        <v>121</v>
      </c>
      <c r="F40" s="102" t="s">
        <v>8</v>
      </c>
      <c r="G40" s="111"/>
      <c r="H40" s="112"/>
      <c r="I40" s="120">
        <f>'Rider Rates'!$B$89</f>
        <v>4.94232E-2</v>
      </c>
      <c r="J40" s="120">
        <f t="shared" si="0"/>
        <v>4.94232E-2</v>
      </c>
      <c r="K40" s="104"/>
      <c r="L40" s="105"/>
      <c r="M40" s="105"/>
      <c r="N40" s="105">
        <f>ROUND(D40*I40,2)</f>
        <v>0.49</v>
      </c>
      <c r="O40" s="105">
        <f>SUM(L40:N40)</f>
        <v>0.49</v>
      </c>
      <c r="P40" s="245">
        <f>'Rider Rates'!$D$89</f>
        <v>45562</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81</v>
      </c>
      <c r="B41" s="78"/>
      <c r="C41" s="78"/>
      <c r="D41" s="195">
        <f>$N$20</f>
        <v>10</v>
      </c>
      <c r="E41" s="101" t="s">
        <v>121</v>
      </c>
      <c r="F41" s="102" t="s">
        <v>8</v>
      </c>
      <c r="G41" s="114"/>
      <c r="H41" s="115"/>
      <c r="I41" s="120">
        <f>'Rider Rates'!$B$91</f>
        <v>6.6985699999999995E-2</v>
      </c>
      <c r="J41" s="120">
        <f t="shared" si="0"/>
        <v>6.6985699999999995E-2</v>
      </c>
      <c r="K41" s="104"/>
      <c r="L41" s="105"/>
      <c r="M41" s="105"/>
      <c r="N41" s="105">
        <f>ROUND(D41*I41,2)</f>
        <v>0.67</v>
      </c>
      <c r="O41" s="105">
        <f>SUM(L41:N41)</f>
        <v>0.67</v>
      </c>
      <c r="P41" s="245">
        <f>'Rider Rates'!$D$91</f>
        <v>45167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214</v>
      </c>
      <c r="B42" s="78"/>
      <c r="C42" s="78"/>
      <c r="D42" s="195"/>
      <c r="E42" s="113" t="s">
        <v>114</v>
      </c>
      <c r="F42" s="106"/>
      <c r="G42" s="114"/>
      <c r="H42" s="115"/>
      <c r="I42" s="196">
        <f>'Rider Rates'!$B$94</f>
        <v>2.0299999999999998</v>
      </c>
      <c r="J42" s="196">
        <f t="shared" si="0"/>
        <v>2.0299999999999998</v>
      </c>
      <c r="K42" s="104"/>
      <c r="L42" s="105"/>
      <c r="M42" s="105"/>
      <c r="N42" s="105">
        <f>I42</f>
        <v>2.0299999999999998</v>
      </c>
      <c r="O42" s="105">
        <f>SUM(L42:N42)</f>
        <v>2.0299999999999998</v>
      </c>
      <c r="P42" s="245">
        <f>'Rider Rates'!$D$94</f>
        <v>45562</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247</v>
      </c>
      <c r="B43" s="78"/>
      <c r="C43" s="78"/>
      <c r="D43" s="100">
        <f>IF($C$14&lt;0,0,$C$14)</f>
        <v>0</v>
      </c>
      <c r="E43" s="101" t="s">
        <v>41</v>
      </c>
      <c r="F43" s="102" t="s">
        <v>8</v>
      </c>
      <c r="G43" s="103"/>
      <c r="H43" s="103"/>
      <c r="I43" s="103"/>
      <c r="J43" s="103">
        <f>'Rider Rates'!$B$98</f>
        <v>0</v>
      </c>
      <c r="K43" s="104" t="s">
        <v>42</v>
      </c>
      <c r="L43" s="105"/>
      <c r="M43" s="105"/>
      <c r="N43" s="105"/>
      <c r="O43" s="105">
        <f>ROUND($D43*('Rider Rates'!B$98),2)</f>
        <v>0</v>
      </c>
      <c r="P43" s="245">
        <f>'Rider Rates'!$D$98</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156</v>
      </c>
      <c r="B44" s="78"/>
      <c r="C44" s="78"/>
      <c r="D44" s="195">
        <f>$N$20</f>
        <v>10</v>
      </c>
      <c r="E44" s="101" t="s">
        <v>121</v>
      </c>
      <c r="F44" s="102" t="s">
        <v>8</v>
      </c>
      <c r="G44" s="114"/>
      <c r="H44" s="115"/>
      <c r="I44" s="120">
        <f>'Rider Rates'!$B$109</f>
        <v>0.211176</v>
      </c>
      <c r="J44" s="120">
        <f t="shared" si="0"/>
        <v>0.211176</v>
      </c>
      <c r="K44" s="104"/>
      <c r="L44" s="105"/>
      <c r="M44" s="105"/>
      <c r="N44" s="105">
        <f>ROUND(D44*I44,2)</f>
        <v>2.11</v>
      </c>
      <c r="O44" s="105">
        <f t="shared" ref="O44:O49" si="4">SUM(L44:N44)</f>
        <v>2.11</v>
      </c>
      <c r="P44" s="245">
        <f>'Rider Rates'!$D$109</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217</v>
      </c>
      <c r="B45" s="78"/>
      <c r="C45" s="78"/>
      <c r="D45" s="195"/>
      <c r="E45" s="113" t="s">
        <v>114</v>
      </c>
      <c r="F45" s="106"/>
      <c r="G45" s="114"/>
      <c r="H45" s="115"/>
      <c r="I45" s="196">
        <f>'Rider Rates'!$B$112</f>
        <v>0</v>
      </c>
      <c r="J45" s="196">
        <f t="shared" si="0"/>
        <v>0</v>
      </c>
      <c r="K45" s="104"/>
      <c r="L45" s="105"/>
      <c r="M45" s="105"/>
      <c r="N45" s="105">
        <f>I45</f>
        <v>0</v>
      </c>
      <c r="O45" s="105">
        <f t="shared" si="4"/>
        <v>0</v>
      </c>
      <c r="P45" s="245">
        <f>'Rider Rates'!$D$112</f>
        <v>44894</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10" t="s">
        <v>225</v>
      </c>
      <c r="B46" s="78"/>
      <c r="C46" s="78"/>
      <c r="D46" s="195"/>
      <c r="E46" s="113" t="s">
        <v>114</v>
      </c>
      <c r="F46" s="106"/>
      <c r="G46" s="114"/>
      <c r="H46" s="115"/>
      <c r="I46" s="258">
        <f>'Rider Rates'!B125</f>
        <v>0.97</v>
      </c>
      <c r="J46" s="196">
        <f t="shared" si="0"/>
        <v>0.97</v>
      </c>
      <c r="K46" s="104"/>
      <c r="L46" s="105"/>
      <c r="M46" s="105"/>
      <c r="N46" s="260">
        <f>I46</f>
        <v>0.97</v>
      </c>
      <c r="O46" s="105">
        <f t="shared" si="4"/>
        <v>0.97</v>
      </c>
      <c r="P46" s="245">
        <f>'Rider Rates'!D125</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157</v>
      </c>
      <c r="B47" s="78"/>
      <c r="C47" s="78"/>
      <c r="D47" s="100">
        <f>'Customer Info'!$B$22+'Customer Info'!$B$23-'Customer Info'!$B$24</f>
        <v>0</v>
      </c>
      <c r="E47" s="101" t="s">
        <v>41</v>
      </c>
      <c r="F47" s="102" t="s">
        <v>8</v>
      </c>
      <c r="G47" s="103">
        <f>'Rider Rates'!$B$116</f>
        <v>3.8972999999999998E-3</v>
      </c>
      <c r="H47" s="103"/>
      <c r="I47" s="120"/>
      <c r="J47" s="237">
        <f>SUM(G47:H47)</f>
        <v>3.8972999999999998E-3</v>
      </c>
      <c r="K47" s="104" t="s">
        <v>42</v>
      </c>
      <c r="L47" s="105">
        <f>ROUND(D47*G47,2)</f>
        <v>0</v>
      </c>
      <c r="M47" s="105"/>
      <c r="N47" s="105"/>
      <c r="O47" s="105">
        <f t="shared" si="4"/>
        <v>0</v>
      </c>
      <c r="P47" s="245">
        <f>'Rider Rates'!$D$116</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216</v>
      </c>
      <c r="B48" s="78"/>
      <c r="C48" s="78"/>
      <c r="D48" s="100">
        <f>IF($C$14&lt;1,0,$C$14)</f>
        <v>0</v>
      </c>
      <c r="E48" s="101" t="s">
        <v>41</v>
      </c>
      <c r="F48" s="249" t="s">
        <v>8</v>
      </c>
      <c r="G48" s="103"/>
      <c r="H48" s="103"/>
      <c r="I48" s="237">
        <f>'Rider Rates'!$B$121</f>
        <v>-2.3000000000000001E-4</v>
      </c>
      <c r="J48" s="237">
        <f>SUM(G48:I48)</f>
        <v>-2.3000000000000001E-4</v>
      </c>
      <c r="K48" s="104" t="s">
        <v>42</v>
      </c>
      <c r="L48" s="105"/>
      <c r="M48" s="105"/>
      <c r="N48" s="105">
        <f>D48*J48</f>
        <v>0</v>
      </c>
      <c r="O48" s="105">
        <f t="shared" si="4"/>
        <v>0</v>
      </c>
      <c r="P48" s="245">
        <f>'Rider Rates'!D121</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41" t="s">
        <v>238</v>
      </c>
      <c r="B49" s="78"/>
      <c r="C49" s="78"/>
      <c r="D49" s="100"/>
      <c r="E49" s="101" t="s">
        <v>114</v>
      </c>
      <c r="F49" s="102" t="s">
        <v>8</v>
      </c>
      <c r="G49" s="263"/>
      <c r="H49" s="263"/>
      <c r="I49" s="263">
        <f>'Rider Rates'!$B$129</f>
        <v>0.1</v>
      </c>
      <c r="J49" s="263">
        <f>SUM(G49:I49)</f>
        <v>0.1</v>
      </c>
      <c r="K49" s="104"/>
      <c r="L49" s="209"/>
      <c r="M49" s="209"/>
      <c r="N49" s="209">
        <f>J49</f>
        <v>0.1</v>
      </c>
      <c r="O49" s="209">
        <f t="shared" si="4"/>
        <v>0.1</v>
      </c>
      <c r="P49" s="264">
        <f>'Rider Rates'!$E$129</f>
        <v>44927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41" t="s">
        <v>250</v>
      </c>
      <c r="B50" s="78"/>
      <c r="C50" s="78"/>
      <c r="D50" s="100">
        <f>C14</f>
        <v>0</v>
      </c>
      <c r="E50" s="101" t="s">
        <v>41</v>
      </c>
      <c r="F50" s="249" t="s">
        <v>8</v>
      </c>
      <c r="G50" s="103"/>
      <c r="H50" s="103"/>
      <c r="I50" s="103">
        <f>'Rider Rates'!$B$134</f>
        <v>0</v>
      </c>
      <c r="J50" s="237">
        <f>SUM(G50:I50)</f>
        <v>0</v>
      </c>
      <c r="K50" s="104" t="s">
        <v>42</v>
      </c>
      <c r="L50" s="105"/>
      <c r="M50" s="105"/>
      <c r="N50" s="105">
        <f>D50*J50</f>
        <v>0</v>
      </c>
      <c r="O50" s="105">
        <f>SUM(L50:N50)</f>
        <v>0</v>
      </c>
      <c r="P50" s="245">
        <f>'Rider Rates'!D134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241" t="s">
        <v>249</v>
      </c>
      <c r="B51" s="78"/>
      <c r="C51" s="78"/>
      <c r="D51" s="100"/>
      <c r="E51" s="101" t="s">
        <v>114</v>
      </c>
      <c r="F51" s="102" t="s">
        <v>8</v>
      </c>
      <c r="G51" s="263"/>
      <c r="H51" s="263"/>
      <c r="I51" s="263">
        <f>'Rider Rates'!$B$141</f>
        <v>0</v>
      </c>
      <c r="J51" s="263">
        <f>SUM(G51:I51)</f>
        <v>0</v>
      </c>
      <c r="K51" s="104"/>
      <c r="L51" s="209"/>
      <c r="M51" s="209"/>
      <c r="N51" s="209">
        <f>J51</f>
        <v>0</v>
      </c>
      <c r="O51" s="209">
        <f>SUM(L51:N51)</f>
        <v>0</v>
      </c>
      <c r="P51" s="264">
        <f>'Rider Rates'!$D$137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251</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179" t="s">
        <v>70</v>
      </c>
      <c r="B53" s="148"/>
      <c r="C53" s="148"/>
      <c r="D53" s="180"/>
      <c r="E53" s="181"/>
      <c r="F53" s="182"/>
      <c r="G53" s="182"/>
      <c r="H53" s="182"/>
      <c r="I53" s="182"/>
      <c r="J53" s="182"/>
      <c r="K53" s="183"/>
      <c r="L53" s="169">
        <f>SUM(L24:L52)</f>
        <v>0</v>
      </c>
      <c r="M53" s="169">
        <f>SUM(M24:M52)</f>
        <v>0</v>
      </c>
      <c r="N53" s="169">
        <f>SUM(N24:N52)</f>
        <v>7.7599999999999989</v>
      </c>
      <c r="O53" s="169">
        <f>SUM(O24:O52)</f>
        <v>7.7599999999999989</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78"/>
      <c r="B54" s="78"/>
      <c r="C54" s="78"/>
      <c r="D54" s="100"/>
      <c r="E54" s="113"/>
      <c r="F54" s="106"/>
      <c r="G54" s="106"/>
      <c r="H54" s="106"/>
      <c r="I54" s="106"/>
      <c r="J54" s="107"/>
      <c r="K54" s="104"/>
      <c r="L54" s="106"/>
      <c r="M54" s="106"/>
      <c r="N54" s="106"/>
      <c r="O54" s="106"/>
      <c r="P54" s="164"/>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170"/>
      <c r="B55" s="170"/>
      <c r="C55" s="170"/>
      <c r="D55" s="170"/>
      <c r="E55" s="170"/>
      <c r="F55" s="170"/>
      <c r="G55" s="170"/>
      <c r="H55" s="170"/>
      <c r="I55" s="170"/>
      <c r="J55" s="170"/>
      <c r="K55" s="170"/>
      <c r="L55" s="186">
        <f>L20+L53</f>
        <v>0</v>
      </c>
      <c r="M55" s="186">
        <f>M20+M53</f>
        <v>0</v>
      </c>
      <c r="N55" s="186">
        <f>N20+N53</f>
        <v>17.759999999999998</v>
      </c>
      <c r="O55" s="187">
        <f>O20+O53</f>
        <v>17.759999999999998</v>
      </c>
      <c r="P55" s="187"/>
      <c r="Q55" s="10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78"/>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166" t="s">
        <v>92</v>
      </c>
      <c r="B57" s="78"/>
      <c r="C57" s="78"/>
      <c r="D57" s="78"/>
      <c r="E57" s="78"/>
      <c r="F57" s="78"/>
      <c r="G57" s="78"/>
      <c r="H57" s="78"/>
      <c r="I57" s="78"/>
      <c r="J57" s="78"/>
      <c r="K57" s="78"/>
      <c r="L57" s="78"/>
      <c r="M57" s="78"/>
      <c r="N57" s="78"/>
      <c r="O57" s="109">
        <f>IF($C$14&lt;=0,MIN(O18,O55), O18)</f>
        <v>10</v>
      </c>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78"/>
      <c r="B58" s="166"/>
      <c r="C58" s="166"/>
      <c r="D58" s="166"/>
      <c r="E58" s="166"/>
      <c r="F58" s="166"/>
      <c r="G58" s="166"/>
      <c r="H58" s="166"/>
      <c r="I58" s="78"/>
      <c r="J58" s="78"/>
      <c r="K58" s="78"/>
      <c r="L58" s="78"/>
      <c r="M58" s="78"/>
      <c r="N58" s="151"/>
      <c r="O58" s="151"/>
      <c r="P58" s="151"/>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148" t="s">
        <v>116</v>
      </c>
      <c r="B59" s="151"/>
      <c r="C59" s="151"/>
      <c r="D59" s="151"/>
      <c r="E59" s="151"/>
      <c r="F59" s="151"/>
      <c r="G59" s="151"/>
      <c r="H59" s="151"/>
      <c r="I59" s="151"/>
      <c r="J59" s="151"/>
      <c r="K59" s="151"/>
      <c r="L59" s="151"/>
      <c r="M59" s="151"/>
      <c r="N59" s="151"/>
      <c r="O59" s="190">
        <f>IF($C$14&lt;0,O55,IF(O55&gt;O57,O55,I54))</f>
        <v>17.759999999999998</v>
      </c>
      <c r="P59" s="160"/>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78"/>
      <c r="B60" s="151"/>
      <c r="C60" s="151"/>
      <c r="D60" s="151"/>
      <c r="E60" s="151"/>
      <c r="F60" s="151"/>
      <c r="G60" s="151"/>
      <c r="H60" s="151"/>
      <c r="I60" s="151"/>
      <c r="J60" s="151"/>
      <c r="K60" s="151"/>
      <c r="L60" s="151"/>
      <c r="M60" s="151"/>
      <c r="N60" s="151"/>
      <c r="O60" s="138"/>
      <c r="P60" s="160"/>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78"/>
      <c r="B61" s="166"/>
      <c r="C61" s="166"/>
      <c r="D61" s="166"/>
      <c r="E61" s="166"/>
      <c r="F61" s="166"/>
      <c r="G61" s="166"/>
      <c r="H61" s="166"/>
      <c r="I61" s="166" t="s">
        <v>120</v>
      </c>
      <c r="J61" s="166"/>
      <c r="K61" s="166"/>
      <c r="L61" s="191"/>
      <c r="M61" s="191"/>
      <c r="N61" s="191"/>
      <c r="O61" s="191">
        <f>ROUND(IF($C$14&lt;1,0,O55/($C$14*100)*10000),2)</f>
        <v>0</v>
      </c>
      <c r="P61" s="37" t="s">
        <v>86</v>
      </c>
      <c r="Q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row>
    <row r="62" spans="1:236" x14ac:dyDescent="0.25">
      <c r="A62" s="78"/>
      <c r="B62" s="78"/>
      <c r="C62" s="78"/>
      <c r="D62" s="78"/>
      <c r="E62" s="78"/>
      <c r="F62" s="78"/>
      <c r="G62" s="78"/>
      <c r="H62" s="192"/>
      <c r="I62" s="242" t="s">
        <v>198</v>
      </c>
      <c r="J62" s="78"/>
      <c r="K62" s="78"/>
      <c r="L62" s="78"/>
      <c r="M62" s="78"/>
      <c r="N62" s="78"/>
      <c r="O62" s="243">
        <f>ROUND(IF($C$14&lt;1,0,(L55)/($C$14*100)*10000),2)</f>
        <v>0</v>
      </c>
      <c r="P62" s="25" t="s">
        <v>86</v>
      </c>
      <c r="Q62" s="78"/>
      <c r="AE62" s="78"/>
      <c r="AF62" s="78"/>
      <c r="AG62" s="78"/>
      <c r="AH62" s="78"/>
      <c r="AI62" s="78"/>
      <c r="AJ62" s="78"/>
      <c r="AK62" s="78"/>
      <c r="AL62" s="78"/>
      <c r="AM62" s="78"/>
      <c r="AN62" s="78"/>
      <c r="AO62" s="78"/>
      <c r="AP62" s="78"/>
      <c r="AQ62" s="78"/>
      <c r="AR62" s="78"/>
      <c r="AS62" s="78"/>
      <c r="AT62" s="78"/>
      <c r="HE62" s="78"/>
      <c r="HF62" s="78"/>
      <c r="HG62" s="78"/>
      <c r="HH62" s="78"/>
      <c r="HI62" s="78"/>
      <c r="HJ62" s="78"/>
      <c r="HK62" s="78"/>
      <c r="HL62" s="78"/>
      <c r="HM62" s="78"/>
      <c r="HN62" s="78"/>
    </row>
    <row r="63" spans="1:236" x14ac:dyDescent="0.25">
      <c r="A63" s="78"/>
    </row>
    <row r="64" spans="1:236" x14ac:dyDescent="0.25">
      <c r="A64" s="78"/>
    </row>
    <row r="65" spans="1:1" x14ac:dyDescent="0.25">
      <c r="A65" s="78"/>
    </row>
    <row r="66" spans="1:1" x14ac:dyDescent="0.25">
      <c r="A66" s="78"/>
    </row>
    <row r="67" spans="1:1" x14ac:dyDescent="0.25">
      <c r="A67" s="78"/>
    </row>
    <row r="68" spans="1:1" x14ac:dyDescent="0.25">
      <c r="A68" s="78"/>
    </row>
  </sheetData>
  <sheetProtection algorithmName="SHA-512" hashValue="ztcpvsoNHNwFNURuVG37PuTlnZa9N/Xk30Hk5MSnaoLlyAPDgGetN5CkomdCUIgQ7nEuG5NihRoSc9C0O7bRqA==" saltValue="wsoC8BZc4VyVsLilLn8+Ww==" spinCount="100000" sheet="1" objects="1" scenarios="1"/>
  <mergeCells count="9">
    <mergeCell ref="A11:I11"/>
    <mergeCell ref="G16:J16"/>
    <mergeCell ref="L16:O16"/>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Button 1">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6978" r:id="rId5" name="Button 2">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6979"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IB67"/>
  <sheetViews>
    <sheetView showGridLines="0" topLeftCell="A13" zoomScale="80" zoomScaleNormal="80" workbookViewId="0">
      <selection activeCell="A37" sqref="A37:XFD37"/>
    </sheetView>
  </sheetViews>
  <sheetFormatPr defaultRowHeight="13.2" x14ac:dyDescent="0.25"/>
  <cols>
    <col min="1" max="1" width="39" customWidth="1"/>
    <col min="2" max="2" width="2.109375" customWidth="1"/>
    <col min="3" max="3" width="13" customWidth="1"/>
    <col min="4" max="4" width="15.44140625" customWidth="1"/>
    <col min="5" max="5" width="10.44140625" customWidth="1"/>
    <col min="6" max="6" width="5.5546875" customWidth="1"/>
    <col min="7" max="8" width="13.44140625" customWidth="1"/>
    <col min="9" max="9" width="14.5546875" customWidth="1"/>
    <col min="10" max="10" width="13.44140625" customWidth="1"/>
    <col min="11" max="11" width="5.5546875" bestFit="1" customWidth="1"/>
    <col min="12" max="12" width="15.109375" customWidth="1"/>
    <col min="13" max="13" width="17.44140625" bestFit="1" customWidth="1"/>
    <col min="14" max="14" width="17.5546875" customWidth="1"/>
    <col min="15" max="15" width="18.5546875" customWidth="1"/>
    <col min="16" max="16" width="15" customWidth="1"/>
    <col min="17" max="17" width="12.88671875" bestFit="1" customWidth="1"/>
    <col min="18" max="18" width="10.5546875"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c r="Q1" s="203"/>
    </row>
    <row r="2" spans="1:30" ht="21" x14ac:dyDescent="0.4">
      <c r="A2" s="568" t="s">
        <v>253</v>
      </c>
      <c r="B2" s="568"/>
      <c r="C2" s="568"/>
      <c r="D2" s="568"/>
      <c r="E2" s="568"/>
      <c r="F2" s="568"/>
      <c r="G2" s="568"/>
      <c r="H2" s="568"/>
      <c r="I2" s="568"/>
      <c r="J2" s="568"/>
      <c r="K2" s="568"/>
      <c r="L2" s="568"/>
      <c r="M2" s="568"/>
      <c r="N2" s="568"/>
      <c r="O2" s="568"/>
      <c r="P2" s="568"/>
      <c r="Q2" s="197"/>
    </row>
    <row r="3" spans="1:30" ht="17.399999999999999" x14ac:dyDescent="0.3">
      <c r="A3" s="553" t="s">
        <v>94</v>
      </c>
      <c r="B3" s="553"/>
      <c r="C3" s="553"/>
      <c r="D3" s="553"/>
      <c r="E3" s="553"/>
      <c r="F3" s="553"/>
      <c r="G3" s="553"/>
      <c r="H3" s="553"/>
      <c r="I3" s="553"/>
      <c r="J3" s="553"/>
      <c r="K3" s="553"/>
      <c r="L3" s="553"/>
      <c r="M3" s="553"/>
      <c r="N3" s="553"/>
      <c r="O3" s="553"/>
      <c r="P3" s="553"/>
      <c r="Q3" s="198"/>
    </row>
    <row r="4" spans="1:30" ht="15.6" x14ac:dyDescent="0.3">
      <c r="A4" s="553"/>
      <c r="B4" s="553"/>
      <c r="C4" s="553"/>
      <c r="D4" s="553"/>
      <c r="E4" s="553"/>
      <c r="F4" s="553"/>
      <c r="G4" s="553"/>
      <c r="H4" s="553"/>
      <c r="I4" s="553"/>
      <c r="J4" s="553"/>
      <c r="K4" s="553"/>
      <c r="L4" s="553"/>
      <c r="M4" s="553"/>
      <c r="N4" s="553"/>
      <c r="O4" s="553"/>
      <c r="P4" s="553"/>
      <c r="Q4" s="199"/>
    </row>
    <row r="5" spans="1:30" x14ac:dyDescent="0.25">
      <c r="A5" s="76">
        <f ca="1">TODAY()</f>
        <v>45588</v>
      </c>
      <c r="B5" s="560" t="s">
        <v>255</v>
      </c>
      <c r="C5" s="560"/>
      <c r="D5" s="560"/>
      <c r="E5" s="560"/>
      <c r="F5" s="560"/>
      <c r="G5" s="560"/>
      <c r="H5" s="560"/>
      <c r="I5" s="560"/>
      <c r="J5" s="560"/>
      <c r="K5" s="560"/>
      <c r="L5" s="560"/>
      <c r="M5" s="560"/>
      <c r="N5" s="560"/>
      <c r="O5" s="560"/>
    </row>
    <row r="6" spans="1:30" x14ac:dyDescent="0.25">
      <c r="A6" s="551" t="s">
        <v>15</v>
      </c>
      <c r="B6" s="551"/>
      <c r="C6" s="551"/>
      <c r="D6" s="551"/>
      <c r="E6" s="551"/>
      <c r="F6" s="551"/>
      <c r="G6" s="551"/>
      <c r="H6" s="551"/>
      <c r="I6" s="551"/>
      <c r="J6" s="551"/>
      <c r="K6" s="551"/>
    </row>
    <row r="7" spans="1:30" x14ac:dyDescent="0.25">
      <c r="C7" s="18"/>
      <c r="D7" s="18"/>
      <c r="E7" s="18"/>
      <c r="F7" s="18"/>
      <c r="G7" s="18"/>
      <c r="H7" s="18"/>
      <c r="I7" s="18"/>
      <c r="J7" s="18"/>
      <c r="K7" s="18"/>
    </row>
    <row r="8" spans="1:30" ht="15" x14ac:dyDescent="0.25">
      <c r="A8" s="23" t="s">
        <v>2</v>
      </c>
      <c r="B8" s="24"/>
      <c r="C8" s="25">
        <f>'Customer Info'!B7</f>
        <v>0</v>
      </c>
      <c r="I8" s="26"/>
    </row>
    <row r="9" spans="1:30" ht="15" x14ac:dyDescent="0.25">
      <c r="A9" s="27" t="s">
        <v>26</v>
      </c>
      <c r="B9" s="24"/>
      <c r="C9" s="25">
        <f>'Customer Info'!B8</f>
        <v>0</v>
      </c>
    </row>
    <row r="10" spans="1:30" x14ac:dyDescent="0.25">
      <c r="A10" s="23" t="s">
        <v>3</v>
      </c>
      <c r="B10" s="200">
        <f>'Customer Info'!B9</f>
        <v>11</v>
      </c>
      <c r="C10" s="194" t="str">
        <f>LOOKUP(B10,S11:AD11,S12:AD12)</f>
        <v>November</v>
      </c>
      <c r="D10" s="133">
        <f>'Customer Info'!C9</f>
        <v>2024</v>
      </c>
    </row>
    <row r="11" spans="1:30" x14ac:dyDescent="0.25">
      <c r="A11" s="562"/>
      <c r="B11" s="562"/>
      <c r="C11" s="562"/>
      <c r="D11" s="562"/>
      <c r="E11" s="562"/>
      <c r="F11" s="562"/>
      <c r="G11" s="562"/>
      <c r="H11" s="562"/>
      <c r="I11" s="562"/>
      <c r="J11" s="94"/>
      <c r="K11" s="94"/>
      <c r="L11" s="94"/>
      <c r="M11" s="94"/>
      <c r="N11" s="94"/>
      <c r="O11" s="94"/>
      <c r="P11" s="94"/>
      <c r="S11">
        <v>1</v>
      </c>
      <c r="T11">
        <v>2</v>
      </c>
      <c r="U11">
        <v>3</v>
      </c>
      <c r="V11">
        <v>4</v>
      </c>
      <c r="W11">
        <v>5</v>
      </c>
      <c r="X11">
        <v>6</v>
      </c>
      <c r="Y11">
        <v>7</v>
      </c>
      <c r="Z11">
        <v>8</v>
      </c>
      <c r="AA11">
        <v>9</v>
      </c>
      <c r="AB11">
        <v>10</v>
      </c>
      <c r="AC11">
        <v>11</v>
      </c>
      <c r="AD11">
        <v>12</v>
      </c>
    </row>
    <row r="12" spans="1:30" x14ac:dyDescent="0.25">
      <c r="A12" s="97" t="s">
        <v>27</v>
      </c>
      <c r="B12" s="18"/>
      <c r="C12" s="18"/>
      <c r="D12" s="18"/>
      <c r="E12" s="18"/>
      <c r="F12" s="18"/>
      <c r="G12" s="18"/>
      <c r="H12" s="18"/>
      <c r="I12" s="1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18"/>
      <c r="B13" s="18"/>
      <c r="C13" s="18"/>
      <c r="D13" s="18"/>
      <c r="E13" s="18"/>
      <c r="F13" s="18"/>
      <c r="G13" s="18"/>
      <c r="H13" s="18"/>
      <c r="I13" s="18"/>
      <c r="R13" s="78" t="s">
        <v>117</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31" t="s">
        <v>43</v>
      </c>
      <c r="B14" s="31"/>
      <c r="C14" s="32">
        <f>IF('Customer Info'!B22+'Customer Info'!B23-'Customer Info'!B24&lt;0,0,'Customer Info'!B22+'Customer Info'!B23-'Customer Info'!B24)</f>
        <v>0</v>
      </c>
      <c r="D14" s="31" t="s">
        <v>41</v>
      </c>
      <c r="E14" s="31"/>
      <c r="F14" s="33"/>
      <c r="G14" s="31"/>
      <c r="H14" s="31"/>
      <c r="I14" s="31"/>
      <c r="R14" s="78" t="s">
        <v>118</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t="s">
        <v>84</v>
      </c>
      <c r="B15" s="31"/>
      <c r="C15" s="212">
        <f>MAX('Customer Info'!B19,'Customer Info'!B20)</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5">
      <c r="A16" s="31"/>
      <c r="B16" s="31"/>
      <c r="C16" s="33"/>
      <c r="D16" s="33"/>
      <c r="E16" s="33"/>
      <c r="F16" s="33"/>
      <c r="G16" s="23"/>
      <c r="H16" s="31"/>
      <c r="I16" s="31"/>
      <c r="R16" t="s">
        <v>165</v>
      </c>
      <c r="S16" s="222">
        <f>'Rider Rates'!$C$29</f>
        <v>4.4387999999999997E-3</v>
      </c>
      <c r="T16" s="222">
        <f>'Rider Rates'!$C$29</f>
        <v>4.4387999999999997E-3</v>
      </c>
      <c r="U16" s="222">
        <f>'Rider Rates'!$C$29</f>
        <v>4.4387999999999997E-3</v>
      </c>
      <c r="V16" s="222">
        <f>'Rider Rates'!$C$29</f>
        <v>4.4387999999999997E-3</v>
      </c>
      <c r="W16" s="222">
        <f>'Rider Rates'!$C$29</f>
        <v>4.4387999999999997E-3</v>
      </c>
      <c r="X16" s="222">
        <f>'Rider Rates'!$B$29</f>
        <v>4.4387999999999997E-3</v>
      </c>
      <c r="Y16" s="222">
        <f>'Rider Rates'!$B$29</f>
        <v>4.4387999999999997E-3</v>
      </c>
      <c r="Z16" s="222">
        <f>'Rider Rates'!$B$29</f>
        <v>4.4387999999999997E-3</v>
      </c>
      <c r="AA16" s="222">
        <f>'Rider Rates'!$B$29</f>
        <v>4.4387999999999997E-3</v>
      </c>
      <c r="AB16" s="222">
        <f>'Rider Rates'!$C$29</f>
        <v>4.4387999999999997E-3</v>
      </c>
      <c r="AC16" s="222">
        <f>'Rider Rates'!$C$29</f>
        <v>4.4387999999999997E-3</v>
      </c>
      <c r="AD16" s="222">
        <f>'Rider Rates'!$C$29</f>
        <v>4.4387999999999997E-3</v>
      </c>
    </row>
    <row r="17" spans="1:221" x14ac:dyDescent="0.25">
      <c r="A17" s="28" t="s">
        <v>124</v>
      </c>
      <c r="B17" s="22"/>
      <c r="C17" s="22"/>
      <c r="D17" s="22"/>
      <c r="E17" s="22"/>
      <c r="F17" s="22"/>
      <c r="G17" s="563" t="s">
        <v>67</v>
      </c>
      <c r="H17" s="564"/>
      <c r="I17" s="564"/>
      <c r="J17" s="565"/>
      <c r="K17" s="22"/>
      <c r="L17" s="566" t="s">
        <v>68</v>
      </c>
      <c r="M17" s="566"/>
      <c r="N17" s="566"/>
      <c r="O17" s="566"/>
      <c r="R17" t="s">
        <v>166</v>
      </c>
      <c r="S17" s="222">
        <f>'Rider Rates'!$C$30</f>
        <v>2.4020999999999999E-3</v>
      </c>
      <c r="T17" s="222">
        <f>'Rider Rates'!$C$30</f>
        <v>2.4020999999999999E-3</v>
      </c>
      <c r="U17" s="222">
        <f>'Rider Rates'!$C$30</f>
        <v>2.4020999999999999E-3</v>
      </c>
      <c r="V17" s="222">
        <f>'Rider Rates'!$C$30</f>
        <v>2.4020999999999999E-3</v>
      </c>
      <c r="W17" s="222">
        <f>'Rider Rates'!$C$30</f>
        <v>2.4020999999999999E-3</v>
      </c>
      <c r="X17" s="222">
        <f>'Rider Rates'!$B$30</f>
        <v>4.2166E-3</v>
      </c>
      <c r="Y17" s="222">
        <f>'Rider Rates'!$B$30</f>
        <v>4.2166E-3</v>
      </c>
      <c r="Z17" s="222">
        <f>'Rider Rates'!$B$30</f>
        <v>4.2166E-3</v>
      </c>
      <c r="AA17" s="222">
        <f>'Rider Rates'!$B$30</f>
        <v>4.2166E-3</v>
      </c>
      <c r="AB17" s="222">
        <f>'Rider Rates'!$C$30</f>
        <v>2.4020999999999999E-3</v>
      </c>
      <c r="AC17" s="222">
        <f>'Rider Rates'!$C$30</f>
        <v>2.4020999999999999E-3</v>
      </c>
      <c r="AD17" s="222">
        <f>'Rider Rates'!$C$30</f>
        <v>2.4020999999999999E-3</v>
      </c>
    </row>
    <row r="18" spans="1:221" x14ac:dyDescent="0.25">
      <c r="A18" s="18"/>
      <c r="B18" s="18"/>
      <c r="C18" s="18"/>
      <c r="D18" s="18"/>
      <c r="E18" s="18"/>
      <c r="F18" s="18"/>
      <c r="G18" s="8" t="s">
        <v>64</v>
      </c>
      <c r="H18" s="8" t="s">
        <v>65</v>
      </c>
      <c r="I18" s="8" t="s">
        <v>66</v>
      </c>
      <c r="J18" s="112" t="s">
        <v>34</v>
      </c>
      <c r="K18" s="18"/>
      <c r="L18" s="131" t="s">
        <v>64</v>
      </c>
      <c r="M18" s="131" t="s">
        <v>65</v>
      </c>
      <c r="N18" s="131" t="s">
        <v>66</v>
      </c>
      <c r="O18" s="132" t="s">
        <v>34</v>
      </c>
      <c r="P18" s="43" t="s">
        <v>56</v>
      </c>
      <c r="R18" t="s">
        <v>167</v>
      </c>
      <c r="S18" s="222">
        <f>'Rider Rates'!$C$31</f>
        <v>2.8092999999999998E-3</v>
      </c>
      <c r="T18" s="222">
        <f>'Rider Rates'!$C$31</f>
        <v>2.8092999999999998E-3</v>
      </c>
      <c r="U18" s="222">
        <f>'Rider Rates'!$C$31</f>
        <v>2.8092999999999998E-3</v>
      </c>
      <c r="V18" s="222">
        <f>'Rider Rates'!$C$31</f>
        <v>2.8092999999999998E-3</v>
      </c>
      <c r="W18" s="222">
        <f>'Rider Rates'!$C$31</f>
        <v>2.8092999999999998E-3</v>
      </c>
      <c r="X18" s="222">
        <f>'Rider Rates'!$B$31</f>
        <v>3.9453999999999999E-3</v>
      </c>
      <c r="Y18" s="222">
        <f>'Rider Rates'!$B$31</f>
        <v>3.9453999999999999E-3</v>
      </c>
      <c r="Z18" s="222">
        <f>'Rider Rates'!$B$31</f>
        <v>3.9453999999999999E-3</v>
      </c>
      <c r="AA18" s="222">
        <f>'Rider Rates'!$B$31</f>
        <v>3.9453999999999999E-3</v>
      </c>
      <c r="AB18" s="222">
        <f>'Rider Rates'!$C$31</f>
        <v>2.8092999999999998E-3</v>
      </c>
      <c r="AC18" s="222">
        <f>'Rider Rates'!$C$31</f>
        <v>2.8092999999999998E-3</v>
      </c>
      <c r="AD18" s="222">
        <f>'Rider Rates'!$C$31</f>
        <v>2.8092999999999998E-3</v>
      </c>
    </row>
    <row r="19" spans="1:221" x14ac:dyDescent="0.25">
      <c r="A19" t="s">
        <v>32</v>
      </c>
      <c r="G19" s="83"/>
      <c r="H19" s="83"/>
      <c r="I19" s="125">
        <v>10</v>
      </c>
      <c r="J19" s="125">
        <f>SUM(G19:I19)</f>
        <v>10</v>
      </c>
      <c r="L19" s="125"/>
      <c r="M19" s="125"/>
      <c r="N19" s="125">
        <f>I19</f>
        <v>10</v>
      </c>
      <c r="O19" s="125">
        <f>+SUM(L19:N19)</f>
        <v>10</v>
      </c>
      <c r="P19" s="245">
        <v>44531</v>
      </c>
      <c r="R19" s="3" t="s">
        <v>199</v>
      </c>
      <c r="S19">
        <f>'Rider Rates'!$C$21</f>
        <v>7.0209999999999995E-2</v>
      </c>
      <c r="T19">
        <f>'Rider Rates'!$C$21</f>
        <v>7.0209999999999995E-2</v>
      </c>
      <c r="U19">
        <f>'Rider Rates'!$C$21</f>
        <v>7.0209999999999995E-2</v>
      </c>
      <c r="V19">
        <f>'Rider Rates'!$C$21</f>
        <v>7.0209999999999995E-2</v>
      </c>
      <c r="W19">
        <f>'Rider Rates'!$C$21</f>
        <v>7.0209999999999995E-2</v>
      </c>
      <c r="X19">
        <f>'Rider Rates'!$B$21</f>
        <v>7.0209999999999995E-2</v>
      </c>
      <c r="Y19">
        <f>'Rider Rates'!$B$21</f>
        <v>7.0209999999999995E-2</v>
      </c>
      <c r="Z19">
        <f>'Rider Rates'!$B$21</f>
        <v>7.0209999999999995E-2</v>
      </c>
      <c r="AA19">
        <f>'Rider Rates'!$B$21</f>
        <v>7.0209999999999995E-2</v>
      </c>
      <c r="AB19">
        <f>'Rider Rates'!$C$21</f>
        <v>7.0209999999999995E-2</v>
      </c>
      <c r="AC19">
        <f>'Rider Rates'!$C$21</f>
        <v>7.0209999999999995E-2</v>
      </c>
      <c r="AD19">
        <f>'Rider Rates'!$C$21</f>
        <v>7.0209999999999995E-2</v>
      </c>
    </row>
    <row r="20" spans="1:221" x14ac:dyDescent="0.25">
      <c r="A20" s="18" t="s">
        <v>254</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v>44531</v>
      </c>
      <c r="R20" s="3"/>
    </row>
    <row r="21" spans="1:221" x14ac:dyDescent="0.25">
      <c r="A21" s="96" t="s">
        <v>74</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5">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69</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78</v>
      </c>
      <c r="B25" s="176"/>
      <c r="C25" s="176"/>
      <c r="D25" s="100">
        <f>IF($C$14&lt;0,0,IF($C$14&gt;833000,833000,$C$14))</f>
        <v>0</v>
      </c>
      <c r="E25" s="101" t="s">
        <v>41</v>
      </c>
      <c r="F25" s="102" t="s">
        <v>8</v>
      </c>
      <c r="G25" s="103"/>
      <c r="H25" s="103"/>
      <c r="I25" s="103">
        <f>'Rider Rates'!$B$4</f>
        <v>5.9216E-3</v>
      </c>
      <c r="J25" s="201">
        <f t="shared" ref="J25:J45" si="0">SUM(G25:I25)</f>
        <v>5.9216E-3</v>
      </c>
      <c r="K25" s="104" t="s">
        <v>42</v>
      </c>
      <c r="L25" s="105"/>
      <c r="M25" s="105"/>
      <c r="N25" s="105">
        <f t="shared" ref="N25:N30" si="1">ROUND(D25*I25,2)</f>
        <v>0</v>
      </c>
      <c r="O25" s="105">
        <f>SUM(L25:N25)</f>
        <v>0</v>
      </c>
      <c r="P25" s="245">
        <f>'Rider Rates'!$D$4</f>
        <v>45293</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79</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SUM(L26:N26)</f>
        <v>0</v>
      </c>
      <c r="P26" s="245">
        <f>'Rider Rates'!$D$4</f>
        <v>45293</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96</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SUM(L27:N27)</f>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97</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SUM(L28:N28)</f>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98</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SUM(L29:N29)</f>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210" t="s">
        <v>159</v>
      </c>
      <c r="B30" s="78"/>
      <c r="C30" s="78"/>
      <c r="D30" s="100">
        <f>IF($C$14&lt;0,0,$C$14)</f>
        <v>0</v>
      </c>
      <c r="E30" s="101" t="s">
        <v>41</v>
      </c>
      <c r="F30" s="102" t="s">
        <v>8</v>
      </c>
      <c r="G30" s="103"/>
      <c r="H30" s="103"/>
      <c r="I30" s="103">
        <f>'Rider Rates'!B15</f>
        <v>0</v>
      </c>
      <c r="J30" s="103">
        <f>SUM(G30:I30)</f>
        <v>0</v>
      </c>
      <c r="K30" s="104" t="s">
        <v>42</v>
      </c>
      <c r="L30" s="105"/>
      <c r="M30" s="105"/>
      <c r="N30" s="105">
        <f t="shared" si="1"/>
        <v>0</v>
      </c>
      <c r="O30" s="105">
        <f t="shared" ref="O30:O36" si="2">SUM(L30:N30)</f>
        <v>0</v>
      </c>
      <c r="P30" s="245">
        <f>'Rider Rates'!$D$15</f>
        <v>45505</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41" t="s">
        <v>245</v>
      </c>
      <c r="B31" s="78"/>
      <c r="C31" s="78"/>
      <c r="D31" s="195">
        <f>$N$21</f>
        <v>10</v>
      </c>
      <c r="E31" s="101" t="s">
        <v>121</v>
      </c>
      <c r="F31" s="102" t="s">
        <v>8</v>
      </c>
      <c r="G31" s="103"/>
      <c r="H31" s="103"/>
      <c r="I31" s="178">
        <f>'Rider Rates'!$B$18</f>
        <v>0</v>
      </c>
      <c r="J31" s="178">
        <f>SUM(G31:I31)</f>
        <v>0</v>
      </c>
      <c r="K31" s="104"/>
      <c r="L31" s="105"/>
      <c r="M31" s="105"/>
      <c r="N31" s="105">
        <f>ROUND($D$31*'Rider Rates'!$B$18,2)+ROUND($D$31*'Rider Rates'!$E$18,2)</f>
        <v>0</v>
      </c>
      <c r="O31" s="105">
        <f t="shared" si="2"/>
        <v>0</v>
      </c>
      <c r="P31" s="245">
        <f>MAX('Rider Rates'!$D$18,'Rider Rates'!$F$18)</f>
        <v>44531</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200</v>
      </c>
      <c r="B32" s="78"/>
      <c r="C32" s="78"/>
      <c r="D32" s="100">
        <f>'Customer Info'!$B$22+'Customer Info'!$B$23-'Customer Info'!$B$24</f>
        <v>0</v>
      </c>
      <c r="E32" s="101" t="s">
        <v>41</v>
      </c>
      <c r="F32" s="102" t="s">
        <v>8</v>
      </c>
      <c r="G32" s="103">
        <f>'Rider Rates'!B21</f>
        <v>7.0209999999999995E-2</v>
      </c>
      <c r="H32" s="103"/>
      <c r="I32" s="103"/>
      <c r="J32" s="237">
        <f>SUM(G32:H32)</f>
        <v>7.0209999999999995E-2</v>
      </c>
      <c r="K32" s="104" t="s">
        <v>42</v>
      </c>
      <c r="L32" s="105">
        <f>ROUND(D32*G32,2)</f>
        <v>0</v>
      </c>
      <c r="M32" s="105"/>
      <c r="N32" s="105"/>
      <c r="O32" s="105">
        <f t="shared" si="2"/>
        <v>0</v>
      </c>
      <c r="P32" s="245">
        <f>'Rider Rates'!$D$29</f>
        <v>45444</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41" t="s">
        <v>161</v>
      </c>
      <c r="B33" s="78"/>
      <c r="C33" s="78"/>
      <c r="D33" s="100">
        <f>'Customer Info'!$B$22+'Customer Info'!$B$23-'Customer Info'!$B$24</f>
        <v>0</v>
      </c>
      <c r="E33" s="101" t="s">
        <v>41</v>
      </c>
      <c r="F33" s="102" t="s">
        <v>8</v>
      </c>
      <c r="G33" s="103">
        <f>'Rider Rates'!$B$28</f>
        <v>3.2000000000000002E-3</v>
      </c>
      <c r="H33" s="103"/>
      <c r="I33" s="103"/>
      <c r="J33" s="237">
        <f>SUM(G33:H33)</f>
        <v>3.2000000000000002E-3</v>
      </c>
      <c r="K33" s="104" t="s">
        <v>42</v>
      </c>
      <c r="L33" s="105">
        <f>ROUND(D33*G33,2)</f>
        <v>0</v>
      </c>
      <c r="M33" s="105"/>
      <c r="N33" s="105"/>
      <c r="O33" s="105">
        <f t="shared" si="2"/>
        <v>0</v>
      </c>
      <c r="P33" s="245">
        <f>'Rider Rates'!$D$29</f>
        <v>45444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201</v>
      </c>
      <c r="B34" s="78"/>
      <c r="C34" s="78"/>
      <c r="D34" s="100">
        <f>'Customer Info'!$B$22+'Customer Info'!$B$23-'Customer Info'!$B$24</f>
        <v>0</v>
      </c>
      <c r="E34" s="101" t="s">
        <v>41</v>
      </c>
      <c r="F34" s="102" t="s">
        <v>8</v>
      </c>
      <c r="G34" s="103">
        <f>'Rider Rates'!B49</f>
        <v>-1.2408E-3</v>
      </c>
      <c r="H34" s="103"/>
      <c r="I34" s="103"/>
      <c r="J34" s="237">
        <f>SUM(G34:H34)</f>
        <v>-1.2408E-3</v>
      </c>
      <c r="K34" s="104" t="s">
        <v>42</v>
      </c>
      <c r="L34" s="105">
        <f>ROUND(D34*G34,2)</f>
        <v>0</v>
      </c>
      <c r="M34" s="105"/>
      <c r="N34" s="105"/>
      <c r="O34" s="105">
        <f>SUM(L34:N34)</f>
        <v>0</v>
      </c>
      <c r="P34" s="245">
        <f>'Rider Rates'!$D$49</f>
        <v>45562</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41" t="s">
        <v>218</v>
      </c>
      <c r="B35" s="78"/>
      <c r="C35" s="78"/>
      <c r="D35" s="100"/>
      <c r="E35" s="101" t="s">
        <v>114</v>
      </c>
      <c r="F35" s="102"/>
      <c r="G35" s="103"/>
      <c r="H35" s="103"/>
      <c r="I35" s="103">
        <f>'Rider Rates'!D52</f>
        <v>1.39</v>
      </c>
      <c r="J35" s="103">
        <f>SUM(G35:I35)</f>
        <v>1.39</v>
      </c>
      <c r="K35" s="104" t="s">
        <v>42</v>
      </c>
      <c r="L35" s="105"/>
      <c r="M35" s="105"/>
      <c r="N35" s="105">
        <f>J35</f>
        <v>1.39</v>
      </c>
      <c r="O35" s="105">
        <f>SUM(L35:N35)</f>
        <v>1.39</v>
      </c>
      <c r="P35" s="245">
        <f>'Rider Rates'!E52</f>
        <v>45474</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197</v>
      </c>
      <c r="B36" s="78"/>
      <c r="C36" s="78"/>
      <c r="D36" s="100">
        <f>IF($C$14&lt;0,0,$C$14)</f>
        <v>0</v>
      </c>
      <c r="E36" s="113" t="s">
        <v>41</v>
      </c>
      <c r="F36" s="102" t="s">
        <v>8</v>
      </c>
      <c r="G36" s="103"/>
      <c r="H36" s="103">
        <f>'Rider Rates'!$B$59</f>
        <v>4.3837099999999997E-2</v>
      </c>
      <c r="I36" s="103"/>
      <c r="J36" s="103">
        <f>SUM(G36:I36)</f>
        <v>4.3837099999999997E-2</v>
      </c>
      <c r="K36" s="104" t="s">
        <v>42</v>
      </c>
      <c r="L36" s="105"/>
      <c r="M36" s="105">
        <f>ROUND(D36*H36,2)</f>
        <v>0</v>
      </c>
      <c r="N36" s="205"/>
      <c r="O36" s="105">
        <f t="shared" si="2"/>
        <v>0</v>
      </c>
      <c r="P36" s="245">
        <f>'Rider Rates'!$D$59</f>
        <v>45383</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346</v>
      </c>
      <c r="B37" s="78"/>
      <c r="C37" s="78"/>
      <c r="D37" s="100">
        <f>IF($C$14&lt;0,0,$C$14)</f>
        <v>0</v>
      </c>
      <c r="E37" s="101" t="s">
        <v>41</v>
      </c>
      <c r="F37" s="102" t="s">
        <v>8</v>
      </c>
      <c r="G37" s="103"/>
      <c r="H37" s="103"/>
      <c r="I37" s="103">
        <f>'Rider Rates'!$B$70</f>
        <v>8.6240000000000004E-4</v>
      </c>
      <c r="J37" s="103">
        <f t="shared" ref="J37" si="3">SUM(G37:I37)</f>
        <v>8.6240000000000004E-4</v>
      </c>
      <c r="K37" s="104" t="s">
        <v>42</v>
      </c>
      <c r="L37" s="105"/>
      <c r="M37" s="105"/>
      <c r="N37" s="105">
        <f>ROUND($D$37*'Rider Rates'!$B$70,2)</f>
        <v>0</v>
      </c>
      <c r="O37" s="105">
        <f>SUM(L37:N37)</f>
        <v>0</v>
      </c>
      <c r="P37" s="245">
        <f>'Rider Rates'!$D$70</f>
        <v>45532</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95</v>
      </c>
      <c r="B38" s="78"/>
      <c r="C38" s="78"/>
      <c r="D38" s="100">
        <f>IF('Customer Info'!C35=TRUE,0,IF($C$14&lt;0,0,$C$14))</f>
        <v>0</v>
      </c>
      <c r="E38" s="101" t="s">
        <v>41</v>
      </c>
      <c r="F38" s="102" t="s">
        <v>8</v>
      </c>
      <c r="G38" s="103"/>
      <c r="H38" s="103"/>
      <c r="I38" s="103">
        <f>'Rider Rates'!$B$73+'Rider Rates'!$C$73</f>
        <v>0</v>
      </c>
      <c r="J38" s="103">
        <f t="shared" si="0"/>
        <v>0</v>
      </c>
      <c r="K38" s="104" t="s">
        <v>42</v>
      </c>
      <c r="L38" s="105"/>
      <c r="M38" s="105"/>
      <c r="N38" s="105">
        <f>ROUND($D$38*'Rider Rates'!$B$73,2)+ROUND($D$38*'Rider Rates'!$C$73,2)</f>
        <v>0</v>
      </c>
      <c r="O38" s="105">
        <f>SUM(L38:N38)</f>
        <v>0</v>
      </c>
      <c r="P38" s="245">
        <f>'Rider Rates'!$D$73</f>
        <v>44531</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80</v>
      </c>
      <c r="B39" s="78"/>
      <c r="C39" s="78"/>
      <c r="D39" s="195">
        <f>$N$21</f>
        <v>10</v>
      </c>
      <c r="E39" s="101" t="s">
        <v>121</v>
      </c>
      <c r="F39" s="102" t="s">
        <v>8</v>
      </c>
      <c r="G39" s="111"/>
      <c r="H39" s="112"/>
      <c r="I39" s="120">
        <f>'Rider Rates'!$B$89</f>
        <v>4.94232E-2</v>
      </c>
      <c r="J39" s="120">
        <f t="shared" si="0"/>
        <v>4.94232E-2</v>
      </c>
      <c r="K39" s="104"/>
      <c r="L39" s="105"/>
      <c r="M39" s="105"/>
      <c r="N39" s="105">
        <f>ROUND(D39*I39,2)</f>
        <v>0.49</v>
      </c>
      <c r="O39" s="105">
        <f>SUM(L39:N39)</f>
        <v>0.49</v>
      </c>
      <c r="P39" s="245">
        <f>'Rider Rates'!$D$89</f>
        <v>45562</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81</v>
      </c>
      <c r="B40" s="78"/>
      <c r="C40" s="78"/>
      <c r="D40" s="195">
        <f>$N$21</f>
        <v>10</v>
      </c>
      <c r="E40" s="101" t="s">
        <v>121</v>
      </c>
      <c r="F40" s="102" t="s">
        <v>8</v>
      </c>
      <c r="G40" s="114"/>
      <c r="H40" s="115"/>
      <c r="I40" s="120">
        <f>'Rider Rates'!$B$91</f>
        <v>6.6985699999999995E-2</v>
      </c>
      <c r="J40" s="120">
        <f t="shared" si="0"/>
        <v>6.6985699999999995E-2</v>
      </c>
      <c r="K40" s="104"/>
      <c r="L40" s="105"/>
      <c r="M40" s="105"/>
      <c r="N40" s="105">
        <f>ROUND(D40*I40,2)</f>
        <v>0.67</v>
      </c>
      <c r="O40" s="105">
        <f>SUM(L40:N40)</f>
        <v>0.67</v>
      </c>
      <c r="P40" s="245">
        <f>'Rider Rates'!$D$91</f>
        <v>45167</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214</v>
      </c>
      <c r="B41" s="78"/>
      <c r="C41" s="78"/>
      <c r="D41" s="195"/>
      <c r="E41" s="113" t="s">
        <v>114</v>
      </c>
      <c r="F41" s="106"/>
      <c r="G41" s="114"/>
      <c r="H41" s="115"/>
      <c r="I41" s="196">
        <f>'Rider Rates'!$B$94</f>
        <v>2.0299999999999998</v>
      </c>
      <c r="J41" s="196">
        <f t="shared" si="0"/>
        <v>2.0299999999999998</v>
      </c>
      <c r="K41" s="104"/>
      <c r="L41" s="105"/>
      <c r="M41" s="105"/>
      <c r="N41" s="105">
        <f>I41</f>
        <v>2.0299999999999998</v>
      </c>
      <c r="O41" s="105">
        <f>SUM(L41:N41)</f>
        <v>2.0299999999999998</v>
      </c>
      <c r="P41" s="245">
        <f>'Rider Rates'!$D$94</f>
        <v>45562</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247</v>
      </c>
      <c r="B42" s="78"/>
      <c r="C42" s="78"/>
      <c r="D42" s="100">
        <f>IF($C$14&lt;0,0,$C$14)</f>
        <v>0</v>
      </c>
      <c r="E42" s="101" t="s">
        <v>41</v>
      </c>
      <c r="F42" s="102" t="s">
        <v>8</v>
      </c>
      <c r="G42" s="103"/>
      <c r="H42" s="103"/>
      <c r="I42" s="103"/>
      <c r="J42" s="103">
        <f>'Rider Rates'!$B$98</f>
        <v>0</v>
      </c>
      <c r="K42" s="104" t="s">
        <v>42</v>
      </c>
      <c r="L42" s="105"/>
      <c r="M42" s="105"/>
      <c r="N42" s="105"/>
      <c r="O42" s="105">
        <f>ROUND($D42*('Rider Rates'!B$98),2)</f>
        <v>0</v>
      </c>
      <c r="P42" s="245">
        <f>'Rider Rates'!$D$98</f>
        <v>44531</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156</v>
      </c>
      <c r="B43" s="78"/>
      <c r="C43" s="78"/>
      <c r="D43" s="195">
        <f>$N$21</f>
        <v>10</v>
      </c>
      <c r="E43" s="101" t="s">
        <v>121</v>
      </c>
      <c r="F43" s="102" t="s">
        <v>8</v>
      </c>
      <c r="G43" s="114"/>
      <c r="H43" s="115"/>
      <c r="I43" s="120">
        <f>'Rider Rates'!$B$109</f>
        <v>0.211176</v>
      </c>
      <c r="J43" s="120">
        <f t="shared" si="0"/>
        <v>0.211176</v>
      </c>
      <c r="K43" s="104"/>
      <c r="L43" s="105"/>
      <c r="M43" s="105"/>
      <c r="N43" s="105">
        <f>ROUND(D43*I43,2)</f>
        <v>2.11</v>
      </c>
      <c r="O43" s="105">
        <f t="shared" ref="O43:O48" si="4">SUM(L43:N43)</f>
        <v>2.11</v>
      </c>
      <c r="P43" s="245">
        <f>'Rider Rates'!$D$109</f>
        <v>45532</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217</v>
      </c>
      <c r="B44" s="78"/>
      <c r="C44" s="78"/>
      <c r="D44" s="195"/>
      <c r="E44" s="113" t="s">
        <v>114</v>
      </c>
      <c r="F44" s="106"/>
      <c r="G44" s="114"/>
      <c r="H44" s="115"/>
      <c r="I44" s="196">
        <f>'Rider Rates'!$B$112</f>
        <v>0</v>
      </c>
      <c r="J44" s="196">
        <f t="shared" si="0"/>
        <v>0</v>
      </c>
      <c r="K44" s="104"/>
      <c r="L44" s="105"/>
      <c r="M44" s="105"/>
      <c r="N44" s="105">
        <f>I44</f>
        <v>0</v>
      </c>
      <c r="O44" s="105">
        <f t="shared" si="4"/>
        <v>0</v>
      </c>
      <c r="P44" s="245">
        <f>'Rider Rates'!$D$112</f>
        <v>44894</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225</v>
      </c>
      <c r="B45" s="78"/>
      <c r="C45" s="78"/>
      <c r="D45" s="195"/>
      <c r="E45" s="113" t="s">
        <v>114</v>
      </c>
      <c r="F45" s="106"/>
      <c r="G45" s="114"/>
      <c r="H45" s="115"/>
      <c r="I45" s="258">
        <f>'Rider Rates'!B125</f>
        <v>0.97</v>
      </c>
      <c r="J45" s="196">
        <f t="shared" si="0"/>
        <v>0.97</v>
      </c>
      <c r="K45" s="104"/>
      <c r="L45" s="105"/>
      <c r="M45" s="105"/>
      <c r="N45" s="260">
        <f>I45</f>
        <v>0.97</v>
      </c>
      <c r="O45" s="105">
        <f t="shared" si="4"/>
        <v>0.97</v>
      </c>
      <c r="P45" s="245">
        <f>'Rider Rates'!D125</f>
        <v>45593</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157</v>
      </c>
      <c r="B46" s="78"/>
      <c r="C46" s="78"/>
      <c r="D46" s="100">
        <f>'Customer Info'!$B$22+'Customer Info'!$B$23-'Customer Info'!$B$24</f>
        <v>0</v>
      </c>
      <c r="E46" s="101" t="s">
        <v>41</v>
      </c>
      <c r="F46" s="102" t="s">
        <v>8</v>
      </c>
      <c r="G46" s="103">
        <f>'Rider Rates'!$B$116</f>
        <v>3.8972999999999998E-3</v>
      </c>
      <c r="H46" s="103"/>
      <c r="I46" s="120"/>
      <c r="J46" s="237">
        <f>SUM(G46:H46)</f>
        <v>3.8972999999999998E-3</v>
      </c>
      <c r="K46" s="104" t="s">
        <v>42</v>
      </c>
      <c r="L46" s="105">
        <f>ROUND(D46*G46,2)</f>
        <v>0</v>
      </c>
      <c r="M46" s="105"/>
      <c r="N46" s="105"/>
      <c r="O46" s="105">
        <f t="shared" si="4"/>
        <v>0</v>
      </c>
      <c r="P46" s="245">
        <f>'Rider Rates'!$D$116</f>
        <v>44531</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216</v>
      </c>
      <c r="B47" s="78"/>
      <c r="C47" s="78"/>
      <c r="D47" s="100">
        <f>IF($C$14&lt;1,0,$C$14)</f>
        <v>0</v>
      </c>
      <c r="E47" s="101" t="s">
        <v>41</v>
      </c>
      <c r="F47" s="249" t="s">
        <v>8</v>
      </c>
      <c r="G47" s="103"/>
      <c r="H47" s="103"/>
      <c r="I47" s="237">
        <f>'Rider Rates'!$B$121</f>
        <v>-2.3000000000000001E-4</v>
      </c>
      <c r="J47" s="237">
        <f>SUM(G47:I47)</f>
        <v>-2.3000000000000001E-4</v>
      </c>
      <c r="K47" s="104" t="s">
        <v>42</v>
      </c>
      <c r="L47" s="105"/>
      <c r="M47" s="105"/>
      <c r="N47" s="105">
        <f>D47*J47</f>
        <v>0</v>
      </c>
      <c r="O47" s="105">
        <f t="shared" si="4"/>
        <v>0</v>
      </c>
      <c r="P47" s="245">
        <f>'Rider Rates'!D121</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41" t="s">
        <v>238</v>
      </c>
      <c r="B48" s="78"/>
      <c r="C48" s="78"/>
      <c r="D48" s="100"/>
      <c r="E48" s="101" t="s">
        <v>114</v>
      </c>
      <c r="F48" s="102" t="s">
        <v>8</v>
      </c>
      <c r="G48" s="263"/>
      <c r="H48" s="263"/>
      <c r="I48" s="263">
        <f>'Rider Rates'!$B$129</f>
        <v>0.1</v>
      </c>
      <c r="J48" s="263">
        <f>SUM(G48:I48)</f>
        <v>0.1</v>
      </c>
      <c r="K48" s="104"/>
      <c r="L48" s="209"/>
      <c r="M48" s="209"/>
      <c r="N48" s="209">
        <f>J48</f>
        <v>0.1</v>
      </c>
      <c r="O48" s="209">
        <f t="shared" si="4"/>
        <v>0.1</v>
      </c>
      <c r="P48" s="264">
        <f>'Rider Rates'!$E$129</f>
        <v>44927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41" t="s">
        <v>250</v>
      </c>
      <c r="B49" s="78"/>
      <c r="C49" s="78"/>
      <c r="D49" s="100">
        <f>C14</f>
        <v>0</v>
      </c>
      <c r="E49" s="101" t="s">
        <v>41</v>
      </c>
      <c r="F49" s="249" t="s">
        <v>8</v>
      </c>
      <c r="G49" s="103"/>
      <c r="H49" s="103"/>
      <c r="I49" s="103">
        <f>'Rider Rates'!$B$134</f>
        <v>0</v>
      </c>
      <c r="J49" s="237">
        <f>SUM(G49:I49)</f>
        <v>0</v>
      </c>
      <c r="K49" s="104" t="s">
        <v>42</v>
      </c>
      <c r="L49" s="105"/>
      <c r="M49" s="105"/>
      <c r="N49" s="105">
        <f>D49*J49</f>
        <v>0</v>
      </c>
      <c r="O49" s="105">
        <f>SUM(L49:N49)</f>
        <v>0</v>
      </c>
      <c r="P49" s="245">
        <f>'Rider Rates'!D134</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41" t="s">
        <v>249</v>
      </c>
      <c r="B50" s="78"/>
      <c r="C50" s="78"/>
      <c r="D50" s="100"/>
      <c r="E50" s="101" t="s">
        <v>114</v>
      </c>
      <c r="F50" s="102" t="s">
        <v>8</v>
      </c>
      <c r="G50" s="263"/>
      <c r="H50" s="263"/>
      <c r="I50" s="263">
        <f>'Rider Rates'!$B$141</f>
        <v>0</v>
      </c>
      <c r="J50" s="263">
        <f>SUM(G50:I50)</f>
        <v>0</v>
      </c>
      <c r="K50" s="104"/>
      <c r="L50" s="209"/>
      <c r="M50" s="209"/>
      <c r="N50" s="209">
        <f>J50</f>
        <v>0</v>
      </c>
      <c r="O50" s="209">
        <f>SUM(L50:N50)</f>
        <v>0</v>
      </c>
      <c r="P50" s="264">
        <f>'Rider Rates'!$D$137</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241" t="s">
        <v>251</v>
      </c>
      <c r="B51" s="78"/>
      <c r="C51" s="78"/>
      <c r="D51" s="100"/>
      <c r="E51" s="101"/>
      <c r="F51" s="102"/>
      <c r="G51" s="263"/>
      <c r="H51" s="263"/>
      <c r="I51" s="263"/>
      <c r="J51" s="263"/>
      <c r="K51" s="104"/>
      <c r="L51" s="209"/>
      <c r="M51" s="209"/>
      <c r="N51" s="209"/>
      <c r="O51" s="209"/>
      <c r="P51" s="26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179" t="s">
        <v>70</v>
      </c>
      <c r="B52" s="148"/>
      <c r="C52" s="148"/>
      <c r="D52" s="180"/>
      <c r="E52" s="181"/>
      <c r="F52" s="182"/>
      <c r="G52" s="182"/>
      <c r="H52" s="182"/>
      <c r="I52" s="182"/>
      <c r="J52" s="182"/>
      <c r="K52" s="183"/>
      <c r="L52" s="169">
        <f>SUM(L25:L51)</f>
        <v>0</v>
      </c>
      <c r="M52" s="169">
        <f>SUM(M25:M51)</f>
        <v>0</v>
      </c>
      <c r="N52" s="169">
        <f>SUM(N25:N51)</f>
        <v>7.7599999999999989</v>
      </c>
      <c r="O52" s="169">
        <f>SUM(O25:O51)</f>
        <v>7.7599999999999989</v>
      </c>
      <c r="P52" s="184"/>
      <c r="Q52" s="106"/>
      <c r="R52" s="166"/>
      <c r="S52" s="166"/>
      <c r="T52" s="189"/>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78"/>
      <c r="B53" s="78"/>
      <c r="C53" s="78"/>
      <c r="D53" s="100"/>
      <c r="E53" s="113"/>
      <c r="F53" s="106"/>
      <c r="G53" s="106"/>
      <c r="H53" s="106"/>
      <c r="I53" s="106"/>
      <c r="J53" s="107"/>
      <c r="K53" s="104"/>
      <c r="L53" s="106"/>
      <c r="M53" s="106"/>
      <c r="N53" s="106"/>
      <c r="O53" s="106"/>
      <c r="P53" s="164"/>
      <c r="Q53" s="106"/>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170"/>
      <c r="B54" s="170"/>
      <c r="C54" s="170"/>
      <c r="D54" s="170"/>
      <c r="E54" s="170"/>
      <c r="F54" s="170"/>
      <c r="G54" s="170"/>
      <c r="H54" s="170"/>
      <c r="I54" s="170"/>
      <c r="J54" s="170"/>
      <c r="K54" s="170"/>
      <c r="L54" s="186">
        <f>L21+L52</f>
        <v>0</v>
      </c>
      <c r="M54" s="186">
        <f>M21+M52</f>
        <v>0</v>
      </c>
      <c r="N54" s="186">
        <f>N21+N52</f>
        <v>17.759999999999998</v>
      </c>
      <c r="O54" s="187">
        <f>O21+O52</f>
        <v>17.759999999999998</v>
      </c>
      <c r="P54" s="187"/>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78"/>
      <c r="B55" s="78"/>
      <c r="C55" s="78"/>
      <c r="D55" s="78"/>
      <c r="E55" s="78"/>
      <c r="F55" s="78"/>
      <c r="G55" s="78"/>
      <c r="H55" s="78"/>
      <c r="I55" s="78"/>
      <c r="J55" s="78"/>
      <c r="K55" s="78"/>
      <c r="L55" s="78"/>
      <c r="M55" s="78"/>
      <c r="N55" s="151"/>
      <c r="O55" s="151"/>
      <c r="P55" s="151"/>
      <c r="Q55" s="16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66" t="s">
        <v>92</v>
      </c>
      <c r="B56" s="78"/>
      <c r="C56" s="78"/>
      <c r="D56" s="78"/>
      <c r="E56" s="78"/>
      <c r="F56" s="78"/>
      <c r="G56" s="78"/>
      <c r="H56" s="78"/>
      <c r="I56" s="78"/>
      <c r="J56" s="78"/>
      <c r="K56" s="78"/>
      <c r="L56" s="78"/>
      <c r="M56" s="78"/>
      <c r="N56" s="78"/>
      <c r="O56" s="109">
        <f>IF($C$14&lt;=0,MIN(O19,O54), O19)</f>
        <v>10</v>
      </c>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78"/>
      <c r="B57" s="166"/>
      <c r="C57" s="166"/>
      <c r="D57" s="166"/>
      <c r="E57" s="166"/>
      <c r="F57" s="166"/>
      <c r="G57" s="166"/>
      <c r="H57" s="166"/>
      <c r="I57" s="78"/>
      <c r="J57" s="78"/>
      <c r="K57" s="78"/>
      <c r="L57" s="78"/>
      <c r="M57" s="78"/>
      <c r="N57" s="151"/>
      <c r="O57" s="151"/>
      <c r="P57" s="151"/>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148" t="s">
        <v>116</v>
      </c>
      <c r="B58" s="151"/>
      <c r="C58" s="151"/>
      <c r="D58" s="151"/>
      <c r="E58" s="151"/>
      <c r="F58" s="151"/>
      <c r="G58" s="151"/>
      <c r="H58" s="151"/>
      <c r="I58" s="151"/>
      <c r="J58" s="151"/>
      <c r="K58" s="151"/>
      <c r="L58" s="151"/>
      <c r="M58" s="151"/>
      <c r="N58" s="151"/>
      <c r="O58" s="190">
        <f>IF($C$14&lt;0,O54,IF(O54&gt;O56,O54,I53))</f>
        <v>17.759999999999998</v>
      </c>
      <c r="P58" s="160"/>
      <c r="Q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78"/>
      <c r="B59" s="151"/>
      <c r="C59" s="151"/>
      <c r="D59" s="151"/>
      <c r="E59" s="151"/>
      <c r="F59" s="151"/>
      <c r="G59" s="151"/>
      <c r="H59" s="151"/>
      <c r="I59" s="151"/>
      <c r="J59" s="151"/>
      <c r="K59" s="151"/>
      <c r="L59" s="151"/>
      <c r="M59" s="151"/>
      <c r="N59" s="151"/>
      <c r="O59" s="138"/>
      <c r="P59" s="160"/>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78"/>
      <c r="B60" s="166"/>
      <c r="C60" s="166"/>
      <c r="D60" s="166"/>
      <c r="E60" s="166"/>
      <c r="F60" s="166"/>
      <c r="G60" s="166"/>
      <c r="H60" s="166"/>
      <c r="I60" s="166" t="s">
        <v>120</v>
      </c>
      <c r="J60" s="166"/>
      <c r="K60" s="166"/>
      <c r="L60" s="191"/>
      <c r="M60" s="191"/>
      <c r="N60" s="191"/>
      <c r="O60" s="191">
        <f>ROUND(IF($C$14&lt;1,0,O54/($C$14*100)*10000),2)</f>
        <v>0</v>
      </c>
      <c r="P60" s="37" t="s">
        <v>86</v>
      </c>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row>
    <row r="61" spans="1:236" x14ac:dyDescent="0.25">
      <c r="A61" s="78"/>
      <c r="B61" s="78"/>
      <c r="C61" s="78"/>
      <c r="D61" s="78"/>
      <c r="E61" s="78"/>
      <c r="F61" s="78"/>
      <c r="G61" s="78"/>
      <c r="H61" s="192"/>
      <c r="I61" s="242" t="s">
        <v>198</v>
      </c>
      <c r="J61" s="78"/>
      <c r="K61" s="78"/>
      <c r="L61" s="78"/>
      <c r="M61" s="78"/>
      <c r="N61" s="78"/>
      <c r="O61" s="243">
        <f>ROUND(IF($C$14&lt;1,0,(L54)/($C$14*100)*10000),2)</f>
        <v>0</v>
      </c>
      <c r="P61" s="25" t="s">
        <v>86</v>
      </c>
      <c r="Q61" s="78"/>
      <c r="AE61" s="78"/>
      <c r="AF61" s="78"/>
      <c r="AG61" s="78"/>
      <c r="AH61" s="78"/>
      <c r="AI61" s="78"/>
      <c r="AJ61" s="78"/>
      <c r="AK61" s="78"/>
      <c r="AL61" s="78"/>
      <c r="AM61" s="78"/>
      <c r="AN61" s="78"/>
      <c r="AO61" s="78"/>
      <c r="AP61" s="78"/>
      <c r="AQ61" s="78"/>
      <c r="AR61" s="78"/>
      <c r="AS61" s="78"/>
      <c r="AT61" s="78"/>
      <c r="HE61" s="78"/>
      <c r="HF61" s="78"/>
      <c r="HG61" s="78"/>
      <c r="HH61" s="78"/>
      <c r="HI61" s="78"/>
      <c r="HJ61" s="78"/>
      <c r="HK61" s="78"/>
      <c r="HL61" s="78"/>
      <c r="HM61" s="78"/>
      <c r="HN61" s="78"/>
    </row>
    <row r="62" spans="1:236" x14ac:dyDescent="0.25">
      <c r="A62" s="78"/>
    </row>
    <row r="63" spans="1:236" x14ac:dyDescent="0.25">
      <c r="A63" s="78"/>
    </row>
    <row r="64" spans="1:236" x14ac:dyDescent="0.25">
      <c r="A64" s="78"/>
    </row>
    <row r="65" spans="1:1" x14ac:dyDescent="0.25">
      <c r="A65" s="78"/>
    </row>
    <row r="66" spans="1:1" x14ac:dyDescent="0.25">
      <c r="A66" s="78"/>
    </row>
    <row r="67" spans="1:1" x14ac:dyDescent="0.25">
      <c r="A67" s="78"/>
    </row>
  </sheetData>
  <sheetProtection algorithmName="SHA-512" hashValue="B6/DVh5xpZhziGMZCGqHScfLV3zKmL6Nw4qQWB7dOy79Y89TsrsiSIfR9oe9xbweRKw2ypI4HYmxQO9h+kA3Hw==" saltValue="ABIt4QC73sQSEWG+Yy/BLg==" spinCount="100000" sheet="1" objects="1" scenarios="1"/>
  <mergeCells count="9">
    <mergeCell ref="G17:J17"/>
    <mergeCell ref="L17:O17"/>
    <mergeCell ref="A11:I11"/>
    <mergeCell ref="A1:P1"/>
    <mergeCell ref="A2:P2"/>
    <mergeCell ref="A3:P3"/>
    <mergeCell ref="A4:P4"/>
    <mergeCell ref="B5:O5"/>
    <mergeCell ref="A6:K6"/>
  </mergeCells>
  <phoneticPr fontId="0" type="noConversion"/>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47107" r:id="rId5"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47108" r:id="rId6"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dimension ref="A1:IB94"/>
  <sheetViews>
    <sheetView showGridLines="0" topLeftCell="A21" zoomScale="80" zoomScaleNormal="80" workbookViewId="0">
      <selection activeCell="O48" sqref="O48"/>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552" t="s">
        <v>119</v>
      </c>
      <c r="B1" s="552"/>
      <c r="C1" s="552"/>
      <c r="D1" s="552"/>
      <c r="E1" s="552"/>
      <c r="F1" s="552"/>
      <c r="G1" s="552"/>
      <c r="H1" s="552"/>
      <c r="I1" s="552"/>
      <c r="J1" s="552"/>
      <c r="K1" s="552"/>
      <c r="L1" s="552"/>
      <c r="M1" s="552"/>
      <c r="N1" s="552"/>
      <c r="O1" s="552"/>
      <c r="P1" s="552"/>
      <c r="Q1" s="197"/>
    </row>
    <row r="2" spans="1:59" ht="21" x14ac:dyDescent="0.4">
      <c r="A2" s="552" t="s">
        <v>122</v>
      </c>
      <c r="B2" s="552"/>
      <c r="C2" s="552"/>
      <c r="D2" s="552"/>
      <c r="E2" s="552"/>
      <c r="F2" s="552"/>
      <c r="G2" s="552"/>
      <c r="H2" s="552"/>
      <c r="I2" s="552"/>
      <c r="J2" s="552"/>
      <c r="K2" s="552"/>
      <c r="L2" s="552"/>
      <c r="M2" s="552"/>
      <c r="N2" s="552"/>
      <c r="O2" s="552"/>
      <c r="P2" s="552"/>
    </row>
    <row r="3" spans="1:59" ht="17.399999999999999" x14ac:dyDescent="0.3">
      <c r="A3" s="568" t="s">
        <v>115</v>
      </c>
      <c r="B3" s="568"/>
      <c r="C3" s="568"/>
      <c r="D3" s="568"/>
      <c r="E3" s="568"/>
      <c r="F3" s="568"/>
      <c r="G3" s="568"/>
      <c r="H3" s="568"/>
      <c r="I3" s="568"/>
      <c r="J3" s="568"/>
      <c r="K3" s="568"/>
      <c r="L3" s="568"/>
      <c r="M3" s="568"/>
      <c r="N3" s="568"/>
      <c r="O3" s="568"/>
      <c r="P3" s="568"/>
      <c r="Q3" s="198"/>
    </row>
    <row r="4" spans="1:59" ht="15.6" x14ac:dyDescent="0.3">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5">
      <c r="A5" s="75"/>
      <c r="B5" s="75"/>
      <c r="C5" s="75"/>
      <c r="D5" s="75"/>
      <c r="E5" s="75"/>
      <c r="F5" s="75"/>
      <c r="G5" s="75"/>
      <c r="H5" s="75"/>
      <c r="I5" s="75"/>
      <c r="J5" s="75"/>
      <c r="K5" s="75"/>
      <c r="L5" s="75"/>
      <c r="M5" s="75"/>
      <c r="N5" s="75"/>
      <c r="O5" s="75"/>
      <c r="P5" s="75"/>
      <c r="Q5" s="75"/>
    </row>
    <row r="6" spans="1:59" x14ac:dyDescent="0.25">
      <c r="A6" s="76">
        <f ca="1">TODAY()</f>
        <v>45588</v>
      </c>
      <c r="B6" s="560" t="s">
        <v>228</v>
      </c>
      <c r="C6" s="560"/>
      <c r="D6" s="560"/>
      <c r="E6" s="560"/>
      <c r="F6" s="560"/>
      <c r="G6" s="560"/>
      <c r="H6" s="560"/>
      <c r="I6" s="560"/>
      <c r="J6" s="560"/>
      <c r="K6" s="560"/>
      <c r="L6" s="560"/>
      <c r="M6" s="560"/>
      <c r="N6" s="560"/>
      <c r="O6" s="560"/>
    </row>
    <row r="7" spans="1:59" x14ac:dyDescent="0.25">
      <c r="A7" s="551" t="s">
        <v>15</v>
      </c>
      <c r="B7" s="551"/>
      <c r="C7" s="551"/>
      <c r="D7" s="551"/>
      <c r="E7" s="551"/>
      <c r="F7" s="551"/>
      <c r="G7" s="551"/>
      <c r="H7" s="551"/>
      <c r="I7" s="551"/>
      <c r="J7" s="551"/>
      <c r="K7" s="551"/>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99</v>
      </c>
      <c r="B11" s="200">
        <f>'Customer Info'!B9</f>
        <v>11</v>
      </c>
      <c r="C11" s="194" t="str">
        <f>LOOKUP($B$11,$S$11:$AD$11,S12:AD12)</f>
        <v>November</v>
      </c>
      <c r="D11" s="133">
        <f>'Customer Info'!C9</f>
        <v>2024</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5">
      <c r="A13" s="148" t="s">
        <v>27</v>
      </c>
      <c r="B13" s="149"/>
      <c r="C13" s="150"/>
      <c r="D13" s="78"/>
      <c r="E13" s="78"/>
      <c r="F13" s="78"/>
      <c r="G13" s="78"/>
      <c r="H13" s="78"/>
      <c r="I13" s="78"/>
      <c r="J13" s="151"/>
      <c r="K13" s="151"/>
      <c r="L13" s="151"/>
      <c r="M13" s="151"/>
      <c r="N13" s="151"/>
      <c r="O13" s="151"/>
      <c r="P13" s="151"/>
      <c r="R13" s="78" t="s">
        <v>183</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5">
      <c r="A14" s="78"/>
      <c r="B14" s="78"/>
      <c r="C14" s="78"/>
      <c r="D14" s="78"/>
      <c r="E14" s="78"/>
      <c r="F14" s="78"/>
      <c r="G14" s="139" t="s">
        <v>15</v>
      </c>
      <c r="H14" s="139"/>
      <c r="I14" s="152" t="s">
        <v>15</v>
      </c>
      <c r="J14" s="151"/>
      <c r="K14" s="151"/>
      <c r="L14" s="151"/>
      <c r="M14" s="151"/>
      <c r="N14" s="151"/>
      <c r="O14" s="151"/>
      <c r="P14" s="151"/>
      <c r="Q14" s="78"/>
      <c r="R14" s="78" t="s">
        <v>184</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t="s">
        <v>195</v>
      </c>
      <c r="S15" s="78">
        <f>'Rider Rates'!$C$21</f>
        <v>7.0209999999999995E-2</v>
      </c>
      <c r="T15" s="78">
        <f>'Rider Rates'!$C$21</f>
        <v>7.0209999999999995E-2</v>
      </c>
      <c r="U15" s="78">
        <f>'Rider Rates'!$C$21</f>
        <v>7.0209999999999995E-2</v>
      </c>
      <c r="V15" s="78">
        <f>'Rider Rates'!$C$21</f>
        <v>7.0209999999999995E-2</v>
      </c>
      <c r="W15" s="78">
        <f>'Rider Rates'!$C$21</f>
        <v>7.0209999999999995E-2</v>
      </c>
      <c r="X15" s="78">
        <f>'Rider Rates'!$B$21</f>
        <v>7.0209999999999995E-2</v>
      </c>
      <c r="Y15" s="78">
        <f>'Rider Rates'!$B$21</f>
        <v>7.0209999999999995E-2</v>
      </c>
      <c r="Z15" s="78">
        <f>'Rider Rates'!$B$21</f>
        <v>7.0209999999999995E-2</v>
      </c>
      <c r="AA15" s="78">
        <f>'Rider Rates'!$B$21</f>
        <v>7.0209999999999995E-2</v>
      </c>
      <c r="AB15" s="78">
        <f>'Rider Rates'!$C$21</f>
        <v>7.0209999999999995E-2</v>
      </c>
      <c r="AC15" s="78">
        <f>'Rider Rates'!$C$21</f>
        <v>7.0209999999999995E-2</v>
      </c>
      <c r="AD15" s="78">
        <f>'Rider Rates'!$C$21</f>
        <v>7.0209999999999995E-2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51</v>
      </c>
      <c r="B17" s="78"/>
      <c r="D17" s="154">
        <f>IF('Customer Info'!B22+'Customer Info'!B23-'Customer Info'!B24&lt;0,0,'Customer Info'!B22+'Customer Info'!B23-'Customer Info'!B24)</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t="s">
        <v>229</v>
      </c>
      <c r="B18" s="78"/>
      <c r="C18" s="154"/>
      <c r="D18" s="261">
        <f>'Customer Info'!B22</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t="s">
        <v>230</v>
      </c>
      <c r="B19" s="78"/>
      <c r="C19" s="154"/>
      <c r="D19" s="261">
        <f>'Customer Info'!B23</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185</v>
      </c>
      <c r="B26" s="78"/>
      <c r="C26" s="78"/>
      <c r="D26" s="1">
        <f>MAX($D$17,0)</f>
        <v>0</v>
      </c>
      <c r="E26" s="101" t="s">
        <v>41</v>
      </c>
      <c r="F26" s="106" t="s">
        <v>8</v>
      </c>
      <c r="G26" s="247"/>
      <c r="H26" s="163"/>
      <c r="I26" s="165">
        <v>2.6312499999999999E-2</v>
      </c>
      <c r="J26" s="103">
        <f>SUM(G26:I26)</f>
        <v>2.6312499999999999E-2</v>
      </c>
      <c r="K26" s="108" t="s">
        <v>91</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48" t="s">
        <v>69</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78</v>
      </c>
      <c r="B31" s="176"/>
      <c r="C31" s="176"/>
      <c r="D31" s="100">
        <f>IF($D$17&lt;0,0,IF($D$17&gt;833000,833000,$D$17))</f>
        <v>0</v>
      </c>
      <c r="E31" s="101" t="s">
        <v>41</v>
      </c>
      <c r="F31" s="102" t="s">
        <v>8</v>
      </c>
      <c r="G31" s="103"/>
      <c r="H31" s="103"/>
      <c r="I31" s="103">
        <f>'Rider Rates'!$B$4</f>
        <v>5.9216E-3</v>
      </c>
      <c r="J31" s="103">
        <f t="shared" ref="J31:J37" si="0">SUM(G31:I31)</f>
        <v>5.9216E-3</v>
      </c>
      <c r="K31" s="104" t="s">
        <v>42</v>
      </c>
      <c r="L31" s="105"/>
      <c r="M31" s="105"/>
      <c r="N31" s="105">
        <f t="shared" ref="N31:N36" si="1">ROUND(D31*I31,2)</f>
        <v>0</v>
      </c>
      <c r="O31" s="250">
        <f t="shared" ref="O31:O54" si="2">SUM(L31:N31)</f>
        <v>0</v>
      </c>
      <c r="P31" s="245">
        <f>'Rider Rates'!$D$4</f>
        <v>45293</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79</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96</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97</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98</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159</v>
      </c>
      <c r="B36" s="78"/>
      <c r="C36" s="78"/>
      <c r="D36" s="100">
        <f>IF($D$17&lt;0,0,$D$17)</f>
        <v>0</v>
      </c>
      <c r="E36" s="101" t="s">
        <v>41</v>
      </c>
      <c r="F36" s="102" t="s">
        <v>8</v>
      </c>
      <c r="G36" s="103"/>
      <c r="H36" s="103"/>
      <c r="I36" s="103">
        <f>'Rider Rates'!$B$15</f>
        <v>0</v>
      </c>
      <c r="J36" s="103">
        <f t="shared" si="0"/>
        <v>0</v>
      </c>
      <c r="K36" s="104" t="s">
        <v>42</v>
      </c>
      <c r="L36" s="105"/>
      <c r="M36" s="105"/>
      <c r="N36" s="105">
        <f t="shared" si="1"/>
        <v>0</v>
      </c>
      <c r="O36" s="105">
        <f t="shared" si="2"/>
        <v>0</v>
      </c>
      <c r="P36" s="245">
        <f>'Rider Rates'!$D$15</f>
        <v>45505</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245</v>
      </c>
      <c r="B37" s="78"/>
      <c r="C37" s="78"/>
      <c r="D37" s="195">
        <f>$N$27</f>
        <v>10</v>
      </c>
      <c r="E37" s="101" t="s">
        <v>121</v>
      </c>
      <c r="F37" s="102" t="s">
        <v>8</v>
      </c>
      <c r="G37" s="103"/>
      <c r="H37" s="103"/>
      <c r="I37" s="178">
        <f>'Rider Rates'!$B$18+'Rider Rates'!$E$18</f>
        <v>0</v>
      </c>
      <c r="J37" s="178">
        <f t="shared" si="0"/>
        <v>0</v>
      </c>
      <c r="K37" s="104"/>
      <c r="L37" s="105"/>
      <c r="M37" s="105"/>
      <c r="N37" s="105">
        <f>ROUND($D$37*'Rider Rates'!$B$18,2)+ROUND($D$37*'Rider Rates'!$E$18,2)</f>
        <v>0</v>
      </c>
      <c r="O37" s="105">
        <f t="shared" si="2"/>
        <v>0</v>
      </c>
      <c r="P37" s="245">
        <f>MAX('Rider Rates'!$D$18,'Rider Rates'!$F$18)</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194</v>
      </c>
      <c r="B38" s="78"/>
      <c r="C38" s="78"/>
      <c r="D38" s="100">
        <f>'Customer Info'!$B$22+'Customer Info'!$B$23</f>
        <v>0</v>
      </c>
      <c r="E38" s="101" t="s">
        <v>41</v>
      </c>
      <c r="F38" s="102" t="s">
        <v>8</v>
      </c>
      <c r="G38" s="103">
        <f>'Rider Rates'!B21</f>
        <v>7.0209999999999995E-2</v>
      </c>
      <c r="H38" s="103"/>
      <c r="I38" s="103"/>
      <c r="J38" s="237">
        <f>SUM(G38:H38)</f>
        <v>7.0209999999999995E-2</v>
      </c>
      <c r="K38" s="104" t="s">
        <v>42</v>
      </c>
      <c r="L38" s="105">
        <f>ROUND(D38*G38,2)</f>
        <v>0</v>
      </c>
      <c r="M38" s="105"/>
      <c r="N38" s="105"/>
      <c r="O38" s="105">
        <f t="shared" si="2"/>
        <v>0</v>
      </c>
      <c r="P38" s="245">
        <f>'Rider Rates'!$D$21</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164</v>
      </c>
      <c r="B39" s="78"/>
      <c r="C39" s="78"/>
      <c r="D39" s="100">
        <f>D18</f>
        <v>0</v>
      </c>
      <c r="E39" s="101" t="s">
        <v>41</v>
      </c>
      <c r="F39" s="102" t="s">
        <v>8</v>
      </c>
      <c r="G39" s="103">
        <f>'Rider Rates'!B34</f>
        <v>2.67383E-2</v>
      </c>
      <c r="H39" s="103"/>
      <c r="I39" s="103"/>
      <c r="J39" s="237">
        <f>SUM(G39:H39)</f>
        <v>2.67383E-2</v>
      </c>
      <c r="K39" s="104" t="s">
        <v>42</v>
      </c>
      <c r="L39" s="239">
        <f>ROUND($D$39*$G$39,2)</f>
        <v>0</v>
      </c>
      <c r="M39" s="105"/>
      <c r="N39" s="105"/>
      <c r="O39" s="105">
        <f>SUM(L39:N39)</f>
        <v>0</v>
      </c>
      <c r="P39" s="245">
        <f>'Rider Rates'!D34</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227</v>
      </c>
      <c r="B40" s="78"/>
      <c r="C40" s="78"/>
      <c r="D40" s="100">
        <f>D19</f>
        <v>0</v>
      </c>
      <c r="E40" s="101" t="s">
        <v>41</v>
      </c>
      <c r="F40" s="102" t="s">
        <v>8</v>
      </c>
      <c r="G40" s="103">
        <f>'Rider Rates'!B35</f>
        <v>0</v>
      </c>
      <c r="H40" s="103"/>
      <c r="I40" s="103"/>
      <c r="J40" s="237">
        <f>SUM(G40:H40)</f>
        <v>0</v>
      </c>
      <c r="K40" s="104"/>
      <c r="L40" s="239">
        <f>D40*G40</f>
        <v>0</v>
      </c>
      <c r="M40" s="105"/>
      <c r="N40" s="105"/>
      <c r="O40" s="105">
        <f>SUM(L40:N40)</f>
        <v>0</v>
      </c>
      <c r="P40" s="245">
        <f>'Rider Rates'!D35</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201</v>
      </c>
      <c r="B41" s="78"/>
      <c r="C41" s="78"/>
      <c r="D41" s="100">
        <f>'Customer Info'!$B$22+'Customer Info'!$B$23</f>
        <v>0</v>
      </c>
      <c r="E41" s="101" t="s">
        <v>41</v>
      </c>
      <c r="F41" s="102" t="s">
        <v>8</v>
      </c>
      <c r="G41" s="103">
        <f>'Rider Rates'!$B$49</f>
        <v>-1.2408E-3</v>
      </c>
      <c r="H41" s="103"/>
      <c r="I41" s="103"/>
      <c r="J41" s="237">
        <f>SUM(G41:H41)</f>
        <v>-1.2408E-3</v>
      </c>
      <c r="K41" s="104" t="s">
        <v>42</v>
      </c>
      <c r="L41" s="105">
        <f>ROUND(D41*G41,2)</f>
        <v>0</v>
      </c>
      <c r="M41" s="105"/>
      <c r="N41" s="105"/>
      <c r="O41" s="105">
        <f t="shared" si="2"/>
        <v>0</v>
      </c>
      <c r="P41" s="245">
        <f>'Rider Rates'!$D$49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41" t="s">
        <v>218</v>
      </c>
      <c r="B42" s="78"/>
      <c r="C42" s="78"/>
      <c r="D42" s="100"/>
      <c r="E42" s="101" t="s">
        <v>114</v>
      </c>
      <c r="F42" s="102"/>
      <c r="G42" s="103"/>
      <c r="H42" s="103"/>
      <c r="I42" s="103">
        <f>'Rider Rates'!D52</f>
        <v>1.39</v>
      </c>
      <c r="J42" s="237">
        <f t="shared" ref="J42:J48" si="3">SUM(G42:I42)</f>
        <v>1.39</v>
      </c>
      <c r="K42" s="104"/>
      <c r="L42" s="105"/>
      <c r="M42" s="105"/>
      <c r="N42" s="105">
        <f>J42</f>
        <v>1.39</v>
      </c>
      <c r="O42" s="105">
        <f>SUM(L42:N42)</f>
        <v>1.39</v>
      </c>
      <c r="P42" s="245">
        <f>'Rider Rates'!E52</f>
        <v>45474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197</v>
      </c>
      <c r="B43" s="78"/>
      <c r="C43" s="78"/>
      <c r="D43" s="100">
        <f>IF($D$17&lt;0,0,$D$17)</f>
        <v>0</v>
      </c>
      <c r="E43" s="113" t="s">
        <v>41</v>
      </c>
      <c r="F43" s="102" t="s">
        <v>8</v>
      </c>
      <c r="G43" s="103"/>
      <c r="H43" s="103">
        <f>'Rider Rates'!$B$59</f>
        <v>4.3837099999999997E-2</v>
      </c>
      <c r="I43" s="103"/>
      <c r="J43" s="103">
        <f t="shared" si="3"/>
        <v>4.3837099999999997E-2</v>
      </c>
      <c r="K43" s="104" t="s">
        <v>42</v>
      </c>
      <c r="L43" s="105"/>
      <c r="M43" s="105">
        <f>ROUND(D43*H43,2)</f>
        <v>0</v>
      </c>
      <c r="N43" s="205"/>
      <c r="O43" s="105">
        <f t="shared" si="2"/>
        <v>0</v>
      </c>
      <c r="P43" s="245">
        <f>'Rider Rates'!$D$59</f>
        <v>45383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346</v>
      </c>
      <c r="B44" s="78"/>
      <c r="C44" s="78"/>
      <c r="D44" s="100">
        <f>IF($D$17&lt;0,0,$D$17)</f>
        <v>0</v>
      </c>
      <c r="E44" s="101" t="s">
        <v>41</v>
      </c>
      <c r="F44" s="102" t="s">
        <v>8</v>
      </c>
      <c r="G44" s="103"/>
      <c r="H44" s="103"/>
      <c r="I44" s="103">
        <f>'Rider Rates'!$B$70</f>
        <v>8.6240000000000004E-4</v>
      </c>
      <c r="J44" s="103">
        <f t="shared" ref="J44" si="4">SUM(G44:I44)</f>
        <v>8.6240000000000004E-4</v>
      </c>
      <c r="K44" s="104" t="s">
        <v>42</v>
      </c>
      <c r="L44" s="105"/>
      <c r="M44" s="105"/>
      <c r="N44" s="105">
        <f>ROUND($D$44*'Rider Rates'!$B$70,2)</f>
        <v>0</v>
      </c>
      <c r="O44" s="250">
        <f t="shared" ref="O44" si="5">SUM(L44:N44)</f>
        <v>0</v>
      </c>
      <c r="P44" s="245">
        <f>'Rider Rates'!$D$70</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95</v>
      </c>
      <c r="B45" s="78"/>
      <c r="C45" s="78"/>
      <c r="D45" s="100">
        <f>IF('Customer Info'!C35=TRUE,0,IF($D$17&lt;0,0,$D$17))</f>
        <v>0</v>
      </c>
      <c r="E45" s="101" t="s">
        <v>41</v>
      </c>
      <c r="F45" s="102" t="s">
        <v>8</v>
      </c>
      <c r="G45" s="103"/>
      <c r="H45" s="103"/>
      <c r="I45" s="103">
        <f>'Rider Rates'!$B$73+'Rider Rates'!$C$73</f>
        <v>0</v>
      </c>
      <c r="J45" s="103">
        <f t="shared" si="3"/>
        <v>0</v>
      </c>
      <c r="K45" s="104" t="s">
        <v>42</v>
      </c>
      <c r="L45" s="105"/>
      <c r="M45" s="105"/>
      <c r="N45" s="105">
        <f>ROUND($D$45*'Rider Rates'!$B$73,2)+ROUND($D$45*'Rider Rates'!$C$73,2)</f>
        <v>0</v>
      </c>
      <c r="O45" s="250">
        <f t="shared" si="2"/>
        <v>0</v>
      </c>
      <c r="P45" s="245">
        <f>'Rider Rates'!$D$73</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80</v>
      </c>
      <c r="B46" s="78"/>
      <c r="C46" s="78"/>
      <c r="D46" s="195">
        <f>$N$27</f>
        <v>10</v>
      </c>
      <c r="E46" s="101" t="s">
        <v>121</v>
      </c>
      <c r="F46" s="102" t="s">
        <v>8</v>
      </c>
      <c r="G46" s="111"/>
      <c r="H46" s="112"/>
      <c r="I46" s="120">
        <f>'Rider Rates'!$B$89</f>
        <v>4.94232E-2</v>
      </c>
      <c r="J46" s="120">
        <f t="shared" si="3"/>
        <v>4.94232E-2</v>
      </c>
      <c r="K46" s="104"/>
      <c r="L46" s="105"/>
      <c r="M46" s="105"/>
      <c r="N46" s="105">
        <f>ROUND(D46*I46,2)</f>
        <v>0.49</v>
      </c>
      <c r="O46" s="105">
        <f t="shared" si="2"/>
        <v>0.49</v>
      </c>
      <c r="P46" s="245">
        <f>'Rider Rates'!$D$89</f>
        <v>45562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81</v>
      </c>
      <c r="B47" s="78"/>
      <c r="C47" s="78"/>
      <c r="D47" s="195">
        <f>$N$27</f>
        <v>10</v>
      </c>
      <c r="E47" s="101" t="s">
        <v>121</v>
      </c>
      <c r="F47" s="102" t="s">
        <v>8</v>
      </c>
      <c r="G47" s="114"/>
      <c r="H47" s="115"/>
      <c r="I47" s="120">
        <f>'Rider Rates'!$B$91</f>
        <v>6.6985699999999995E-2</v>
      </c>
      <c r="J47" s="120">
        <f t="shared" si="3"/>
        <v>6.6985699999999995E-2</v>
      </c>
      <c r="K47" s="104"/>
      <c r="L47" s="105"/>
      <c r="M47" s="105"/>
      <c r="N47" s="105">
        <f>ROUND(D47*I47,2)</f>
        <v>0.67</v>
      </c>
      <c r="O47" s="105">
        <f t="shared" si="2"/>
        <v>0.67</v>
      </c>
      <c r="P47" s="245">
        <f>'Rider Rates'!$D$91</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214</v>
      </c>
      <c r="B48" s="78"/>
      <c r="C48" s="78"/>
      <c r="D48" s="195"/>
      <c r="E48" s="113" t="s">
        <v>114</v>
      </c>
      <c r="F48" s="106"/>
      <c r="G48" s="114"/>
      <c r="H48" s="115"/>
      <c r="I48" s="196">
        <f>'Rider Rates'!$B$94</f>
        <v>2.0299999999999998</v>
      </c>
      <c r="J48" s="196">
        <f t="shared" si="3"/>
        <v>2.0299999999999998</v>
      </c>
      <c r="K48" s="104"/>
      <c r="L48" s="105"/>
      <c r="M48" s="105"/>
      <c r="N48" s="105">
        <f>I48</f>
        <v>2.0299999999999998</v>
      </c>
      <c r="O48" s="250">
        <f>SUM(L48:N48)</f>
        <v>2.0299999999999998</v>
      </c>
      <c r="P48" s="245">
        <f>'Rider Rates'!$D$94</f>
        <v>45562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247</v>
      </c>
      <c r="B49" s="78"/>
      <c r="C49" s="78"/>
      <c r="D49" s="100">
        <f>IF($D$17&lt;0,0,$D$17)</f>
        <v>0</v>
      </c>
      <c r="E49" s="101" t="s">
        <v>41</v>
      </c>
      <c r="F49" s="102" t="s">
        <v>8</v>
      </c>
      <c r="G49" s="103"/>
      <c r="H49" s="103"/>
      <c r="I49" s="103"/>
      <c r="J49" s="103">
        <f>'Rider Rates'!$B$98</f>
        <v>0</v>
      </c>
      <c r="K49" s="104" t="s">
        <v>42</v>
      </c>
      <c r="L49" s="105"/>
      <c r="M49" s="105"/>
      <c r="N49" s="105"/>
      <c r="O49" s="105">
        <f>ROUND($D49*('Rider Rates'!B$98),2)</f>
        <v>0</v>
      </c>
      <c r="P49" s="245">
        <f>'Rider Rates'!$D$98</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99" t="s">
        <v>156</v>
      </c>
      <c r="B50" s="78"/>
      <c r="C50" s="78"/>
      <c r="D50" s="195">
        <f>$N$27</f>
        <v>10</v>
      </c>
      <c r="E50" s="101" t="s">
        <v>121</v>
      </c>
      <c r="F50" s="102" t="s">
        <v>8</v>
      </c>
      <c r="G50" s="114"/>
      <c r="H50" s="115"/>
      <c r="I50" s="120">
        <f>'Rider Rates'!$B$109</f>
        <v>0.211176</v>
      </c>
      <c r="J50" s="238">
        <f>SUM(G50:I50)</f>
        <v>0.211176</v>
      </c>
      <c r="K50" s="104"/>
      <c r="L50" s="105"/>
      <c r="M50" s="105"/>
      <c r="N50" s="105">
        <f>ROUND(D50*I50,2)</f>
        <v>2.11</v>
      </c>
      <c r="O50" s="105">
        <f t="shared" si="2"/>
        <v>2.11</v>
      </c>
      <c r="P50" s="245">
        <f>'Rider Rates'!$D$109</f>
        <v>45532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217</v>
      </c>
      <c r="B51" s="78"/>
      <c r="C51" s="78"/>
      <c r="D51" s="195"/>
      <c r="E51" s="113" t="s">
        <v>114</v>
      </c>
      <c r="F51" s="106"/>
      <c r="G51" s="114"/>
      <c r="H51" s="115"/>
      <c r="I51" s="196">
        <f>'Rider Rates'!$B$112</f>
        <v>0</v>
      </c>
      <c r="J51" s="196">
        <f>SUM(G51:I51)</f>
        <v>0</v>
      </c>
      <c r="K51" s="104"/>
      <c r="L51" s="105"/>
      <c r="M51" s="105"/>
      <c r="N51" s="105">
        <f>I51</f>
        <v>0</v>
      </c>
      <c r="O51" s="105">
        <f>SUM(L51:N51)</f>
        <v>0</v>
      </c>
      <c r="P51" s="245">
        <f>'Rider Rates'!$D$112</f>
        <v>44894</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10" t="s">
        <v>225</v>
      </c>
      <c r="B52" s="78"/>
      <c r="C52" s="78"/>
      <c r="D52" s="195"/>
      <c r="E52" s="113" t="s">
        <v>114</v>
      </c>
      <c r="F52" s="106"/>
      <c r="G52" s="114"/>
      <c r="H52" s="115"/>
      <c r="I52" s="258">
        <f>'Rider Rates'!B125</f>
        <v>0.97</v>
      </c>
      <c r="J52" s="259">
        <f>SUM(G52:I52)</f>
        <v>0.97</v>
      </c>
      <c r="K52" s="104"/>
      <c r="L52" s="105"/>
      <c r="M52" s="105"/>
      <c r="N52" s="260">
        <f>I52</f>
        <v>0.97</v>
      </c>
      <c r="O52" s="105">
        <f>SUM(L52:N52)</f>
        <v>0.97</v>
      </c>
      <c r="P52" s="245">
        <f>'Rider Rates'!D125</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157</v>
      </c>
      <c r="B53" s="78"/>
      <c r="C53" s="78"/>
      <c r="D53" s="100">
        <f>'Customer Info'!$B$22+'Customer Info'!$B$23</f>
        <v>0</v>
      </c>
      <c r="E53" s="101" t="s">
        <v>41</v>
      </c>
      <c r="F53" s="102" t="s">
        <v>8</v>
      </c>
      <c r="G53" s="103">
        <f>'Rider Rates'!$B$116</f>
        <v>3.8972999999999998E-3</v>
      </c>
      <c r="H53" s="103"/>
      <c r="I53" s="103"/>
      <c r="J53" s="237">
        <f>SUM(G53:H53)</f>
        <v>3.8972999999999998E-3</v>
      </c>
      <c r="K53" s="104" t="s">
        <v>42</v>
      </c>
      <c r="L53" s="105">
        <f>ROUND(D53*G53,2)</f>
        <v>0</v>
      </c>
      <c r="M53" s="105"/>
      <c r="N53" s="105"/>
      <c r="O53" s="105">
        <f t="shared" si="2"/>
        <v>0</v>
      </c>
      <c r="P53" s="245">
        <f>'Rider Rates'!$D$116</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216</v>
      </c>
      <c r="B54" s="78"/>
      <c r="C54" s="78"/>
      <c r="D54" s="100">
        <f>IF($D$17&lt;1,0,$D$17)</f>
        <v>0</v>
      </c>
      <c r="E54" s="101" t="s">
        <v>41</v>
      </c>
      <c r="F54" s="249" t="s">
        <v>8</v>
      </c>
      <c r="G54" s="103"/>
      <c r="H54" s="103"/>
      <c r="I54" s="103">
        <f>'Rider Rates'!$B$121</f>
        <v>-2.3000000000000001E-4</v>
      </c>
      <c r="J54" s="237">
        <f>SUM(G54:I54)</f>
        <v>-2.3000000000000001E-4</v>
      </c>
      <c r="K54" s="104" t="s">
        <v>42</v>
      </c>
      <c r="L54" s="105"/>
      <c r="M54" s="105"/>
      <c r="N54" s="105">
        <f>D54*J54</f>
        <v>0</v>
      </c>
      <c r="O54" s="105">
        <f t="shared" si="2"/>
        <v>0</v>
      </c>
      <c r="P54" s="245">
        <f>'Rider Rates'!D121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238</v>
      </c>
      <c r="B55" s="78"/>
      <c r="C55" s="78"/>
      <c r="D55" s="100"/>
      <c r="E55" s="101" t="s">
        <v>114</v>
      </c>
      <c r="F55" s="102" t="s">
        <v>8</v>
      </c>
      <c r="G55" s="263"/>
      <c r="H55" s="263"/>
      <c r="I55" s="263">
        <f>'Rider Rates'!$B$129</f>
        <v>0.1</v>
      </c>
      <c r="J55" s="263">
        <f>SUM(G55:I55)</f>
        <v>0.1</v>
      </c>
      <c r="K55" s="104"/>
      <c r="L55" s="209"/>
      <c r="M55" s="209"/>
      <c r="N55" s="209">
        <f>J55</f>
        <v>0.1</v>
      </c>
      <c r="O55" s="209">
        <f>SUM(L55:N55)</f>
        <v>0.1</v>
      </c>
      <c r="P55" s="264">
        <f>'Rider Rates'!$E$129</f>
        <v>44927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250</v>
      </c>
      <c r="B56" s="78"/>
      <c r="C56" s="78"/>
      <c r="D56" s="100">
        <f>C19</f>
        <v>0</v>
      </c>
      <c r="E56" s="101" t="s">
        <v>41</v>
      </c>
      <c r="F56" s="249" t="s">
        <v>8</v>
      </c>
      <c r="G56" s="103"/>
      <c r="H56" s="103"/>
      <c r="I56" s="103">
        <f>'Rider Rates'!$B$134</f>
        <v>0</v>
      </c>
      <c r="J56" s="237">
        <f>SUM(G56:I56)</f>
        <v>0</v>
      </c>
      <c r="K56" s="104" t="s">
        <v>42</v>
      </c>
      <c r="L56" s="105"/>
      <c r="M56" s="105"/>
      <c r="N56" s="105">
        <f>D56*J56</f>
        <v>0</v>
      </c>
      <c r="O56" s="105">
        <f>SUM(L56:N56)</f>
        <v>0</v>
      </c>
      <c r="P56" s="245">
        <f>'Rider Rates'!D139</f>
        <v>0</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249</v>
      </c>
      <c r="B57" s="78"/>
      <c r="C57" s="78"/>
      <c r="D57" s="100"/>
      <c r="E57" s="101" t="s">
        <v>114</v>
      </c>
      <c r="F57" s="102" t="s">
        <v>8</v>
      </c>
      <c r="G57" s="263"/>
      <c r="H57" s="263"/>
      <c r="I57" s="263">
        <f>'Rider Rates'!$B$141</f>
        <v>0</v>
      </c>
      <c r="J57" s="263">
        <f>SUM(G57:I57)</f>
        <v>0</v>
      </c>
      <c r="K57" s="104"/>
      <c r="L57" s="209"/>
      <c r="M57" s="209"/>
      <c r="N57" s="209">
        <f>J57</f>
        <v>0</v>
      </c>
      <c r="O57" s="209">
        <f>SUM(L57:N57)</f>
        <v>0</v>
      </c>
      <c r="P57" s="264">
        <f>'Rider Rates'!$D$137</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251</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179" t="s">
        <v>70</v>
      </c>
      <c r="B59" s="148"/>
      <c r="C59" s="148"/>
      <c r="D59" s="180"/>
      <c r="E59" s="181"/>
      <c r="F59" s="182"/>
      <c r="G59" s="182"/>
      <c r="H59" s="182"/>
      <c r="I59" s="182"/>
      <c r="J59" s="182"/>
      <c r="K59" s="183"/>
      <c r="L59" s="169">
        <f>SUM(L31:L58)</f>
        <v>0</v>
      </c>
      <c r="M59" s="169">
        <f>SUM(M31:M58)</f>
        <v>0</v>
      </c>
      <c r="N59" s="169">
        <f>SUM(N31:N58)</f>
        <v>7.7599999999999989</v>
      </c>
      <c r="O59" s="169">
        <f>SUM(O31:O58)</f>
        <v>7.7599999999999989</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85" t="s">
        <v>93</v>
      </c>
      <c r="B61" s="170"/>
      <c r="C61" s="170"/>
      <c r="D61" s="170"/>
      <c r="E61" s="170"/>
      <c r="F61" s="170"/>
      <c r="G61" s="170"/>
      <c r="H61" s="170"/>
      <c r="I61" s="170"/>
      <c r="J61" s="170"/>
      <c r="K61" s="170"/>
      <c r="L61" s="186">
        <f>L27+L59</f>
        <v>0</v>
      </c>
      <c r="M61" s="186">
        <f>M27+M59</f>
        <v>0</v>
      </c>
      <c r="N61" s="186">
        <f>N27+N59</f>
        <v>17.759999999999998</v>
      </c>
      <c r="O61" s="187">
        <f>O27+O59</f>
        <v>17.759999999999998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5">
      <c r="A64" s="166" t="s">
        <v>92</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5">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5">
      <c r="A66" s="148" t="s">
        <v>116</v>
      </c>
      <c r="B66" s="151"/>
      <c r="C66" s="151"/>
      <c r="D66" s="151"/>
      <c r="E66" s="151"/>
      <c r="F66" s="151"/>
      <c r="G66" s="151"/>
      <c r="H66" s="151"/>
      <c r="I66" s="151"/>
      <c r="J66" s="151"/>
      <c r="K66" s="151"/>
      <c r="L66" s="151"/>
      <c r="M66" s="151"/>
      <c r="N66" s="151"/>
      <c r="O66" s="190">
        <f>IF($D$17&lt;0,O61,IF(O61&gt;O64,O61,O64))</f>
        <v>17.759999999999998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5">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5">
      <c r="A68" s="148"/>
      <c r="B68" s="166"/>
      <c r="C68" s="166"/>
      <c r="D68" s="166"/>
      <c r="E68" s="166"/>
      <c r="F68" s="166"/>
      <c r="G68" s="166"/>
      <c r="H68" s="166"/>
      <c r="I68" s="166" t="s">
        <v>120</v>
      </c>
      <c r="J68" s="166"/>
      <c r="K68" s="166"/>
      <c r="L68" s="191"/>
      <c r="M68" s="191"/>
      <c r="N68" s="191"/>
      <c r="O68" s="191">
        <f>ROUND(IF($D$17&lt;1,0,O61/($D$17*100)*10000),2)</f>
        <v>0</v>
      </c>
      <c r="P68" s="37" t="s">
        <v>86</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5">
      <c r="A69" s="37"/>
      <c r="B69" s="78"/>
      <c r="C69" s="78"/>
      <c r="D69" s="78"/>
      <c r="E69" s="78"/>
      <c r="F69" s="78"/>
      <c r="G69" s="78"/>
      <c r="H69" s="192"/>
      <c r="I69" s="242" t="s">
        <v>198</v>
      </c>
      <c r="J69" s="78"/>
      <c r="K69" s="78"/>
      <c r="L69" s="78"/>
      <c r="M69" s="78"/>
      <c r="N69" s="78"/>
      <c r="O69" s="243">
        <f>ROUND(IF($D$17&lt;1,0,(L61)/($D$17*100)*10000),2)</f>
        <v>0</v>
      </c>
      <c r="P69" s="25" t="s">
        <v>86</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5">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5">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5">
      <c r="A72" s="78"/>
      <c r="D72" s="1"/>
      <c r="E72" s="35"/>
      <c r="F72" s="106"/>
      <c r="Q72" s="80"/>
    </row>
    <row r="73" spans="1:236" x14ac:dyDescent="0.25">
      <c r="A73" s="96"/>
      <c r="D73" s="1"/>
      <c r="E73" s="35"/>
      <c r="F73" s="4"/>
      <c r="Q73" s="36"/>
    </row>
    <row r="74" spans="1:236" x14ac:dyDescent="0.25">
      <c r="A74" s="96"/>
      <c r="D74" s="1"/>
      <c r="E74" s="35"/>
      <c r="F74" s="4"/>
      <c r="Q74" s="36"/>
    </row>
    <row r="75" spans="1:236" x14ac:dyDescent="0.25">
      <c r="A75" s="41"/>
      <c r="B75" s="77"/>
      <c r="C75" s="77"/>
      <c r="D75" s="77"/>
      <c r="E75" s="77"/>
      <c r="F75" s="77"/>
    </row>
    <row r="76" spans="1:236" x14ac:dyDescent="0.25">
      <c r="B76" s="37"/>
      <c r="C76" s="37"/>
      <c r="D76" s="37"/>
      <c r="E76" s="37"/>
      <c r="F76" s="37"/>
      <c r="P76" s="37"/>
      <c r="Q76" s="37"/>
    </row>
    <row r="77" spans="1:236" x14ac:dyDescent="0.25">
      <c r="B77" s="37"/>
      <c r="C77" s="37"/>
      <c r="D77" s="37"/>
      <c r="E77" s="37"/>
      <c r="F77" s="37"/>
      <c r="P77" s="25"/>
      <c r="Q77" s="25"/>
    </row>
    <row r="80" spans="1:23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row r="90" spans="1:1" x14ac:dyDescent="0.25">
      <c r="A90" s="550"/>
    </row>
    <row r="91" spans="1:1" x14ac:dyDescent="0.25">
      <c r="A91" s="550"/>
    </row>
    <row r="92" spans="1:1" x14ac:dyDescent="0.25">
      <c r="A92" s="550"/>
    </row>
    <row r="93" spans="1:1" x14ac:dyDescent="0.25">
      <c r="A93" s="550"/>
    </row>
    <row r="94" spans="1:1" x14ac:dyDescent="0.25">
      <c r="A94" s="550"/>
    </row>
  </sheetData>
  <sheetProtection algorithmName="SHA-512" hashValue="nTES8tAsYJO7n5aZUdUR5ocYwbdQQZiuP8g46j3ZDeQvPrzS/uXQzr8GIKjy2Wk3m1roosuxHsM9TVtfy0uDoA==" saltValue="+qiw8N95o0nqWs6osNhPwg==" spinCount="100000" sheet="1" objects="1" scenarios="1"/>
  <mergeCells count="9">
    <mergeCell ref="G23:J23"/>
    <mergeCell ref="L23:O23"/>
    <mergeCell ref="A80:A94"/>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Button 1">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4754" r:id="rId5" name="Button 2">
              <controlPr defaultSize="0" print="0" autoFill="0" autoPict="0" macro="[0]!Info">
                <anchor moveWithCells="1">
                  <from>
                    <xdr:col>16</xdr:col>
                    <xdr:colOff>388620</xdr:colOff>
                    <xdr:row>87</xdr:row>
                    <xdr:rowOff>38100</xdr:rowOff>
                  </from>
                  <to>
                    <xdr:col>30</xdr:col>
                    <xdr:colOff>160020</xdr:colOff>
                    <xdr:row>88</xdr:row>
                    <xdr:rowOff>83820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2331-AF16-4BD5-96AB-43FC76ACB0C9}">
  <sheetPr codeName="Sheet6"/>
  <dimension ref="A1:IB94"/>
  <sheetViews>
    <sheetView showGridLines="0" topLeftCell="A24" zoomScale="80" zoomScaleNormal="80" workbookViewId="0">
      <selection activeCell="P41" sqref="P41"/>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552" t="s">
        <v>119</v>
      </c>
      <c r="B1" s="552"/>
      <c r="C1" s="552"/>
      <c r="D1" s="552"/>
      <c r="E1" s="552"/>
      <c r="F1" s="552"/>
      <c r="G1" s="552"/>
      <c r="H1" s="552"/>
      <c r="I1" s="552"/>
      <c r="J1" s="552"/>
      <c r="K1" s="552"/>
      <c r="L1" s="552"/>
      <c r="M1" s="552"/>
      <c r="N1" s="552"/>
      <c r="O1" s="552"/>
      <c r="P1" s="552"/>
      <c r="Q1" s="197"/>
    </row>
    <row r="2" spans="1:59" ht="21" x14ac:dyDescent="0.4">
      <c r="A2" s="552" t="s">
        <v>122</v>
      </c>
      <c r="B2" s="552"/>
      <c r="C2" s="552"/>
      <c r="D2" s="552"/>
      <c r="E2" s="552"/>
      <c r="F2" s="552"/>
      <c r="G2" s="552"/>
      <c r="H2" s="552"/>
      <c r="I2" s="552"/>
      <c r="J2" s="552"/>
      <c r="K2" s="552"/>
      <c r="L2" s="552"/>
      <c r="M2" s="552"/>
      <c r="N2" s="552"/>
      <c r="O2" s="552"/>
      <c r="P2" s="552"/>
    </row>
    <row r="3" spans="1:59" ht="17.399999999999999" x14ac:dyDescent="0.3">
      <c r="A3" s="568" t="s">
        <v>333</v>
      </c>
      <c r="B3" s="568"/>
      <c r="C3" s="568"/>
      <c r="D3" s="568"/>
      <c r="E3" s="568"/>
      <c r="F3" s="568"/>
      <c r="G3" s="568"/>
      <c r="H3" s="568"/>
      <c r="I3" s="568"/>
      <c r="J3" s="568"/>
      <c r="K3" s="568"/>
      <c r="L3" s="568"/>
      <c r="M3" s="568"/>
      <c r="N3" s="568"/>
      <c r="O3" s="568"/>
      <c r="P3" s="568"/>
      <c r="Q3" s="198"/>
    </row>
    <row r="4" spans="1:59" ht="15.6" x14ac:dyDescent="0.3">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5">
      <c r="A5" s="75"/>
      <c r="B5" s="75"/>
      <c r="C5" s="75"/>
      <c r="D5" s="75"/>
      <c r="E5" s="75"/>
      <c r="F5" s="75"/>
      <c r="G5" s="75"/>
      <c r="H5" s="75"/>
      <c r="I5" s="75"/>
      <c r="J5" s="75"/>
      <c r="K5" s="75"/>
      <c r="L5" s="75"/>
      <c r="M5" s="75"/>
      <c r="N5" s="75"/>
      <c r="O5" s="75"/>
      <c r="P5" s="75"/>
      <c r="Q5" s="75"/>
    </row>
    <row r="6" spans="1:59" x14ac:dyDescent="0.25">
      <c r="A6" s="412">
        <f ca="1">TODAY()</f>
        <v>45588</v>
      </c>
      <c r="B6" s="560" t="s">
        <v>336</v>
      </c>
      <c r="C6" s="560"/>
      <c r="D6" s="560"/>
      <c r="E6" s="560"/>
      <c r="F6" s="560"/>
      <c r="G6" s="560"/>
      <c r="H6" s="560"/>
      <c r="I6" s="560"/>
      <c r="J6" s="560"/>
      <c r="K6" s="560"/>
      <c r="L6" s="560"/>
      <c r="M6" s="560"/>
      <c r="N6" s="560"/>
      <c r="O6" s="560"/>
    </row>
    <row r="7" spans="1:59" x14ac:dyDescent="0.25">
      <c r="A7" s="551" t="s">
        <v>15</v>
      </c>
      <c r="B7" s="551"/>
      <c r="C7" s="551"/>
      <c r="D7" s="551"/>
      <c r="E7" s="551"/>
      <c r="F7" s="551"/>
      <c r="G7" s="551"/>
      <c r="H7" s="551"/>
      <c r="I7" s="551"/>
      <c r="J7" s="551"/>
      <c r="K7" s="551"/>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99</v>
      </c>
      <c r="B11" s="200">
        <f>'Customer Info'!B9</f>
        <v>11</v>
      </c>
      <c r="C11" s="194" t="str">
        <f>LOOKUP($B$11,$S$11:$AD$11,S12:AD12)</f>
        <v>November</v>
      </c>
      <c r="D11" s="133">
        <f>'Customer Info'!C9</f>
        <v>2024</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5">
      <c r="A13" s="148" t="s">
        <v>27</v>
      </c>
      <c r="B13" s="149"/>
      <c r="C13" s="150"/>
      <c r="D13" s="78"/>
      <c r="E13" s="78"/>
      <c r="F13" s="78"/>
      <c r="G13" s="78"/>
      <c r="H13" s="78"/>
      <c r="I13" s="78"/>
      <c r="J13" s="151"/>
      <c r="K13" s="151"/>
      <c r="L13" s="151"/>
      <c r="M13" s="151"/>
      <c r="N13" s="151"/>
      <c r="O13" s="151"/>
      <c r="P13" s="151"/>
      <c r="R13" s="78" t="s">
        <v>183</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5">
      <c r="A14" s="78"/>
      <c r="B14" s="78"/>
      <c r="C14" s="78"/>
      <c r="D14" s="78"/>
      <c r="E14" s="78"/>
      <c r="F14" s="78"/>
      <c r="G14" s="413" t="s">
        <v>15</v>
      </c>
      <c r="H14" s="413"/>
      <c r="I14" s="152" t="s">
        <v>15</v>
      </c>
      <c r="J14" s="151"/>
      <c r="K14" s="151"/>
      <c r="L14" s="151"/>
      <c r="M14" s="151"/>
      <c r="N14" s="151"/>
      <c r="O14" s="151"/>
      <c r="P14" s="151"/>
      <c r="Q14" s="78"/>
      <c r="R14" s="78" t="s">
        <v>184</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t="s">
        <v>195</v>
      </c>
      <c r="S15" s="78">
        <f>'Rider Rates'!$C$21</f>
        <v>7.0209999999999995E-2</v>
      </c>
      <c r="T15" s="78">
        <f>'Rider Rates'!$C$21</f>
        <v>7.0209999999999995E-2</v>
      </c>
      <c r="U15" s="78">
        <f>'Rider Rates'!$C$21</f>
        <v>7.0209999999999995E-2</v>
      </c>
      <c r="V15" s="78">
        <f>'Rider Rates'!$C$21</f>
        <v>7.0209999999999995E-2</v>
      </c>
      <c r="W15" s="78">
        <f>'Rider Rates'!$C$21</f>
        <v>7.0209999999999995E-2</v>
      </c>
      <c r="X15" s="78">
        <f>'Rider Rates'!$B$21</f>
        <v>7.0209999999999995E-2</v>
      </c>
      <c r="Y15" s="78">
        <f>'Rider Rates'!$B$21</f>
        <v>7.0209999999999995E-2</v>
      </c>
      <c r="Z15" s="78">
        <f>'Rider Rates'!$B$21</f>
        <v>7.0209999999999995E-2</v>
      </c>
      <c r="AA15" s="78">
        <f>'Rider Rates'!$B$21</f>
        <v>7.0209999999999995E-2</v>
      </c>
      <c r="AB15" s="78">
        <f>'Rider Rates'!$C$21</f>
        <v>7.0209999999999995E-2</v>
      </c>
      <c r="AC15" s="78">
        <f>'Rider Rates'!$C$21</f>
        <v>7.0209999999999995E-2</v>
      </c>
      <c r="AD15" s="78">
        <f>'Rider Rates'!$C$21</f>
        <v>7.0209999999999995E-2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229</v>
      </c>
      <c r="B17" s="78"/>
      <c r="D17" s="154">
        <f>IF('Customer Info'!B22&lt;0,0,'Customer Info'!B22)</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t="s">
        <v>230</v>
      </c>
      <c r="B18" s="78"/>
      <c r="C18" s="154"/>
      <c r="D18" s="154">
        <f>IF('Customer Info'!B23&lt;0,0,'Customer Info'!B23)</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t="s">
        <v>51</v>
      </c>
      <c r="B19" s="78"/>
      <c r="C19" s="154"/>
      <c r="D19" s="261">
        <f>D17+D18</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f>'Rider Rates'!B146</f>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414" t="s">
        <v>325</v>
      </c>
      <c r="B26" s="78"/>
      <c r="C26" s="78"/>
      <c r="D26" s="415">
        <f>D17</f>
        <v>0</v>
      </c>
      <c r="E26" s="78"/>
      <c r="F26" s="78"/>
      <c r="G26" s="162"/>
      <c r="H26" s="163"/>
      <c r="I26" s="165">
        <f>'Rider Rates'!C146</f>
        <v>3.7427700000000001E-2</v>
      </c>
      <c r="J26" s="165">
        <v>3.7427700000000001E-2</v>
      </c>
      <c r="K26" s="108" t="s">
        <v>91</v>
      </c>
      <c r="L26" s="105"/>
      <c r="M26" s="105"/>
      <c r="N26" s="105">
        <f>ROUND($D26*I26,2)</f>
        <v>0</v>
      </c>
      <c r="O26" s="250">
        <f>SUM(L26:N26)</f>
        <v>0</v>
      </c>
      <c r="P26" s="245">
        <f>'Rider Rates'!H146</f>
        <v>45444</v>
      </c>
      <c r="Q26" s="78"/>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414" t="s">
        <v>326</v>
      </c>
      <c r="B27" s="78"/>
      <c r="C27" s="78"/>
      <c r="D27" s="1">
        <f>D18</f>
        <v>0</v>
      </c>
      <c r="E27" s="101" t="s">
        <v>41</v>
      </c>
      <c r="F27" s="106" t="s">
        <v>8</v>
      </c>
      <c r="G27" s="247"/>
      <c r="H27" s="163"/>
      <c r="I27" s="165">
        <f>'Rider Rates'!D146</f>
        <v>1.5787499999999999E-2</v>
      </c>
      <c r="J27" s="103">
        <v>1.5787499999999999E-2</v>
      </c>
      <c r="K27" s="108" t="s">
        <v>91</v>
      </c>
      <c r="L27" s="105"/>
      <c r="M27" s="105"/>
      <c r="N27" s="105">
        <f>ROUND($D27*I27,2)</f>
        <v>0</v>
      </c>
      <c r="O27" s="250">
        <f t="shared" ref="O27" si="0">SUM(L27:N27)</f>
        <v>0</v>
      </c>
      <c r="P27" s="245">
        <f>'Rider Rates'!H146</f>
        <v>45444</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x14ac:dyDescent="0.25">
      <c r="A30" s="148" t="s">
        <v>69</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78</v>
      </c>
      <c r="B32" s="176"/>
      <c r="C32" s="176"/>
      <c r="D32" s="100">
        <f>IF($D$19&lt;0,0,IF($D$19&gt;833000,833000,$D$19))</f>
        <v>0</v>
      </c>
      <c r="E32" s="101" t="s">
        <v>41</v>
      </c>
      <c r="F32" s="102" t="s">
        <v>8</v>
      </c>
      <c r="G32" s="103"/>
      <c r="H32" s="103"/>
      <c r="I32" s="103">
        <f>'Rider Rates'!$B$4</f>
        <v>5.9216E-3</v>
      </c>
      <c r="J32" s="103">
        <f t="shared" ref="J32:J38" si="1">SUM(G32:I32)</f>
        <v>5.9216E-3</v>
      </c>
      <c r="K32" s="104" t="s">
        <v>42</v>
      </c>
      <c r="L32" s="105"/>
      <c r="M32" s="105"/>
      <c r="N32" s="105">
        <f t="shared" ref="N32:N37" si="2">ROUND(D32*I32,2)</f>
        <v>0</v>
      </c>
      <c r="O32" s="250">
        <f t="shared" ref="O32:O54" si="3">SUM(L32:N32)</f>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79</v>
      </c>
      <c r="B33" s="78"/>
      <c r="C33" s="78"/>
      <c r="D33" s="123">
        <f>IF($D$19&gt;833000,$D$19-833000,0)</f>
        <v>0</v>
      </c>
      <c r="E33" s="101" t="s">
        <v>41</v>
      </c>
      <c r="F33" s="102" t="s">
        <v>8</v>
      </c>
      <c r="G33" s="103"/>
      <c r="H33" s="103"/>
      <c r="I33" s="103">
        <f>'Rider Rates'!$B$5</f>
        <v>1.7560000000000001E-4</v>
      </c>
      <c r="J33" s="103">
        <f t="shared" si="1"/>
        <v>1.7560000000000001E-4</v>
      </c>
      <c r="K33" s="104" t="s">
        <v>42</v>
      </c>
      <c r="L33" s="105"/>
      <c r="M33" s="105"/>
      <c r="N33" s="105">
        <f t="shared" si="2"/>
        <v>0</v>
      </c>
      <c r="O33" s="105">
        <f t="shared" si="3"/>
        <v>0</v>
      </c>
      <c r="P33" s="245">
        <f>'Rider Rates'!$D$4</f>
        <v>45293</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96</v>
      </c>
      <c r="B34" s="78"/>
      <c r="C34" s="78"/>
      <c r="D34" s="100">
        <f>IF($D$19&lt;0,0,IF($D$19&gt;2000,2000,$D$19))</f>
        <v>0</v>
      </c>
      <c r="E34" s="101" t="s">
        <v>41</v>
      </c>
      <c r="F34" s="102" t="s">
        <v>8</v>
      </c>
      <c r="G34" s="103"/>
      <c r="H34" s="103"/>
      <c r="I34" s="177">
        <f>'Rider Rates'!$B$8</f>
        <v>4.6499999999999996E-3</v>
      </c>
      <c r="J34" s="177">
        <f t="shared" si="1"/>
        <v>4.6499999999999996E-3</v>
      </c>
      <c r="K34" s="104" t="s">
        <v>42</v>
      </c>
      <c r="L34" s="105"/>
      <c r="M34" s="105"/>
      <c r="N34" s="105">
        <f t="shared" si="2"/>
        <v>0</v>
      </c>
      <c r="O34" s="105">
        <f t="shared" si="3"/>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97</v>
      </c>
      <c r="B35" s="78"/>
      <c r="C35" s="78"/>
      <c r="D35" s="100">
        <f>IF($D$19&lt;=2000,0,IF($D$19=0,0,IF($D$19-2000&gt;13000,13000,$D$19-2000)))</f>
        <v>0</v>
      </c>
      <c r="E35" s="101" t="s">
        <v>41</v>
      </c>
      <c r="F35" s="102" t="s">
        <v>8</v>
      </c>
      <c r="G35" s="103"/>
      <c r="H35" s="103"/>
      <c r="I35" s="177">
        <f>'Rider Rates'!$B$9</f>
        <v>4.1900000000000001E-3</v>
      </c>
      <c r="J35" s="177">
        <f t="shared" si="1"/>
        <v>4.1900000000000001E-3</v>
      </c>
      <c r="K35" s="104" t="s">
        <v>42</v>
      </c>
      <c r="L35" s="105"/>
      <c r="M35" s="105"/>
      <c r="N35" s="105">
        <f t="shared" si="2"/>
        <v>0</v>
      </c>
      <c r="O35" s="105">
        <f t="shared" si="3"/>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98</v>
      </c>
      <c r="B36" s="78"/>
      <c r="C36" s="78"/>
      <c r="D36" s="100">
        <f>IF($D$19=0,0,IF($D$19-15000&gt;=0,$D$19-15000,0))</f>
        <v>0</v>
      </c>
      <c r="E36" s="101" t="s">
        <v>41</v>
      </c>
      <c r="F36" s="102" t="s">
        <v>8</v>
      </c>
      <c r="G36" s="103"/>
      <c r="H36" s="103"/>
      <c r="I36" s="177">
        <f>'Rider Rates'!$B$10</f>
        <v>3.63E-3</v>
      </c>
      <c r="J36" s="177">
        <f t="shared" si="1"/>
        <v>3.63E-3</v>
      </c>
      <c r="K36" s="104" t="s">
        <v>42</v>
      </c>
      <c r="L36" s="105"/>
      <c r="M36" s="105"/>
      <c r="N36" s="105">
        <f t="shared" si="2"/>
        <v>0</v>
      </c>
      <c r="O36" s="105">
        <f t="shared" si="3"/>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IF($D$19&lt;0,0,$D$19)</f>
        <v>0</v>
      </c>
      <c r="E37" s="101" t="s">
        <v>41</v>
      </c>
      <c r="F37" s="102" t="s">
        <v>8</v>
      </c>
      <c r="G37" s="103"/>
      <c r="H37" s="103"/>
      <c r="I37" s="103">
        <f>'Rider Rates'!$B$15</f>
        <v>0</v>
      </c>
      <c r="J37" s="103">
        <f t="shared" si="1"/>
        <v>0</v>
      </c>
      <c r="K37" s="104" t="s">
        <v>42</v>
      </c>
      <c r="L37" s="105"/>
      <c r="M37" s="105"/>
      <c r="N37" s="105">
        <f t="shared" si="2"/>
        <v>0</v>
      </c>
      <c r="O37" s="105">
        <f t="shared" si="3"/>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245</v>
      </c>
      <c r="B38" s="78"/>
      <c r="C38" s="78"/>
      <c r="D38" s="195">
        <f>$N$28</f>
        <v>10</v>
      </c>
      <c r="E38" s="101" t="s">
        <v>121</v>
      </c>
      <c r="F38" s="102" t="s">
        <v>8</v>
      </c>
      <c r="G38" s="103"/>
      <c r="H38" s="103"/>
      <c r="I38" s="178">
        <f>'Rider Rates'!$B$18+'Rider Rates'!$E$18</f>
        <v>0</v>
      </c>
      <c r="J38" s="178">
        <f t="shared" si="1"/>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194</v>
      </c>
      <c r="B39" s="78"/>
      <c r="C39" s="78"/>
      <c r="D39" s="100">
        <f>'Customer Info'!$B$22+'Customer Info'!$B$23</f>
        <v>0</v>
      </c>
      <c r="E39" s="101" t="s">
        <v>41</v>
      </c>
      <c r="F39" s="102" t="s">
        <v>8</v>
      </c>
      <c r="G39" s="103">
        <f>'Rider Rates'!B21</f>
        <v>7.0209999999999995E-2</v>
      </c>
      <c r="H39" s="103"/>
      <c r="I39" s="103"/>
      <c r="J39" s="237">
        <f>SUM(G39:H39)</f>
        <v>7.0209999999999995E-2</v>
      </c>
      <c r="K39" s="104" t="s">
        <v>42</v>
      </c>
      <c r="L39" s="105">
        <f>ROUND(D39*G39,2)</f>
        <v>0</v>
      </c>
      <c r="M39" s="105"/>
      <c r="N39" s="105"/>
      <c r="O39" s="105">
        <f t="shared" si="3"/>
        <v>0</v>
      </c>
      <c r="P39" s="245">
        <f>'Rider Rates'!$D$21</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161</v>
      </c>
      <c r="B40" s="78"/>
      <c r="C40" s="78"/>
      <c r="D40" s="100">
        <f>'Customer Info'!$B$22+'Customer Info'!$B$23</f>
        <v>0</v>
      </c>
      <c r="E40" s="101" t="s">
        <v>41</v>
      </c>
      <c r="F40" s="102" t="s">
        <v>8</v>
      </c>
      <c r="G40" s="103">
        <f>'Rider Rates'!B28</f>
        <v>3.2000000000000002E-3</v>
      </c>
      <c r="H40" s="103"/>
      <c r="I40" s="103"/>
      <c r="J40" s="237">
        <f>SUM(G40:H40)</f>
        <v>3.2000000000000002E-3</v>
      </c>
      <c r="K40" s="104" t="s">
        <v>42</v>
      </c>
      <c r="L40" s="239">
        <f>ROUND($D$40*$G$40,2)</f>
        <v>0</v>
      </c>
      <c r="M40" s="105"/>
      <c r="N40" s="105"/>
      <c r="O40" s="105">
        <f>SUM(L40:N40)</f>
        <v>0</v>
      </c>
      <c r="P40" s="245">
        <f>'Rider Rates'!D34</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201</v>
      </c>
      <c r="B41" s="78"/>
      <c r="C41" s="78"/>
      <c r="D41" s="100">
        <f>'Customer Info'!$B$22+'Customer Info'!$B$23</f>
        <v>0</v>
      </c>
      <c r="E41" s="101" t="s">
        <v>41</v>
      </c>
      <c r="F41" s="102" t="s">
        <v>8</v>
      </c>
      <c r="G41" s="103">
        <f>'Rider Rates'!$B$49</f>
        <v>-1.2408E-3</v>
      </c>
      <c r="H41" s="103"/>
      <c r="I41" s="103"/>
      <c r="J41" s="237">
        <f>SUM(G41:H41)</f>
        <v>-1.2408E-3</v>
      </c>
      <c r="K41" s="104" t="s">
        <v>42</v>
      </c>
      <c r="L41" s="105">
        <f>ROUND(D41*G41,2)</f>
        <v>0</v>
      </c>
      <c r="M41" s="105"/>
      <c r="N41" s="105"/>
      <c r="O41" s="105">
        <f t="shared" si="3"/>
        <v>0</v>
      </c>
      <c r="P41" s="245">
        <f>'Rider Rates'!$D$49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41" t="s">
        <v>218</v>
      </c>
      <c r="B42" s="78"/>
      <c r="C42" s="78"/>
      <c r="D42" s="100"/>
      <c r="E42" s="101" t="s">
        <v>114</v>
      </c>
      <c r="F42" s="102"/>
      <c r="G42" s="103"/>
      <c r="H42" s="103"/>
      <c r="I42" s="103">
        <f>'Rider Rates'!D52</f>
        <v>1.39</v>
      </c>
      <c r="J42" s="237">
        <f t="shared" ref="J42:J48" si="4">SUM(G42:I42)</f>
        <v>1.39</v>
      </c>
      <c r="K42" s="104"/>
      <c r="L42" s="105"/>
      <c r="M42" s="105"/>
      <c r="N42" s="105">
        <f>J42</f>
        <v>1.39</v>
      </c>
      <c r="O42" s="105">
        <f>SUM(L42:N42)</f>
        <v>1.39</v>
      </c>
      <c r="P42" s="245">
        <f>'Rider Rates'!E52</f>
        <v>45474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197</v>
      </c>
      <c r="B43" s="78"/>
      <c r="C43" s="78"/>
      <c r="D43" s="100">
        <f>IF($D$19&lt;0,0,$D$19)</f>
        <v>0</v>
      </c>
      <c r="E43" s="113" t="s">
        <v>41</v>
      </c>
      <c r="F43" s="102" t="s">
        <v>8</v>
      </c>
      <c r="G43" s="103"/>
      <c r="H43" s="103">
        <f>'Rider Rates'!$B$59</f>
        <v>4.3837099999999997E-2</v>
      </c>
      <c r="I43" s="103"/>
      <c r="J43" s="103">
        <f t="shared" si="4"/>
        <v>4.3837099999999997E-2</v>
      </c>
      <c r="K43" s="104" t="s">
        <v>42</v>
      </c>
      <c r="L43" s="105"/>
      <c r="M43" s="105">
        <f>ROUND(D43*H43,2)</f>
        <v>0</v>
      </c>
      <c r="N43" s="205"/>
      <c r="O43" s="105">
        <f t="shared" si="3"/>
        <v>0</v>
      </c>
      <c r="P43" s="245">
        <f>'Rider Rates'!$D$59</f>
        <v>45383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346</v>
      </c>
      <c r="B44" s="78"/>
      <c r="C44" s="78"/>
      <c r="D44" s="100">
        <f>IF($D$19&lt;0,0,$D$19)</f>
        <v>0</v>
      </c>
      <c r="E44" s="101" t="s">
        <v>41</v>
      </c>
      <c r="F44" s="102" t="s">
        <v>8</v>
      </c>
      <c r="G44" s="103"/>
      <c r="H44" s="103"/>
      <c r="I44" s="103">
        <f>'Rider Rates'!$B$70</f>
        <v>8.6240000000000004E-4</v>
      </c>
      <c r="J44" s="103">
        <f t="shared" ref="J44" si="5">SUM(G44:I44)</f>
        <v>8.6240000000000004E-4</v>
      </c>
      <c r="K44" s="104" t="s">
        <v>42</v>
      </c>
      <c r="L44" s="105"/>
      <c r="M44" s="105"/>
      <c r="N44" s="105">
        <f>ROUND($D$44*'Rider Rates'!$B$70,2)</f>
        <v>0</v>
      </c>
      <c r="O44" s="250">
        <f t="shared" ref="O44" si="6">SUM(L44:N44)</f>
        <v>0</v>
      </c>
      <c r="P44" s="245">
        <f>'Rider Rates'!$D$70</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95</v>
      </c>
      <c r="B45" s="78"/>
      <c r="C45" s="78"/>
      <c r="D45" s="100">
        <f>IF('Customer Info'!C35=TRUE,0,IF($D$19&lt;0,0,$D$19))</f>
        <v>0</v>
      </c>
      <c r="E45" s="101" t="s">
        <v>41</v>
      </c>
      <c r="F45" s="102" t="s">
        <v>8</v>
      </c>
      <c r="G45" s="103"/>
      <c r="H45" s="103"/>
      <c r="I45" s="103">
        <f>'Rider Rates'!$B$73+'Rider Rates'!$C$73</f>
        <v>0</v>
      </c>
      <c r="J45" s="103">
        <f t="shared" si="4"/>
        <v>0</v>
      </c>
      <c r="K45" s="104" t="s">
        <v>42</v>
      </c>
      <c r="L45" s="105"/>
      <c r="M45" s="105"/>
      <c r="N45" s="105">
        <f>ROUND($D$45*'Rider Rates'!$B$73,2)+ROUND($D$45*'Rider Rates'!$C$73,2)</f>
        <v>0</v>
      </c>
      <c r="O45" s="250">
        <f t="shared" si="3"/>
        <v>0</v>
      </c>
      <c r="P45" s="245">
        <f>'Rider Rates'!$D$73</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80</v>
      </c>
      <c r="B46" s="78"/>
      <c r="C46" s="78"/>
      <c r="D46" s="195">
        <f>$N$28</f>
        <v>10</v>
      </c>
      <c r="E46" s="101" t="s">
        <v>121</v>
      </c>
      <c r="F46" s="102" t="s">
        <v>8</v>
      </c>
      <c r="G46" s="111"/>
      <c r="H46" s="112"/>
      <c r="I46" s="120">
        <f>'Rider Rates'!$B$89</f>
        <v>4.94232E-2</v>
      </c>
      <c r="J46" s="120">
        <f t="shared" si="4"/>
        <v>4.94232E-2</v>
      </c>
      <c r="K46" s="104"/>
      <c r="L46" s="105"/>
      <c r="M46" s="105"/>
      <c r="N46" s="105">
        <f>ROUND(D46*I46,2)</f>
        <v>0.49</v>
      </c>
      <c r="O46" s="105">
        <f t="shared" si="3"/>
        <v>0.49</v>
      </c>
      <c r="P46" s="245">
        <f>'Rider Rates'!$D$89</f>
        <v>45562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81</v>
      </c>
      <c r="B47" s="78"/>
      <c r="C47" s="78"/>
      <c r="D47" s="195">
        <f>$N$28</f>
        <v>10</v>
      </c>
      <c r="E47" s="101" t="s">
        <v>121</v>
      </c>
      <c r="F47" s="102" t="s">
        <v>8</v>
      </c>
      <c r="G47" s="114"/>
      <c r="H47" s="115"/>
      <c r="I47" s="120">
        <f>'Rider Rates'!$B$91</f>
        <v>6.6985699999999995E-2</v>
      </c>
      <c r="J47" s="120">
        <f t="shared" si="4"/>
        <v>6.6985699999999995E-2</v>
      </c>
      <c r="K47" s="104"/>
      <c r="L47" s="105"/>
      <c r="M47" s="105"/>
      <c r="N47" s="105">
        <f>ROUND(D47*I47,2)</f>
        <v>0.67</v>
      </c>
      <c r="O47" s="105">
        <f t="shared" si="3"/>
        <v>0.67</v>
      </c>
      <c r="P47" s="245">
        <f>'Rider Rates'!$D$91</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214</v>
      </c>
      <c r="B48" s="78"/>
      <c r="C48" s="78"/>
      <c r="D48" s="195"/>
      <c r="E48" s="113" t="s">
        <v>114</v>
      </c>
      <c r="F48" s="106"/>
      <c r="G48" s="114"/>
      <c r="H48" s="115"/>
      <c r="I48" s="196">
        <f>'Rider Rates'!$B$94</f>
        <v>2.0299999999999998</v>
      </c>
      <c r="J48" s="196">
        <f t="shared" si="4"/>
        <v>2.0299999999999998</v>
      </c>
      <c r="K48" s="104"/>
      <c r="L48" s="105"/>
      <c r="M48" s="105"/>
      <c r="N48" s="105">
        <f>I48</f>
        <v>2.0299999999999998</v>
      </c>
      <c r="O48" s="250">
        <f>SUM(L48:N48)</f>
        <v>2.0299999999999998</v>
      </c>
      <c r="P48" s="245">
        <f>'Rider Rates'!$D$94</f>
        <v>45562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247</v>
      </c>
      <c r="B49" s="78"/>
      <c r="C49" s="78"/>
      <c r="D49" s="100">
        <f>IF($D$19&lt;0,0,$D$19)</f>
        <v>0</v>
      </c>
      <c r="E49" s="101" t="s">
        <v>41</v>
      </c>
      <c r="F49" s="102" t="s">
        <v>8</v>
      </c>
      <c r="G49" s="103"/>
      <c r="H49" s="103"/>
      <c r="I49" s="103"/>
      <c r="J49" s="103">
        <f>'Rider Rates'!$B$98</f>
        <v>0</v>
      </c>
      <c r="K49" s="104" t="s">
        <v>42</v>
      </c>
      <c r="L49" s="105"/>
      <c r="M49" s="105"/>
      <c r="N49" s="105"/>
      <c r="O49" s="105">
        <f>ROUND($D49*('Rider Rates'!B$98),2)</f>
        <v>0</v>
      </c>
      <c r="P49" s="245">
        <f>'Rider Rates'!$D$98</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99" t="s">
        <v>156</v>
      </c>
      <c r="B50" s="78"/>
      <c r="C50" s="78"/>
      <c r="D50" s="195">
        <f>$N$28</f>
        <v>10</v>
      </c>
      <c r="E50" s="101" t="s">
        <v>121</v>
      </c>
      <c r="F50" s="102" t="s">
        <v>8</v>
      </c>
      <c r="G50" s="114"/>
      <c r="H50" s="115"/>
      <c r="I50" s="120">
        <f>'Rider Rates'!$B$109</f>
        <v>0.211176</v>
      </c>
      <c r="J50" s="238">
        <f>SUM(G50:I50)</f>
        <v>0.211176</v>
      </c>
      <c r="K50" s="104"/>
      <c r="L50" s="105"/>
      <c r="M50" s="105"/>
      <c r="N50" s="105">
        <f>ROUND(D50*I50,2)</f>
        <v>2.11</v>
      </c>
      <c r="O50" s="105">
        <f t="shared" si="3"/>
        <v>2.11</v>
      </c>
      <c r="P50" s="245">
        <f>'Rider Rates'!$D$109</f>
        <v>45532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217</v>
      </c>
      <c r="B51" s="78"/>
      <c r="C51" s="78"/>
      <c r="D51" s="195"/>
      <c r="E51" s="113" t="s">
        <v>114</v>
      </c>
      <c r="F51" s="106"/>
      <c r="G51" s="114"/>
      <c r="H51" s="115"/>
      <c r="I51" s="196">
        <f>'Rider Rates'!$B$112</f>
        <v>0</v>
      </c>
      <c r="J51" s="196">
        <f>SUM(G51:I51)</f>
        <v>0</v>
      </c>
      <c r="K51" s="104"/>
      <c r="L51" s="105"/>
      <c r="M51" s="105"/>
      <c r="N51" s="105">
        <f>I51</f>
        <v>0</v>
      </c>
      <c r="O51" s="105">
        <f>SUM(L51:N51)</f>
        <v>0</v>
      </c>
      <c r="P51" s="245">
        <f>'Rider Rates'!$D$112</f>
        <v>44894</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10" t="s">
        <v>225</v>
      </c>
      <c r="B52" s="78"/>
      <c r="C52" s="78"/>
      <c r="D52" s="195"/>
      <c r="E52" s="113" t="s">
        <v>114</v>
      </c>
      <c r="F52" s="106"/>
      <c r="G52" s="114"/>
      <c r="H52" s="115"/>
      <c r="I52" s="258">
        <f>'Rider Rates'!B125</f>
        <v>0.97</v>
      </c>
      <c r="J52" s="259">
        <f>SUM(G52:I52)</f>
        <v>0.97</v>
      </c>
      <c r="K52" s="104"/>
      <c r="L52" s="105"/>
      <c r="M52" s="105"/>
      <c r="N52" s="260">
        <f>I52</f>
        <v>0.97</v>
      </c>
      <c r="O52" s="105">
        <f>SUM(L52:N52)</f>
        <v>0.97</v>
      </c>
      <c r="P52" s="245">
        <f>'Rider Rates'!D125</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157</v>
      </c>
      <c r="B53" s="78"/>
      <c r="C53" s="78"/>
      <c r="D53" s="100">
        <f>'Customer Info'!$B$22+'Customer Info'!$B$23</f>
        <v>0</v>
      </c>
      <c r="E53" s="101" t="s">
        <v>41</v>
      </c>
      <c r="F53" s="102" t="s">
        <v>8</v>
      </c>
      <c r="G53" s="103">
        <f>'Rider Rates'!$B$116</f>
        <v>3.8972999999999998E-3</v>
      </c>
      <c r="H53" s="103"/>
      <c r="I53" s="103"/>
      <c r="J53" s="237">
        <f>SUM(G53:H53)</f>
        <v>3.8972999999999998E-3</v>
      </c>
      <c r="K53" s="104" t="s">
        <v>42</v>
      </c>
      <c r="L53" s="105">
        <f>ROUND(D53*G53,2)</f>
        <v>0</v>
      </c>
      <c r="M53" s="105"/>
      <c r="N53" s="105"/>
      <c r="O53" s="105">
        <f t="shared" si="3"/>
        <v>0</v>
      </c>
      <c r="P53" s="245">
        <f>'Rider Rates'!$D$116</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216</v>
      </c>
      <c r="B54" s="78"/>
      <c r="C54" s="78"/>
      <c r="D54" s="100">
        <f>IF($D$19&lt;1,0,$D$19)</f>
        <v>0</v>
      </c>
      <c r="E54" s="101" t="s">
        <v>41</v>
      </c>
      <c r="F54" s="249" t="s">
        <v>8</v>
      </c>
      <c r="G54" s="103"/>
      <c r="H54" s="103"/>
      <c r="I54" s="103">
        <f>'Rider Rates'!$B$121</f>
        <v>-2.3000000000000001E-4</v>
      </c>
      <c r="J54" s="237">
        <f>SUM(G54:I54)</f>
        <v>-2.3000000000000001E-4</v>
      </c>
      <c r="K54" s="104" t="s">
        <v>42</v>
      </c>
      <c r="L54" s="105"/>
      <c r="M54" s="105"/>
      <c r="N54" s="105">
        <f>D54*J54</f>
        <v>0</v>
      </c>
      <c r="O54" s="105">
        <f t="shared" si="3"/>
        <v>0</v>
      </c>
      <c r="P54" s="245">
        <f>'Rider Rates'!D121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238</v>
      </c>
      <c r="B55" s="78"/>
      <c r="C55" s="78"/>
      <c r="D55" s="100"/>
      <c r="E55" s="101" t="s">
        <v>114</v>
      </c>
      <c r="F55" s="102" t="s">
        <v>8</v>
      </c>
      <c r="G55" s="263"/>
      <c r="H55" s="263"/>
      <c r="I55" s="263">
        <f>'Rider Rates'!$B$129</f>
        <v>0.1</v>
      </c>
      <c r="J55" s="263">
        <f>SUM(G55:I55)</f>
        <v>0.1</v>
      </c>
      <c r="K55" s="104"/>
      <c r="L55" s="209"/>
      <c r="M55" s="209"/>
      <c r="N55" s="209">
        <f>J55</f>
        <v>0.1</v>
      </c>
      <c r="O55" s="209">
        <f>SUM(L55:N55)</f>
        <v>0.1</v>
      </c>
      <c r="P55" s="264">
        <f>'Rider Rates'!$E$129</f>
        <v>44927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250</v>
      </c>
      <c r="B56" s="78"/>
      <c r="C56" s="78"/>
      <c r="D56" s="100">
        <f>C19</f>
        <v>0</v>
      </c>
      <c r="E56" s="101" t="s">
        <v>41</v>
      </c>
      <c r="F56" s="249" t="s">
        <v>8</v>
      </c>
      <c r="G56" s="103"/>
      <c r="H56" s="103"/>
      <c r="I56" s="103">
        <f>'Rider Rates'!$B$134</f>
        <v>0</v>
      </c>
      <c r="J56" s="237">
        <f>SUM(G56:I56)</f>
        <v>0</v>
      </c>
      <c r="K56" s="104" t="s">
        <v>42</v>
      </c>
      <c r="L56" s="105"/>
      <c r="M56" s="105"/>
      <c r="N56" s="105">
        <f>D56*J56</f>
        <v>0</v>
      </c>
      <c r="O56" s="105">
        <f>SUM(L56:N56)</f>
        <v>0</v>
      </c>
      <c r="P56" s="245">
        <f>'Rider Rates'!D139</f>
        <v>0</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249</v>
      </c>
      <c r="B57" s="78"/>
      <c r="C57" s="78"/>
      <c r="D57" s="100"/>
      <c r="E57" s="101" t="s">
        <v>114</v>
      </c>
      <c r="F57" s="102" t="s">
        <v>8</v>
      </c>
      <c r="G57" s="263"/>
      <c r="H57" s="263"/>
      <c r="I57" s="263">
        <f>'Rider Rates'!$B$141</f>
        <v>0</v>
      </c>
      <c r="J57" s="263">
        <f>SUM(G57:I57)</f>
        <v>0</v>
      </c>
      <c r="K57" s="104"/>
      <c r="L57" s="209"/>
      <c r="M57" s="209"/>
      <c r="N57" s="209">
        <f>J57</f>
        <v>0</v>
      </c>
      <c r="O57" s="209">
        <f>SUM(L57:N57)</f>
        <v>0</v>
      </c>
      <c r="P57" s="264">
        <f>'Rider Rates'!$D$137</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251</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179" t="s">
        <v>70</v>
      </c>
      <c r="B59" s="148"/>
      <c r="C59" s="148"/>
      <c r="D59" s="180"/>
      <c r="E59" s="181"/>
      <c r="F59" s="182"/>
      <c r="G59" s="182"/>
      <c r="H59" s="182"/>
      <c r="I59" s="182"/>
      <c r="J59" s="182"/>
      <c r="K59" s="183"/>
      <c r="L59" s="169">
        <f>SUM(L32:L58)</f>
        <v>0</v>
      </c>
      <c r="M59" s="169">
        <f>SUM(M32:M58)</f>
        <v>0</v>
      </c>
      <c r="N59" s="169">
        <f>SUM(N32:N58)</f>
        <v>7.7599999999999989</v>
      </c>
      <c r="O59" s="169">
        <f>SUM(O32:O58)</f>
        <v>7.7599999999999989</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85" t="s">
        <v>93</v>
      </c>
      <c r="B61" s="170"/>
      <c r="C61" s="170"/>
      <c r="D61" s="170"/>
      <c r="E61" s="170"/>
      <c r="F61" s="170"/>
      <c r="G61" s="170"/>
      <c r="H61" s="170"/>
      <c r="I61" s="170"/>
      <c r="J61" s="170"/>
      <c r="K61" s="170"/>
      <c r="L61" s="186">
        <f>L28+L59</f>
        <v>0</v>
      </c>
      <c r="M61" s="186">
        <f>M28+M59</f>
        <v>0</v>
      </c>
      <c r="N61" s="186">
        <f>N28+N59</f>
        <v>17.759999999999998</v>
      </c>
      <c r="O61" s="187">
        <f>O28+O59</f>
        <v>17.759999999999998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5">
      <c r="A64" s="166" t="s">
        <v>92</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5">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5">
      <c r="A66" s="148" t="s">
        <v>116</v>
      </c>
      <c r="B66" s="151"/>
      <c r="C66" s="151"/>
      <c r="D66" s="151"/>
      <c r="E66" s="151"/>
      <c r="F66" s="151"/>
      <c r="G66" s="151"/>
      <c r="H66" s="151"/>
      <c r="I66" s="151"/>
      <c r="J66" s="151"/>
      <c r="K66" s="151"/>
      <c r="L66" s="151"/>
      <c r="M66" s="151"/>
      <c r="N66" s="151"/>
      <c r="O66" s="190">
        <f>IF($D$17&lt;0,O61,IF(O61&gt;O64,O61,O64))</f>
        <v>17.759999999999998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5">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5">
      <c r="A68" s="148"/>
      <c r="B68" s="166"/>
      <c r="C68" s="166"/>
      <c r="D68" s="166"/>
      <c r="E68" s="166"/>
      <c r="F68" s="166"/>
      <c r="G68" s="166"/>
      <c r="H68" s="166"/>
      <c r="I68" s="166" t="s">
        <v>120</v>
      </c>
      <c r="J68" s="166"/>
      <c r="K68" s="166"/>
      <c r="L68" s="191"/>
      <c r="M68" s="191"/>
      <c r="N68" s="191"/>
      <c r="O68" s="191">
        <f>ROUND(IF($D$17&lt;1,0,O61/($D$17*100)*10000),2)</f>
        <v>0</v>
      </c>
      <c r="P68" s="37" t="s">
        <v>86</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5">
      <c r="A69" s="37"/>
      <c r="B69" s="78"/>
      <c r="C69" s="78"/>
      <c r="D69" s="78"/>
      <c r="E69" s="78"/>
      <c r="F69" s="78"/>
      <c r="G69" s="78"/>
      <c r="H69" s="192"/>
      <c r="I69" s="242" t="s">
        <v>198</v>
      </c>
      <c r="J69" s="78"/>
      <c r="K69" s="78"/>
      <c r="L69" s="78"/>
      <c r="M69" s="78"/>
      <c r="N69" s="78"/>
      <c r="O69" s="243">
        <f>ROUND(IF($D$19&lt;1,0,(L61)/($D$19*100)*10000),2)</f>
        <v>0</v>
      </c>
      <c r="P69" s="25" t="s">
        <v>86</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5">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5">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5">
      <c r="A72" s="78"/>
      <c r="D72" s="1"/>
      <c r="E72" s="35"/>
      <c r="F72" s="106"/>
      <c r="Q72" s="80"/>
    </row>
    <row r="73" spans="1:236" x14ac:dyDescent="0.25">
      <c r="A73" s="96"/>
      <c r="D73" s="1"/>
      <c r="E73" s="35"/>
      <c r="F73" s="4"/>
      <c r="Q73" s="36"/>
    </row>
    <row r="74" spans="1:236" x14ac:dyDescent="0.25">
      <c r="A74" s="96"/>
      <c r="D74" s="1"/>
      <c r="E74" s="35"/>
      <c r="F74" s="4"/>
      <c r="Q74" s="36"/>
    </row>
    <row r="75" spans="1:236" x14ac:dyDescent="0.25">
      <c r="A75" s="41"/>
      <c r="B75" s="77"/>
      <c r="C75" s="77"/>
      <c r="D75" s="77"/>
      <c r="E75" s="77"/>
      <c r="F75" s="77"/>
    </row>
    <row r="76" spans="1:236" x14ac:dyDescent="0.25">
      <c r="B76" s="37"/>
      <c r="C76" s="37"/>
      <c r="D76" s="37"/>
      <c r="E76" s="37"/>
      <c r="F76" s="37"/>
      <c r="P76" s="37"/>
      <c r="Q76" s="37"/>
    </row>
    <row r="77" spans="1:236" x14ac:dyDescent="0.25">
      <c r="B77" s="37"/>
      <c r="C77" s="37"/>
      <c r="D77" s="37"/>
      <c r="E77" s="37"/>
      <c r="F77" s="37"/>
      <c r="P77" s="25"/>
      <c r="Q77" s="25"/>
    </row>
    <row r="80" spans="1:23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row r="90" spans="1:1" x14ac:dyDescent="0.25">
      <c r="A90" s="550"/>
    </row>
    <row r="91" spans="1:1" x14ac:dyDescent="0.25">
      <c r="A91" s="550"/>
    </row>
    <row r="92" spans="1:1" x14ac:dyDescent="0.25">
      <c r="A92" s="550"/>
    </row>
    <row r="93" spans="1:1" x14ac:dyDescent="0.25">
      <c r="A93" s="550"/>
    </row>
    <row r="94" spans="1:1" x14ac:dyDescent="0.25">
      <c r="A94" s="550"/>
    </row>
  </sheetData>
  <sheetProtection algorithmName="SHA-512" hashValue="b05NqqEREBSTWKd/6ssngZp4vgZWx1NZaAow03NNi83iWuksx8UyzzWJE7pubHIHeo3hPWKHiTuOVbmp/ckNZA==" saltValue="9UDJTG02j0PaeHQghj9o7Q==" spinCount="100000" sheet="1" objects="1" scenarios="1"/>
  <mergeCells count="9">
    <mergeCell ref="A2:P2"/>
    <mergeCell ref="A3:P3"/>
    <mergeCell ref="B6:O6"/>
    <mergeCell ref="A80:A94"/>
    <mergeCell ref="A1:P1"/>
    <mergeCell ref="A4:P4"/>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Button 1">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185346" r:id="rId5" name="Button 2">
              <controlPr defaultSize="0" print="0" autoFill="0" autoPict="0" macro="[0]!Info">
                <anchor moveWithCells="1">
                  <from>
                    <xdr:col>16</xdr:col>
                    <xdr:colOff>388620</xdr:colOff>
                    <xdr:row>83</xdr:row>
                    <xdr:rowOff>38100</xdr:rowOff>
                  </from>
                  <to>
                    <xdr:col>30</xdr:col>
                    <xdr:colOff>160020</xdr:colOff>
                    <xdr:row>84</xdr:row>
                    <xdr:rowOff>83820</xdr:rowOff>
                  </to>
                </anchor>
              </controlPr>
            </control>
          </mc:Choice>
        </mc:AlternateContent>
        <mc:AlternateContent xmlns:mc="http://schemas.openxmlformats.org/markup-compatibility/2006">
          <mc:Choice Requires="x14">
            <control shapeId="185347" r:id="rId6" name="Button 3">
              <controlPr defaultSize="0" print="0" autoFill="0" autoPict="0" macro="[0]!Info">
                <anchor moveWithCells="1">
                  <from>
                    <xdr:col>0</xdr:col>
                    <xdr:colOff>45720</xdr:colOff>
                    <xdr:row>0</xdr:row>
                    <xdr:rowOff>45720</xdr:rowOff>
                  </from>
                  <to>
                    <xdr:col>0</xdr:col>
                    <xdr:colOff>411480</xdr:colOff>
                    <xdr:row>1</xdr:row>
                    <xdr:rowOff>45720</xdr:rowOff>
                  </to>
                </anchor>
              </controlPr>
            </control>
          </mc:Choice>
        </mc:AlternateContent>
        <mc:AlternateContent xmlns:mc="http://schemas.openxmlformats.org/markup-compatibility/2006">
          <mc:Choice Requires="x14">
            <control shapeId="185348" r:id="rId7" name="Button 4">
              <controlPr defaultSize="0" print="0" autoFill="0" autoPict="0" macro="[0]!Info">
                <anchor moveWithCells="1">
                  <from>
                    <xdr:col>16</xdr:col>
                    <xdr:colOff>388620</xdr:colOff>
                    <xdr:row>87</xdr:row>
                    <xdr:rowOff>38100</xdr:rowOff>
                  </from>
                  <to>
                    <xdr:col>30</xdr:col>
                    <xdr:colOff>160020</xdr:colOff>
                    <xdr:row>88</xdr:row>
                    <xdr:rowOff>83820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HM70"/>
  <sheetViews>
    <sheetView showGridLines="0" topLeftCell="A19" zoomScale="80" zoomScaleNormal="80" workbookViewId="0">
      <selection activeCell="O42" sqref="M42:O43"/>
    </sheetView>
  </sheetViews>
  <sheetFormatPr defaultRowHeight="13.2" x14ac:dyDescent="0.25"/>
  <cols>
    <col min="1" max="1" width="37.5546875" customWidth="1"/>
    <col min="2" max="2" width="2.109375" customWidth="1"/>
    <col min="3" max="3" width="14.5546875" customWidth="1"/>
    <col min="4" max="4" width="15.44140625" customWidth="1"/>
    <col min="5" max="5" width="9.88671875" customWidth="1"/>
    <col min="6" max="6" width="5.5546875" customWidth="1"/>
    <col min="7" max="8" width="13.44140625" customWidth="1"/>
    <col min="9" max="9" width="14.5546875" customWidth="1"/>
    <col min="10" max="10" width="14.88671875" bestFit="1" customWidth="1"/>
    <col min="11" max="11" width="7" customWidth="1"/>
    <col min="12" max="12" width="15.109375" customWidth="1"/>
    <col min="13" max="13" width="17.44140625" bestFit="1" customWidth="1"/>
    <col min="14" max="14" width="16.5546875" customWidth="1"/>
    <col min="15" max="15" width="17.44140625" bestFit="1" customWidth="1"/>
    <col min="16" max="16" width="12.88671875" bestFit="1" customWidth="1"/>
    <col min="18" max="18" width="13.88671875"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row>
    <row r="2" spans="1:30" ht="21" x14ac:dyDescent="0.4">
      <c r="A2" s="552" t="s">
        <v>122</v>
      </c>
      <c r="B2" s="552"/>
      <c r="C2" s="552"/>
      <c r="D2" s="552"/>
      <c r="E2" s="552"/>
      <c r="F2" s="552"/>
      <c r="G2" s="552"/>
      <c r="H2" s="552"/>
      <c r="I2" s="552"/>
      <c r="J2" s="552"/>
      <c r="K2" s="552"/>
      <c r="L2" s="552"/>
      <c r="M2" s="552"/>
      <c r="N2" s="552"/>
      <c r="O2" s="552"/>
      <c r="P2" s="552"/>
    </row>
    <row r="3" spans="1:30" ht="17.399999999999999" x14ac:dyDescent="0.3">
      <c r="A3" s="568" t="s">
        <v>182</v>
      </c>
      <c r="B3" s="568"/>
      <c r="C3" s="568"/>
      <c r="D3" s="568"/>
      <c r="E3" s="568"/>
      <c r="F3" s="568"/>
      <c r="G3" s="568"/>
      <c r="H3" s="568"/>
      <c r="I3" s="568"/>
      <c r="J3" s="568"/>
      <c r="K3" s="568"/>
      <c r="L3" s="568"/>
      <c r="M3" s="568"/>
      <c r="N3" s="568"/>
      <c r="O3" s="568"/>
      <c r="P3" s="568"/>
    </row>
    <row r="4" spans="1:30"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5">
      <c r="A5" s="75"/>
      <c r="B5" s="75"/>
      <c r="C5" s="75"/>
      <c r="D5" s="75"/>
      <c r="E5" s="75"/>
      <c r="F5" s="75"/>
      <c r="G5" s="75"/>
      <c r="H5" s="75"/>
      <c r="I5" s="75"/>
      <c r="J5" s="75"/>
      <c r="K5" s="75"/>
      <c r="L5" s="75"/>
      <c r="M5" s="75"/>
      <c r="N5" s="75"/>
      <c r="O5" s="75"/>
      <c r="P5" s="75"/>
    </row>
    <row r="6" spans="1:30" x14ac:dyDescent="0.25">
      <c r="A6" s="76">
        <f ca="1">TODAY()</f>
        <v>45588</v>
      </c>
      <c r="B6" s="206" t="s">
        <v>244</v>
      </c>
      <c r="C6" s="206"/>
      <c r="D6" s="206"/>
      <c r="E6" s="206"/>
      <c r="F6" s="206"/>
      <c r="G6" s="206"/>
      <c r="H6" s="206"/>
      <c r="I6" s="206"/>
      <c r="J6" s="206"/>
      <c r="K6" s="206"/>
      <c r="L6" s="206"/>
      <c r="M6" s="206"/>
      <c r="N6" s="206"/>
      <c r="O6" s="206"/>
    </row>
    <row r="7" spans="1:30" x14ac:dyDescent="0.25">
      <c r="A7" s="551" t="s">
        <v>15</v>
      </c>
      <c r="B7" s="551"/>
      <c r="C7" s="551"/>
      <c r="D7" s="551"/>
      <c r="E7" s="551"/>
      <c r="F7" s="551"/>
      <c r="G7" s="551"/>
      <c r="H7" s="551"/>
      <c r="I7" s="551"/>
      <c r="J7" s="551"/>
      <c r="K7" s="551"/>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11</v>
      </c>
      <c r="C11" s="194" t="str">
        <f>LOOKUP(B11,R11:AD11,R12:AD12)</f>
        <v>November</v>
      </c>
      <c r="D11" s="133">
        <f>'Customer Info'!C9</f>
        <v>2024</v>
      </c>
      <c r="S11">
        <v>1</v>
      </c>
      <c r="T11">
        <v>2</v>
      </c>
      <c r="U11">
        <v>3</v>
      </c>
      <c r="V11">
        <v>4</v>
      </c>
      <c r="W11">
        <v>5</v>
      </c>
      <c r="X11">
        <v>6</v>
      </c>
      <c r="Y11">
        <v>7</v>
      </c>
      <c r="Z11">
        <v>8</v>
      </c>
      <c r="AA11">
        <v>9</v>
      </c>
      <c r="AB11">
        <v>10</v>
      </c>
      <c r="AC11">
        <v>11</v>
      </c>
      <c r="AD11">
        <v>12</v>
      </c>
    </row>
    <row r="12" spans="1:30" x14ac:dyDescent="0.25">
      <c r="A12" s="562"/>
      <c r="B12" s="562"/>
      <c r="C12" s="562"/>
      <c r="D12" s="562"/>
      <c r="E12" s="562"/>
      <c r="F12" s="562"/>
      <c r="G12" s="562"/>
      <c r="H12" s="562"/>
      <c r="I12" s="562"/>
      <c r="J12" s="94"/>
      <c r="K12" s="94"/>
      <c r="L12" s="94"/>
      <c r="M12" s="94"/>
      <c r="N12" s="94"/>
      <c r="O12" s="94"/>
      <c r="P12" s="9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97" t="s">
        <v>27</v>
      </c>
      <c r="B13" s="18"/>
      <c r="C13" s="18"/>
      <c r="D13" s="18"/>
      <c r="E13" s="18"/>
      <c r="F13" s="18"/>
      <c r="G13" s="18"/>
      <c r="H13" s="18"/>
      <c r="I13" s="18"/>
      <c r="R13" s="78" t="s">
        <v>176</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18"/>
      <c r="B14" s="18"/>
      <c r="C14" s="18"/>
      <c r="D14" s="18"/>
      <c r="E14" s="18"/>
      <c r="F14" s="18"/>
      <c r="G14" s="18"/>
      <c r="H14" s="18"/>
      <c r="I14" s="18"/>
      <c r="R14" s="78" t="s">
        <v>177</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t="s">
        <v>43</v>
      </c>
      <c r="B15" s="31"/>
      <c r="C15" s="32">
        <f>IF('Customer Info'!B22+'Customer Info'!B23-'Customer Info'!B24&lt;0,0,'Customer Info'!B22+'Customer Info'!B23-'Customer Info'!B24)</f>
        <v>0</v>
      </c>
      <c r="D15" s="31" t="s">
        <v>41</v>
      </c>
      <c r="E15" s="31"/>
      <c r="F15" s="33"/>
      <c r="G15" s="31"/>
      <c r="H15" s="31"/>
      <c r="I15" s="31"/>
      <c r="R15" s="3" t="s">
        <v>195</v>
      </c>
      <c r="S15">
        <f>'Rider Rates'!$C$21</f>
        <v>7.0209999999999995E-2</v>
      </c>
      <c r="T15">
        <f>'Rider Rates'!$C$21</f>
        <v>7.0209999999999995E-2</v>
      </c>
      <c r="U15">
        <f>'Rider Rates'!$C$21</f>
        <v>7.0209999999999995E-2</v>
      </c>
      <c r="V15">
        <f>'Rider Rates'!$C$21</f>
        <v>7.0209999999999995E-2</v>
      </c>
      <c r="W15">
        <f>'Rider Rates'!$C$21</f>
        <v>7.0209999999999995E-2</v>
      </c>
      <c r="X15">
        <f>'Rider Rates'!$B$21</f>
        <v>7.0209999999999995E-2</v>
      </c>
      <c r="Y15">
        <f>'Rider Rates'!$B$21</f>
        <v>7.0209999999999995E-2</v>
      </c>
      <c r="Z15">
        <f>'Rider Rates'!$B$21</f>
        <v>7.0209999999999995E-2</v>
      </c>
      <c r="AA15">
        <f>'Rider Rates'!$B$21</f>
        <v>7.0209999999999995E-2</v>
      </c>
      <c r="AB15">
        <f>'Rider Rates'!$C$21</f>
        <v>7.0209999999999995E-2</v>
      </c>
      <c r="AC15">
        <f>'Rider Rates'!$C$21</f>
        <v>7.0209999999999995E-2</v>
      </c>
      <c r="AD15">
        <f>'Rider Rates'!$C$21</f>
        <v>7.0209999999999995E-2</v>
      </c>
    </row>
    <row r="16" spans="1:30" x14ac:dyDescent="0.25">
      <c r="A16" s="31"/>
      <c r="B16" s="31"/>
      <c r="C16" s="33"/>
      <c r="D16" s="33"/>
      <c r="E16" s="33"/>
      <c r="F16" s="33"/>
      <c r="G16" s="23"/>
      <c r="H16" s="31"/>
      <c r="I16" s="31"/>
    </row>
    <row r="17" spans="1:221" x14ac:dyDescent="0.25">
      <c r="A17" s="28" t="s">
        <v>124</v>
      </c>
      <c r="B17" s="22"/>
      <c r="C17" s="22"/>
      <c r="D17" s="22"/>
      <c r="E17" s="22"/>
      <c r="F17" s="22"/>
      <c r="G17" s="563" t="s">
        <v>67</v>
      </c>
      <c r="H17" s="564"/>
      <c r="I17" s="564"/>
      <c r="J17" s="565"/>
      <c r="K17" s="22"/>
      <c r="L17" s="566" t="s">
        <v>68</v>
      </c>
      <c r="M17" s="566"/>
      <c r="N17" s="566"/>
      <c r="O17" s="566"/>
    </row>
    <row r="18" spans="1:221" x14ac:dyDescent="0.25">
      <c r="A18" s="18"/>
      <c r="B18" s="18"/>
      <c r="C18" s="18"/>
      <c r="D18" s="18"/>
      <c r="E18" s="18"/>
      <c r="F18" s="18"/>
      <c r="G18" s="8" t="s">
        <v>64</v>
      </c>
      <c r="H18" s="8" t="s">
        <v>65</v>
      </c>
      <c r="I18" s="8" t="s">
        <v>66</v>
      </c>
      <c r="J18" s="112" t="s">
        <v>34</v>
      </c>
      <c r="K18" s="18"/>
      <c r="L18" s="131" t="s">
        <v>64</v>
      </c>
      <c r="M18" s="131" t="s">
        <v>65</v>
      </c>
      <c r="N18" s="131" t="s">
        <v>66</v>
      </c>
      <c r="O18" s="132" t="s">
        <v>34</v>
      </c>
      <c r="P18" s="43" t="s">
        <v>56</v>
      </c>
    </row>
    <row r="19" spans="1:221" x14ac:dyDescent="0.25">
      <c r="A19" t="s">
        <v>32</v>
      </c>
      <c r="G19" s="83"/>
      <c r="H19" s="83"/>
      <c r="I19" s="125">
        <v>10</v>
      </c>
      <c r="J19" s="125">
        <f>SUM(G19:I19)</f>
        <v>10</v>
      </c>
      <c r="L19" s="125"/>
      <c r="M19" s="125"/>
      <c r="N19" s="125">
        <f>I19</f>
        <v>10</v>
      </c>
      <c r="O19" s="125">
        <f>+SUM(L19:N19)</f>
        <v>10</v>
      </c>
      <c r="P19" s="245">
        <v>44531</v>
      </c>
    </row>
    <row r="20" spans="1:221" x14ac:dyDescent="0.25">
      <c r="A20" t="s">
        <v>303</v>
      </c>
      <c r="D20" s="1">
        <f>C15</f>
        <v>0</v>
      </c>
      <c r="E20" s="35" t="s">
        <v>41</v>
      </c>
      <c r="F20" s="4" t="s">
        <v>8</v>
      </c>
      <c r="G20" s="165"/>
      <c r="H20" s="127"/>
      <c r="I20" s="165">
        <v>2.6312499999999999E-2</v>
      </c>
      <c r="J20" s="127">
        <f>SUM(G20:I20)</f>
        <v>2.6312499999999999E-2</v>
      </c>
      <c r="K20" s="36" t="s">
        <v>42</v>
      </c>
      <c r="L20" s="129"/>
      <c r="M20" s="129"/>
      <c r="N20" s="129">
        <f>ROUND($D20*I20,2)</f>
        <v>0</v>
      </c>
      <c r="O20" s="125">
        <f>+SUM(L20:N20)</f>
        <v>0</v>
      </c>
      <c r="P20" s="245">
        <v>44531</v>
      </c>
    </row>
    <row r="21" spans="1:221" x14ac:dyDescent="0.25">
      <c r="A21" s="96" t="s">
        <v>74</v>
      </c>
      <c r="B21" s="37"/>
      <c r="C21" s="37"/>
      <c r="D21" s="38"/>
      <c r="E21" s="38"/>
      <c r="F21" s="37"/>
      <c r="G21" s="37"/>
      <c r="I21" s="40"/>
      <c r="K21" s="39"/>
      <c r="L21" s="95"/>
      <c r="M21" s="54"/>
      <c r="N21" s="95">
        <f>SUM(N17:N20)</f>
        <v>10</v>
      </c>
      <c r="O21" s="95">
        <f>SUM(O19:O20)</f>
        <v>10</v>
      </c>
      <c r="R21" s="175"/>
      <c r="S21" s="108"/>
      <c r="T21" s="109"/>
      <c r="U21" s="78"/>
      <c r="V21" s="110"/>
      <c r="W21" s="78"/>
      <c r="X21" s="78"/>
      <c r="Y21" s="78"/>
      <c r="Z21" s="78"/>
      <c r="AA21" s="78"/>
      <c r="AB21" s="78"/>
      <c r="AC21" s="78"/>
      <c r="AD21" s="78"/>
    </row>
    <row r="22" spans="1:221" x14ac:dyDescent="0.25">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69</v>
      </c>
      <c r="B23" s="166"/>
      <c r="C23" s="166"/>
      <c r="D23" s="167"/>
      <c r="E23" s="167"/>
      <c r="F23" s="166"/>
      <c r="G23" s="167"/>
      <c r="H23" s="167"/>
      <c r="I23" s="167"/>
      <c r="J23" s="167"/>
      <c r="K23" s="167"/>
      <c r="L23" s="167"/>
      <c r="M23" s="167"/>
      <c r="N23" s="167"/>
      <c r="O23" s="167"/>
      <c r="P23" s="78"/>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78</v>
      </c>
      <c r="B25" s="176"/>
      <c r="C25" s="176"/>
      <c r="D25" s="100">
        <f>IF($C$15&lt;0,0,IF($C$15&gt;833000,833000,$C$15))</f>
        <v>0</v>
      </c>
      <c r="E25" s="101" t="s">
        <v>41</v>
      </c>
      <c r="F25" s="102" t="s">
        <v>8</v>
      </c>
      <c r="G25" s="103"/>
      <c r="H25" s="103"/>
      <c r="I25" s="103">
        <f>'Rider Rates'!$B$4</f>
        <v>5.9216E-3</v>
      </c>
      <c r="J25" s="201">
        <f t="shared" ref="J25:J46" si="0">SUM(G25:I25)</f>
        <v>5.9216E-3</v>
      </c>
      <c r="K25" s="104" t="s">
        <v>42</v>
      </c>
      <c r="L25" s="105"/>
      <c r="M25" s="105"/>
      <c r="N25" s="105">
        <f t="shared" ref="N25:N30" si="1">ROUND(D25*I25,2)</f>
        <v>0</v>
      </c>
      <c r="O25" s="105">
        <f t="shared" ref="O25:O47" si="2">SUM(L25:N25)</f>
        <v>0</v>
      </c>
      <c r="P25" s="245">
        <f>'Rider Rates'!$D$4</f>
        <v>45293</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79</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45293</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96</v>
      </c>
      <c r="B27" s="78"/>
      <c r="C27" s="78"/>
      <c r="D27" s="100">
        <f>IF($C$15&lt;0,0,IF($C$15&gt;2000,2000,$C$15))</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97</v>
      </c>
      <c r="B28" s="78"/>
      <c r="C28" s="78"/>
      <c r="D28" s="100">
        <f>IF($C$15&lt;=2000,0,IF($C$15=0,0,IF($C$15-2000&gt;13000,13000,$C$15-2000)))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98</v>
      </c>
      <c r="B29" s="78"/>
      <c r="C29" s="78"/>
      <c r="D29" s="100">
        <f>IF($C$15=0,0,IF($C$15-15000&gt;=0,$C$15-15000,0))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210" t="s">
        <v>159</v>
      </c>
      <c r="B30" s="78"/>
      <c r="C30" s="78"/>
      <c r="D30" s="100">
        <f>IF($C$15&lt;0,0,$C$15)</f>
        <v>0</v>
      </c>
      <c r="E30" s="101" t="s">
        <v>41</v>
      </c>
      <c r="F30" s="102" t="s">
        <v>8</v>
      </c>
      <c r="G30" s="103"/>
      <c r="H30" s="103"/>
      <c r="I30" s="103">
        <f>'Rider Rates'!$B$15</f>
        <v>0</v>
      </c>
      <c r="J30" s="103">
        <f>SUM(G30:I30)</f>
        <v>0</v>
      </c>
      <c r="K30" s="104" t="s">
        <v>42</v>
      </c>
      <c r="L30" s="105"/>
      <c r="M30" s="105"/>
      <c r="N30" s="105">
        <f t="shared" si="1"/>
        <v>0</v>
      </c>
      <c r="O30" s="105">
        <f t="shared" ref="O30:O37" si="3">SUM(L30:N30)</f>
        <v>0</v>
      </c>
      <c r="P30" s="245">
        <f>'Rider Rates'!$D$15</f>
        <v>45505</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245</v>
      </c>
      <c r="B31" s="78"/>
      <c r="C31" s="78"/>
      <c r="D31" s="195">
        <f>$N$21</f>
        <v>10</v>
      </c>
      <c r="E31" s="101" t="s">
        <v>121</v>
      </c>
      <c r="F31" s="102" t="s">
        <v>8</v>
      </c>
      <c r="G31" s="103"/>
      <c r="H31" s="103"/>
      <c r="I31" s="178">
        <f>'Rider Rates'!$B$18+'Rider Rates'!$E$18</f>
        <v>0</v>
      </c>
      <c r="J31" s="178">
        <f>SUM(G31:I31)</f>
        <v>0</v>
      </c>
      <c r="K31" s="104"/>
      <c r="L31" s="105"/>
      <c r="M31" s="105"/>
      <c r="N31" s="105">
        <f>ROUND($D$31*'Rider Rates'!$B$18,2)+ROUND($D$31*'Rider Rates'!$E$18,2)</f>
        <v>0</v>
      </c>
      <c r="O31" s="105">
        <f t="shared" si="3"/>
        <v>0</v>
      </c>
      <c r="P31" s="245">
        <f>MAX('Rider Rates'!$D$18,'Rider Rates'!$F$18)</f>
        <v>44531</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194</v>
      </c>
      <c r="B32" s="78"/>
      <c r="C32" s="78"/>
      <c r="D32" s="100">
        <f>'Customer Info'!$B$22+'Customer Info'!$B$23</f>
        <v>0</v>
      </c>
      <c r="E32" s="101" t="s">
        <v>41</v>
      </c>
      <c r="F32" s="102" t="s">
        <v>8</v>
      </c>
      <c r="G32" s="103">
        <f>'Rider Rates'!B22</f>
        <v>7.0209999999999995E-2</v>
      </c>
      <c r="H32" s="103"/>
      <c r="I32" s="103"/>
      <c r="J32" s="237">
        <f>SUM(G32:H32)</f>
        <v>7.0209999999999995E-2</v>
      </c>
      <c r="K32" s="104" t="s">
        <v>42</v>
      </c>
      <c r="L32" s="105">
        <f>ROUND(D32*G32,2)</f>
        <v>0</v>
      </c>
      <c r="M32" s="105"/>
      <c r="N32" s="105"/>
      <c r="O32" s="105">
        <f t="shared" si="3"/>
        <v>0</v>
      </c>
      <c r="P32" s="245">
        <f>'Rider Rates'!$D$21</f>
        <v>45444</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41" t="s">
        <v>180</v>
      </c>
      <c r="B33" s="78"/>
      <c r="C33" s="78"/>
      <c r="D33" s="100">
        <f>'Customer Info'!$B$23</f>
        <v>0</v>
      </c>
      <c r="E33" s="101" t="s">
        <v>41</v>
      </c>
      <c r="F33" s="102" t="s">
        <v>8</v>
      </c>
      <c r="G33" s="103">
        <f>'Rider Rates'!B33</f>
        <v>1.8998000000000001E-3</v>
      </c>
      <c r="H33" s="103"/>
      <c r="I33" s="103"/>
      <c r="J33" s="237">
        <f>SUM(G33:H33)</f>
        <v>1.8998000000000001E-3</v>
      </c>
      <c r="K33" s="104" t="s">
        <v>42</v>
      </c>
      <c r="L33" s="105">
        <f>ROUND(D33*G33,2)</f>
        <v>0</v>
      </c>
      <c r="M33" s="105"/>
      <c r="N33" s="105"/>
      <c r="O33" s="105">
        <f t="shared" si="3"/>
        <v>0</v>
      </c>
      <c r="P33" s="245">
        <f>'Rider Rates'!$D$32</f>
        <v>45444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41" t="s">
        <v>181</v>
      </c>
      <c r="B34" s="78"/>
      <c r="C34" s="78"/>
      <c r="D34" s="100">
        <f>'Customer Info'!$B$22</f>
        <v>0</v>
      </c>
      <c r="E34" s="101" t="s">
        <v>41</v>
      </c>
      <c r="F34" s="102" t="s">
        <v>8</v>
      </c>
      <c r="G34" s="103">
        <f>'Rider Rates'!B32</f>
        <v>5.5376999999999996E-3</v>
      </c>
      <c r="H34" s="103"/>
      <c r="I34" s="103"/>
      <c r="J34" s="237">
        <f>SUM(G34:H34)</f>
        <v>5.5376999999999996E-3</v>
      </c>
      <c r="K34" s="104" t="s">
        <v>42</v>
      </c>
      <c r="L34" s="105">
        <f>ROUND(D34*G34,2)</f>
        <v>0</v>
      </c>
      <c r="M34" s="105"/>
      <c r="N34" s="105"/>
      <c r="O34" s="105">
        <f t="shared" si="3"/>
        <v>0</v>
      </c>
      <c r="P34" s="245">
        <f>'Rider Rates'!$D$33</f>
        <v>45444</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201</v>
      </c>
      <c r="B35" s="78"/>
      <c r="C35" s="78"/>
      <c r="D35" s="100">
        <f>'Customer Info'!$B$22+'Customer Info'!$B$23</f>
        <v>0</v>
      </c>
      <c r="E35" s="101" t="s">
        <v>41</v>
      </c>
      <c r="F35" s="102" t="s">
        <v>8</v>
      </c>
      <c r="G35" s="103">
        <f>'Rider Rates'!B49</f>
        <v>-1.2408E-3</v>
      </c>
      <c r="H35" s="103"/>
      <c r="I35" s="103"/>
      <c r="J35" s="237">
        <f>SUM(G35:H35)</f>
        <v>-1.2408E-3</v>
      </c>
      <c r="K35" s="104" t="s">
        <v>42</v>
      </c>
      <c r="L35" s="105">
        <f>ROUND(D35*G35,2)</f>
        <v>0</v>
      </c>
      <c r="M35" s="105"/>
      <c r="N35" s="105"/>
      <c r="O35" s="105">
        <f>SUM(L35:N35)</f>
        <v>0</v>
      </c>
      <c r="P35" s="245">
        <f>'Rider Rates'!$D$49</f>
        <v>45562</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41" t="s">
        <v>218</v>
      </c>
      <c r="B36" s="78"/>
      <c r="C36" s="78"/>
      <c r="D36" s="100"/>
      <c r="E36" s="101" t="s">
        <v>114</v>
      </c>
      <c r="F36" s="102" t="s">
        <v>15</v>
      </c>
      <c r="G36" s="103"/>
      <c r="H36" s="103"/>
      <c r="I36" s="103">
        <f>'Rider Rates'!D52</f>
        <v>1.39</v>
      </c>
      <c r="J36" s="103">
        <f>SUM(G36:I36)</f>
        <v>1.39</v>
      </c>
      <c r="K36" s="104" t="s">
        <v>42</v>
      </c>
      <c r="L36" s="105"/>
      <c r="M36" s="105"/>
      <c r="N36" s="105">
        <f>J36</f>
        <v>1.39</v>
      </c>
      <c r="O36" s="105">
        <f>SUM(L36:N36)</f>
        <v>1.39</v>
      </c>
      <c r="P36" s="245">
        <f>'Rider Rates'!E52</f>
        <v>45474</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197</v>
      </c>
      <c r="B37" s="78"/>
      <c r="C37" s="78"/>
      <c r="D37" s="100">
        <f>IF($C$15&lt;0,0,$C$15)</f>
        <v>0</v>
      </c>
      <c r="E37" s="113" t="s">
        <v>41</v>
      </c>
      <c r="F37" s="102" t="s">
        <v>8</v>
      </c>
      <c r="G37" s="103"/>
      <c r="H37" s="103">
        <f>'Rider Rates'!$B$59</f>
        <v>4.3837099999999997E-2</v>
      </c>
      <c r="I37" s="103"/>
      <c r="J37" s="103">
        <f>SUM(G37:I37)</f>
        <v>4.3837099999999997E-2</v>
      </c>
      <c r="K37" s="104" t="s">
        <v>42</v>
      </c>
      <c r="L37" s="105"/>
      <c r="M37" s="105">
        <f>ROUND(D37*H37,2)</f>
        <v>0</v>
      </c>
      <c r="N37" s="205"/>
      <c r="O37" s="105">
        <f t="shared" si="3"/>
        <v>0</v>
      </c>
      <c r="P37" s="245">
        <f>'Rider Rates'!$D$59</f>
        <v>45383</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346</v>
      </c>
      <c r="B38" s="78"/>
      <c r="C38" s="78"/>
      <c r="D38" s="100">
        <f>IF($C$15&lt;0,0,$C$15)</f>
        <v>0</v>
      </c>
      <c r="E38" s="101" t="s">
        <v>41</v>
      </c>
      <c r="F38" s="102" t="s">
        <v>8</v>
      </c>
      <c r="G38" s="103"/>
      <c r="H38" s="103"/>
      <c r="I38" s="103">
        <f>'Rider Rates'!$B$70</f>
        <v>8.6240000000000004E-4</v>
      </c>
      <c r="J38" s="103">
        <f t="shared" ref="J38" si="4">SUM(G38:I38)</f>
        <v>8.6240000000000004E-4</v>
      </c>
      <c r="K38" s="104" t="s">
        <v>42</v>
      </c>
      <c r="L38" s="105"/>
      <c r="M38" s="105"/>
      <c r="N38" s="105">
        <f>ROUND($D$38*'Rider Rates'!$B$70,2)</f>
        <v>0</v>
      </c>
      <c r="O38" s="105">
        <f t="shared" ref="O38" si="5">SUM(L38:N38)</f>
        <v>0</v>
      </c>
      <c r="P38" s="245">
        <f>'Rider Rates'!$D$70</f>
        <v>45532</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95</v>
      </c>
      <c r="B39" s="78"/>
      <c r="C39" s="78"/>
      <c r="D39" s="100">
        <f>IF('Customer Info'!C35=TRUE,0,IF($C$15&lt;0,0,$C$15))</f>
        <v>0</v>
      </c>
      <c r="E39" s="101" t="s">
        <v>41</v>
      </c>
      <c r="F39" s="102" t="s">
        <v>8</v>
      </c>
      <c r="G39" s="103"/>
      <c r="H39" s="103"/>
      <c r="I39" s="103">
        <f>'Rider Rates'!$B$73+'Rider Rates'!$C$73</f>
        <v>0</v>
      </c>
      <c r="J39" s="103">
        <f t="shared" si="0"/>
        <v>0</v>
      </c>
      <c r="K39" s="104" t="s">
        <v>42</v>
      </c>
      <c r="L39" s="105"/>
      <c r="M39" s="105"/>
      <c r="N39" s="105">
        <f>ROUND($D$39*'Rider Rates'!$B$73,2)+ROUND($D$39*'Rider Rates'!$C$73,2)</f>
        <v>0</v>
      </c>
      <c r="O39" s="105">
        <f t="shared" si="2"/>
        <v>0</v>
      </c>
      <c r="P39" s="245">
        <f>'Rider Rates'!$D$73</f>
        <v>44531</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80</v>
      </c>
      <c r="B40" s="78"/>
      <c r="C40" s="78"/>
      <c r="D40" s="195">
        <f>$N$21</f>
        <v>10</v>
      </c>
      <c r="E40" s="101" t="s">
        <v>121</v>
      </c>
      <c r="F40" s="102" t="s">
        <v>8</v>
      </c>
      <c r="G40" s="111"/>
      <c r="H40" s="112"/>
      <c r="I40" s="120">
        <f>'Rider Rates'!$B$89</f>
        <v>4.94232E-2</v>
      </c>
      <c r="J40" s="120">
        <f t="shared" si="0"/>
        <v>4.94232E-2</v>
      </c>
      <c r="K40" s="104"/>
      <c r="L40" s="105"/>
      <c r="M40" s="105"/>
      <c r="N40" s="105">
        <f>ROUND(D40*I40,2)</f>
        <v>0.49</v>
      </c>
      <c r="O40" s="105">
        <f t="shared" si="2"/>
        <v>0.49</v>
      </c>
      <c r="P40" s="245">
        <f>'Rider Rates'!$D$89</f>
        <v>45562</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81</v>
      </c>
      <c r="B41" s="78"/>
      <c r="C41" s="78"/>
      <c r="D41" s="195">
        <f>$N$21</f>
        <v>10</v>
      </c>
      <c r="E41" s="101" t="s">
        <v>121</v>
      </c>
      <c r="F41" s="102" t="s">
        <v>8</v>
      </c>
      <c r="G41" s="114"/>
      <c r="H41" s="115"/>
      <c r="I41" s="120">
        <f>'Rider Rates'!$B$91</f>
        <v>6.6985699999999995E-2</v>
      </c>
      <c r="J41" s="120">
        <f t="shared" si="0"/>
        <v>6.6985699999999995E-2</v>
      </c>
      <c r="K41" s="104"/>
      <c r="L41" s="105"/>
      <c r="M41" s="105"/>
      <c r="N41" s="105">
        <f>ROUND(D41*I41,2)</f>
        <v>0.67</v>
      </c>
      <c r="O41" s="105">
        <f t="shared" si="2"/>
        <v>0.67</v>
      </c>
      <c r="P41" s="245">
        <f>'Rider Rates'!$D$91</f>
        <v>45167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214</v>
      </c>
      <c r="B42" s="78"/>
      <c r="C42" s="78"/>
      <c r="D42" s="195"/>
      <c r="E42" s="113" t="s">
        <v>114</v>
      </c>
      <c r="F42" s="106"/>
      <c r="G42" s="114"/>
      <c r="H42" s="115"/>
      <c r="I42" s="196">
        <f>'Rider Rates'!$B$94</f>
        <v>2.0299999999999998</v>
      </c>
      <c r="J42" s="196">
        <f t="shared" si="0"/>
        <v>2.0299999999999998</v>
      </c>
      <c r="K42" s="104"/>
      <c r="L42" s="105"/>
      <c r="M42" s="105"/>
      <c r="N42" s="105">
        <f>I42</f>
        <v>2.0299999999999998</v>
      </c>
      <c r="O42" s="105">
        <f t="shared" si="2"/>
        <v>2.0299999999999998</v>
      </c>
      <c r="P42" s="245">
        <f>'Rider Rates'!$D$94</f>
        <v>45562</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247</v>
      </c>
      <c r="B43" s="78"/>
      <c r="C43" s="78"/>
      <c r="D43" s="100">
        <f>IF($C$15&lt;0,0,$C$15)</f>
        <v>0</v>
      </c>
      <c r="E43" s="101" t="s">
        <v>41</v>
      </c>
      <c r="F43" s="102" t="s">
        <v>8</v>
      </c>
      <c r="G43" s="103"/>
      <c r="H43" s="103"/>
      <c r="I43" s="103"/>
      <c r="J43" s="103">
        <f>'Rider Rates'!$B$98</f>
        <v>0</v>
      </c>
      <c r="K43" s="104" t="s">
        <v>42</v>
      </c>
      <c r="L43" s="105"/>
      <c r="M43" s="105"/>
      <c r="N43" s="105"/>
      <c r="O43" s="105">
        <f>ROUND($D43*('Rider Rates'!B$98),2)</f>
        <v>0</v>
      </c>
      <c r="P43" s="245">
        <f>'Rider Rates'!$D$98</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156</v>
      </c>
      <c r="B44" s="78"/>
      <c r="C44" s="78"/>
      <c r="D44" s="195">
        <f>$N$21</f>
        <v>10</v>
      </c>
      <c r="E44" s="101" t="s">
        <v>121</v>
      </c>
      <c r="F44" s="102" t="s">
        <v>8</v>
      </c>
      <c r="G44" s="114"/>
      <c r="H44" s="115"/>
      <c r="I44" s="120">
        <f>'Rider Rates'!$B$109</f>
        <v>0.211176</v>
      </c>
      <c r="J44" s="120">
        <f t="shared" si="0"/>
        <v>0.211176</v>
      </c>
      <c r="K44" s="104"/>
      <c r="L44" s="105"/>
      <c r="M44" s="105"/>
      <c r="N44" s="105">
        <f>ROUND(D44*I44,2)</f>
        <v>2.11</v>
      </c>
      <c r="O44" s="105">
        <f t="shared" si="2"/>
        <v>2.11</v>
      </c>
      <c r="P44" s="245">
        <f>'Rider Rates'!$D$109</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217</v>
      </c>
      <c r="B45" s="78"/>
      <c r="C45" s="78"/>
      <c r="D45" s="195"/>
      <c r="E45" s="113" t="s">
        <v>114</v>
      </c>
      <c r="F45" s="106"/>
      <c r="G45" s="114"/>
      <c r="H45" s="115"/>
      <c r="I45" s="196">
        <f>'Rider Rates'!$B$112</f>
        <v>0</v>
      </c>
      <c r="J45" s="196">
        <f t="shared" si="0"/>
        <v>0</v>
      </c>
      <c r="K45" s="104"/>
      <c r="L45" s="105"/>
      <c r="M45" s="105"/>
      <c r="N45" s="105">
        <f>I45</f>
        <v>0</v>
      </c>
      <c r="O45" s="105">
        <f t="shared" si="2"/>
        <v>0</v>
      </c>
      <c r="P45" s="245">
        <f>'Rider Rates'!$D$112</f>
        <v>44894</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10" t="s">
        <v>225</v>
      </c>
      <c r="B46" s="78"/>
      <c r="C46" s="78"/>
      <c r="D46" s="195"/>
      <c r="E46" s="113" t="s">
        <v>114</v>
      </c>
      <c r="F46" s="106"/>
      <c r="G46" s="114"/>
      <c r="H46" s="115"/>
      <c r="I46" s="258">
        <f>'Rider Rates'!B125</f>
        <v>0.97</v>
      </c>
      <c r="J46" s="196">
        <f t="shared" si="0"/>
        <v>0.97</v>
      </c>
      <c r="K46" s="104"/>
      <c r="L46" s="105"/>
      <c r="M46" s="105"/>
      <c r="N46" s="260">
        <f>I46</f>
        <v>0.97</v>
      </c>
      <c r="O46" s="105">
        <f t="shared" si="2"/>
        <v>0.97</v>
      </c>
      <c r="P46" s="245">
        <f>'Rider Rates'!D125</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157</v>
      </c>
      <c r="B47" s="78"/>
      <c r="C47" s="78"/>
      <c r="D47" s="100">
        <f>'Customer Info'!$B$22+'Customer Info'!$B$23</f>
        <v>0</v>
      </c>
      <c r="E47" s="101" t="s">
        <v>41</v>
      </c>
      <c r="F47" s="102" t="s">
        <v>8</v>
      </c>
      <c r="G47" s="103">
        <f>'Rider Rates'!$B$116</f>
        <v>3.8972999999999998E-3</v>
      </c>
      <c r="H47" s="103"/>
      <c r="I47" s="120"/>
      <c r="J47" s="237">
        <f>SUM(G47:H47)</f>
        <v>3.8972999999999998E-3</v>
      </c>
      <c r="K47" s="104" t="s">
        <v>42</v>
      </c>
      <c r="L47" s="105">
        <f>ROUND(D47*G47,2)</f>
        <v>0</v>
      </c>
      <c r="M47" s="105"/>
      <c r="N47" s="105"/>
      <c r="O47" s="105">
        <f t="shared" si="2"/>
        <v>0</v>
      </c>
      <c r="P47" s="245">
        <f>'Rider Rates'!$D$116</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216</v>
      </c>
      <c r="B48" s="78"/>
      <c r="C48" s="78"/>
      <c r="D48" s="100">
        <f>IF($C$15&lt;1,0,$C$15)</f>
        <v>0</v>
      </c>
      <c r="E48" s="101" t="s">
        <v>41</v>
      </c>
      <c r="F48" s="249" t="s">
        <v>8</v>
      </c>
      <c r="G48" s="165"/>
      <c r="H48" s="165"/>
      <c r="I48" s="251">
        <f>'Rider Rates'!B121</f>
        <v>-2.3000000000000001E-4</v>
      </c>
      <c r="J48" s="251">
        <f>SUM(G48:I48)</f>
        <v>-2.3000000000000001E-4</v>
      </c>
      <c r="K48" s="104" t="s">
        <v>42</v>
      </c>
      <c r="L48" s="105"/>
      <c r="M48" s="105"/>
      <c r="N48" s="105">
        <f>D48*J48</f>
        <v>0</v>
      </c>
      <c r="O48" s="105">
        <f>SUM(L48:N48)</f>
        <v>0</v>
      </c>
      <c r="P48" s="245">
        <f>'Rider Rates'!D121</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41" t="s">
        <v>238</v>
      </c>
      <c r="B49" s="78"/>
      <c r="C49" s="78"/>
      <c r="D49" s="100"/>
      <c r="E49" s="101" t="s">
        <v>114</v>
      </c>
      <c r="F49" s="102" t="s">
        <v>8</v>
      </c>
      <c r="G49" s="263"/>
      <c r="H49" s="263"/>
      <c r="I49" s="263">
        <f>'Rider Rates'!$B$129</f>
        <v>0.1</v>
      </c>
      <c r="J49" s="263">
        <f>SUM(G49:I49)</f>
        <v>0.1</v>
      </c>
      <c r="K49" s="104"/>
      <c r="L49" s="209"/>
      <c r="M49" s="209"/>
      <c r="N49" s="209">
        <f>J49</f>
        <v>0.1</v>
      </c>
      <c r="O49" s="209">
        <f>SUM(L49:N49)</f>
        <v>0.1</v>
      </c>
      <c r="P49" s="264">
        <f>'Rider Rates'!$E$129</f>
        <v>44927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41" t="s">
        <v>250</v>
      </c>
      <c r="B50" s="78"/>
      <c r="C50" s="78"/>
      <c r="D50" s="100">
        <f>C15</f>
        <v>0</v>
      </c>
      <c r="E50" s="101" t="s">
        <v>41</v>
      </c>
      <c r="F50" s="249" t="s">
        <v>8</v>
      </c>
      <c r="G50" s="103"/>
      <c r="H50" s="103"/>
      <c r="I50" s="103">
        <f>'Rider Rates'!$B$134</f>
        <v>0</v>
      </c>
      <c r="J50" s="237">
        <f>SUM(G50:I50)</f>
        <v>0</v>
      </c>
      <c r="K50" s="104" t="s">
        <v>42</v>
      </c>
      <c r="L50" s="105"/>
      <c r="M50" s="105"/>
      <c r="N50" s="105">
        <f>D50*J50</f>
        <v>0</v>
      </c>
      <c r="O50" s="105">
        <f>SUM(L50:N50)</f>
        <v>0</v>
      </c>
      <c r="P50" s="245">
        <f>'Rider Rates'!D134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249</v>
      </c>
      <c r="B51" s="78"/>
      <c r="C51" s="78"/>
      <c r="D51" s="100"/>
      <c r="E51" s="101" t="s">
        <v>114</v>
      </c>
      <c r="F51" s="102" t="s">
        <v>8</v>
      </c>
      <c r="G51" s="263"/>
      <c r="H51" s="263"/>
      <c r="I51" s="263">
        <f>'Rider Rates'!$B$141</f>
        <v>0</v>
      </c>
      <c r="J51" s="263">
        <f>SUM(G51:I51)</f>
        <v>0</v>
      </c>
      <c r="K51" s="104"/>
      <c r="L51" s="209"/>
      <c r="M51" s="209"/>
      <c r="N51" s="209">
        <f>J51</f>
        <v>0</v>
      </c>
      <c r="O51" s="209">
        <f>SUM(L51:N51)</f>
        <v>0</v>
      </c>
      <c r="P51" s="264">
        <f>'Rider Rates'!$D$137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251</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179" t="s">
        <v>70</v>
      </c>
      <c r="B53" s="148"/>
      <c r="C53" s="148"/>
      <c r="D53" s="180"/>
      <c r="E53" s="181"/>
      <c r="F53" s="182"/>
      <c r="G53" s="182"/>
      <c r="H53" s="182"/>
      <c r="I53" s="182"/>
      <c r="J53" s="182"/>
      <c r="K53" s="183"/>
      <c r="L53" s="169">
        <f>SUM(L25:L52)</f>
        <v>0</v>
      </c>
      <c r="M53" s="169">
        <f>SUM(M25:M52)</f>
        <v>0</v>
      </c>
      <c r="N53" s="169">
        <f>SUM(N25:N52)</f>
        <v>7.7599999999999989</v>
      </c>
      <c r="O53" s="169">
        <f>SUM(O25:O52)</f>
        <v>7.7599999999999989</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78"/>
      <c r="B54" s="78"/>
      <c r="C54" s="78"/>
      <c r="D54" s="100"/>
      <c r="E54" s="113"/>
      <c r="F54" s="106"/>
      <c r="G54" s="106"/>
      <c r="H54" s="106"/>
      <c r="I54" s="106"/>
      <c r="J54" s="107"/>
      <c r="K54" s="104"/>
      <c r="L54" s="106"/>
      <c r="M54" s="106"/>
      <c r="N54" s="106"/>
      <c r="O54" s="106"/>
      <c r="P54" s="164"/>
      <c r="Q54" s="10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170"/>
      <c r="B55" s="170"/>
      <c r="C55" s="170"/>
      <c r="D55" s="170"/>
      <c r="E55" s="170"/>
      <c r="F55" s="170"/>
      <c r="G55" s="170"/>
      <c r="H55" s="170"/>
      <c r="I55" s="170"/>
      <c r="J55" s="170"/>
      <c r="K55" s="170"/>
      <c r="L55" s="186">
        <f>L21+L53</f>
        <v>0</v>
      </c>
      <c r="M55" s="186">
        <f>M21+M53</f>
        <v>0</v>
      </c>
      <c r="N55" s="186">
        <f>N21+N53</f>
        <v>17.759999999999998</v>
      </c>
      <c r="O55" s="187">
        <f>O21+O53</f>
        <v>17.759999999999998</v>
      </c>
      <c r="P55" s="187"/>
      <c r="Q55" s="10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04"/>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147"/>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166" t="s">
        <v>92</v>
      </c>
      <c r="B58" s="78"/>
      <c r="C58" s="78"/>
      <c r="D58" s="166"/>
      <c r="E58" s="78"/>
      <c r="F58" s="78"/>
      <c r="G58" s="78"/>
      <c r="H58" s="78"/>
      <c r="I58" s="78"/>
      <c r="J58" s="78"/>
      <c r="K58" s="78"/>
      <c r="L58" s="78"/>
      <c r="M58" s="78"/>
      <c r="N58" s="78"/>
      <c r="O58" s="109">
        <f>IF($C$15&lt;=0,MIN(O19,O55), O19)</f>
        <v>10</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147"/>
      <c r="B59" s="166"/>
      <c r="C59" s="166"/>
      <c r="D59" s="166"/>
      <c r="E59" s="166"/>
      <c r="F59" s="166"/>
      <c r="G59" s="166"/>
      <c r="H59" s="166"/>
      <c r="I59" s="78"/>
      <c r="J59" s="78"/>
      <c r="K59" s="78"/>
      <c r="L59" s="78"/>
      <c r="M59" s="78"/>
      <c r="N59" s="151"/>
      <c r="O59" s="151"/>
      <c r="P59" s="151"/>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148" t="s">
        <v>116</v>
      </c>
      <c r="B60" s="151"/>
      <c r="C60" s="151"/>
      <c r="D60" s="151"/>
      <c r="E60" s="151"/>
      <c r="F60" s="151"/>
      <c r="G60" s="151"/>
      <c r="H60" s="151"/>
      <c r="I60" s="151"/>
      <c r="J60" s="151"/>
      <c r="K60" s="151"/>
      <c r="L60" s="151"/>
      <c r="M60" s="151"/>
      <c r="N60" s="151"/>
      <c r="O60" s="190">
        <f>IF($C$15&lt;0,O55,IF(O55&gt;O58,O55,O58))</f>
        <v>17.759999999999998</v>
      </c>
      <c r="P60" s="160"/>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47"/>
    </row>
    <row r="62" spans="1:221" x14ac:dyDescent="0.25">
      <c r="A62" s="147"/>
      <c r="I62" s="166" t="s">
        <v>120</v>
      </c>
      <c r="J62" s="166"/>
      <c r="K62" s="166"/>
      <c r="L62" s="191"/>
      <c r="M62" s="191"/>
      <c r="N62" s="191"/>
      <c r="O62" s="191">
        <f>ROUND(IF($C$15&lt;1,0,O55/($C$15*100)*10000),2)</f>
        <v>0</v>
      </c>
      <c r="P62" s="37" t="s">
        <v>86</v>
      </c>
    </row>
    <row r="63" spans="1:221" x14ac:dyDescent="0.25">
      <c r="A63" s="147"/>
      <c r="I63" s="242" t="s">
        <v>198</v>
      </c>
      <c r="J63" s="78"/>
      <c r="K63" s="78"/>
      <c r="L63" s="78"/>
      <c r="M63" s="78"/>
      <c r="N63" s="78"/>
      <c r="O63" s="243">
        <f>ROUND(IF($C$15&lt;1,0,(L55)/($C$15*100)*10000),2)</f>
        <v>0</v>
      </c>
      <c r="P63" s="25" t="s">
        <v>86</v>
      </c>
    </row>
    <row r="64" spans="1:221" x14ac:dyDescent="0.25">
      <c r="A64" s="147"/>
    </row>
    <row r="65" spans="1:1" x14ac:dyDescent="0.25">
      <c r="A65" s="147"/>
    </row>
    <row r="66" spans="1:1" x14ac:dyDescent="0.25">
      <c r="A66" s="147"/>
    </row>
    <row r="67" spans="1:1" x14ac:dyDescent="0.25">
      <c r="A67" s="147"/>
    </row>
    <row r="68" spans="1:1" x14ac:dyDescent="0.25">
      <c r="A68" s="147"/>
    </row>
    <row r="69" spans="1:1" x14ac:dyDescent="0.25">
      <c r="A69" s="147"/>
    </row>
    <row r="70" spans="1:1" x14ac:dyDescent="0.25">
      <c r="A70" s="147"/>
    </row>
  </sheetData>
  <sheetProtection algorithmName="SHA-512" hashValue="2LwarWAfmV9IG+dz+UrjcEbf7+UeiYhWGjNEb8itJzW77ytBH32yG7L+WzedPePvVMyOQDyntT0fftbOPgvn7A==" saltValue="ySzTwa0n3T7Er8hz4YtqP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Button 1">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2706" r:id="rId5" name="Button 2">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2707"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2708"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2709" r:id="rId8" name="Button 5">
              <controlPr defaultSize="0" print="0" autoFill="0" autoPict="0" macro="[0]!Info">
                <anchor moveWithCells="1">
                  <from>
                    <xdr:col>14</xdr:col>
                    <xdr:colOff>411480</xdr:colOff>
                    <xdr:row>78</xdr:row>
                    <xdr:rowOff>30480</xdr:rowOff>
                  </from>
                  <to>
                    <xdr:col>14</xdr:col>
                    <xdr:colOff>754380</xdr:colOff>
                    <xdr:row>79</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B94"/>
  <sheetViews>
    <sheetView showGridLines="0" topLeftCell="A25" zoomScale="80" zoomScaleNormal="80" workbookViewId="0">
      <selection activeCell="Q57" sqref="Q57"/>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552" t="s">
        <v>119</v>
      </c>
      <c r="B1" s="552"/>
      <c r="C1" s="552"/>
      <c r="D1" s="552"/>
      <c r="E1" s="552"/>
      <c r="F1" s="552"/>
      <c r="G1" s="552"/>
      <c r="H1" s="552"/>
      <c r="I1" s="552"/>
      <c r="J1" s="552"/>
      <c r="K1" s="552"/>
      <c r="L1" s="552"/>
      <c r="M1" s="552"/>
      <c r="N1" s="552"/>
      <c r="O1" s="552"/>
      <c r="P1" s="552"/>
      <c r="Q1" s="197"/>
    </row>
    <row r="2" spans="1:59" ht="18" customHeight="1" x14ac:dyDescent="0.25">
      <c r="A2" s="561" t="s">
        <v>290</v>
      </c>
      <c r="B2" s="561"/>
      <c r="C2" s="561"/>
      <c r="D2" s="561"/>
      <c r="E2" s="561"/>
      <c r="F2" s="561"/>
      <c r="G2" s="561"/>
      <c r="H2" s="561"/>
      <c r="I2" s="561"/>
      <c r="J2" s="561"/>
      <c r="K2" s="561"/>
      <c r="L2" s="561"/>
      <c r="M2" s="561"/>
      <c r="N2" s="561"/>
      <c r="O2" s="561"/>
      <c r="P2" s="561"/>
    </row>
    <row r="3" spans="1:59" ht="17.399999999999999" x14ac:dyDescent="0.3">
      <c r="A3" s="561"/>
      <c r="B3" s="561"/>
      <c r="C3" s="561"/>
      <c r="D3" s="561"/>
      <c r="E3" s="561"/>
      <c r="F3" s="561"/>
      <c r="G3" s="561"/>
      <c r="H3" s="561"/>
      <c r="I3" s="561"/>
      <c r="J3" s="561"/>
      <c r="K3" s="561"/>
      <c r="L3" s="561"/>
      <c r="M3" s="561"/>
      <c r="N3" s="561"/>
      <c r="O3" s="561"/>
      <c r="P3" s="561"/>
      <c r="Q3" s="198"/>
    </row>
    <row r="4" spans="1:59" ht="15.6" x14ac:dyDescent="0.3">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5">
      <c r="A5" s="75"/>
      <c r="B5" s="75"/>
      <c r="C5" s="75"/>
      <c r="D5" s="75"/>
      <c r="E5" s="75"/>
      <c r="F5" s="75"/>
      <c r="G5" s="75"/>
      <c r="H5" s="75"/>
      <c r="I5" s="75"/>
      <c r="J5" s="75"/>
      <c r="K5" s="75"/>
      <c r="L5" s="75"/>
      <c r="M5" s="75"/>
      <c r="N5" s="75"/>
      <c r="O5" s="75"/>
      <c r="P5" s="75"/>
      <c r="Q5" s="75"/>
    </row>
    <row r="6" spans="1:59" x14ac:dyDescent="0.25">
      <c r="A6" s="279">
        <f ca="1">TODAY()</f>
        <v>45588</v>
      </c>
      <c r="B6" s="560" t="s">
        <v>340</v>
      </c>
      <c r="C6" s="560"/>
      <c r="D6" s="560"/>
      <c r="E6" s="560"/>
      <c r="F6" s="560"/>
      <c r="G6" s="560"/>
      <c r="H6" s="560"/>
      <c r="I6" s="560"/>
      <c r="J6" s="560"/>
      <c r="K6" s="560"/>
      <c r="L6" s="560"/>
      <c r="M6" s="560"/>
      <c r="N6" s="560"/>
      <c r="O6" s="560"/>
    </row>
    <row r="7" spans="1:59" x14ac:dyDescent="0.25">
      <c r="A7" s="551" t="s">
        <v>15</v>
      </c>
      <c r="B7" s="551"/>
      <c r="C7" s="551"/>
      <c r="D7" s="551"/>
      <c r="E7" s="551"/>
      <c r="F7" s="551"/>
      <c r="G7" s="551"/>
      <c r="H7" s="551"/>
      <c r="I7" s="551"/>
      <c r="J7" s="551"/>
      <c r="K7" s="551"/>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99</v>
      </c>
      <c r="B11" s="200">
        <f>'Customer Info'!B9</f>
        <v>11</v>
      </c>
      <c r="C11" s="194" t="str">
        <f>LOOKUP($B$11,$S$11:$AD$11,S12:AD12)</f>
        <v>November</v>
      </c>
      <c r="D11" s="133">
        <f>'Customer Info'!C9</f>
        <v>2024</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5">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5">
      <c r="A14" s="78"/>
      <c r="B14" s="78"/>
      <c r="C14" s="78"/>
      <c r="D14" s="78"/>
      <c r="E14" s="78"/>
      <c r="F14" s="78"/>
      <c r="G14" s="280" t="s">
        <v>15</v>
      </c>
      <c r="H14" s="280"/>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51</v>
      </c>
      <c r="B17" s="78"/>
      <c r="D17" s="154">
        <f>IF('Customer Info'!B22+'Customer Info'!B23-'Customer Info'!B24&lt;0,0,'Customer Info'!B22+'Customer Info'!B23-'Customer Info'!B24)</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t="s">
        <v>292</v>
      </c>
      <c r="B18" s="78"/>
      <c r="C18" s="154"/>
      <c r="D18" s="154">
        <f>'Customer Info'!$B$19</f>
        <v>0</v>
      </c>
      <c r="E18" s="210" t="s">
        <v>45</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185</v>
      </c>
      <c r="B26" s="78"/>
      <c r="C26" s="78"/>
      <c r="D26" s="1">
        <f>MAX($D$17,0)</f>
        <v>0</v>
      </c>
      <c r="E26" s="101" t="s">
        <v>41</v>
      </c>
      <c r="F26" s="106" t="s">
        <v>8</v>
      </c>
      <c r="G26" s="247"/>
      <c r="H26" s="163"/>
      <c r="I26" s="165">
        <v>1.3156299999999999E-2</v>
      </c>
      <c r="J26" s="103">
        <f>SUM(G26:I26)</f>
        <v>1.3156299999999999E-2</v>
      </c>
      <c r="K26" s="108" t="s">
        <v>91</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210" t="s">
        <v>291</v>
      </c>
      <c r="B27" s="78"/>
      <c r="C27" s="78"/>
      <c r="D27" s="1">
        <f>D18</f>
        <v>0</v>
      </c>
      <c r="E27" s="101" t="s">
        <v>45</v>
      </c>
      <c r="F27" s="281" t="s">
        <v>8</v>
      </c>
      <c r="G27" s="247"/>
      <c r="H27" s="163"/>
      <c r="I27" s="165">
        <v>2.14</v>
      </c>
      <c r="J27" s="103">
        <f>SUM(G27:I27)</f>
        <v>2.14</v>
      </c>
      <c r="K27" s="108" t="s">
        <v>44</v>
      </c>
      <c r="L27" s="105"/>
      <c r="M27" s="105"/>
      <c r="N27" s="105">
        <f>ROUND($D27*I27,2)</f>
        <v>0</v>
      </c>
      <c r="O27" s="250">
        <f>SUM(L27:N27)</f>
        <v>0</v>
      </c>
      <c r="P27" s="245">
        <v>44531</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x14ac:dyDescent="0.25">
      <c r="A30" s="148" t="s">
        <v>69</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78</v>
      </c>
      <c r="B32" s="176"/>
      <c r="C32" s="176"/>
      <c r="D32" s="100">
        <f>IF($D$17&lt;0,0,IF($D$17&gt;833000,833000,$D$17))</f>
        <v>0</v>
      </c>
      <c r="E32" s="101" t="s">
        <v>41</v>
      </c>
      <c r="F32" s="102" t="s">
        <v>8</v>
      </c>
      <c r="G32" s="103"/>
      <c r="H32" s="103"/>
      <c r="I32" s="103">
        <f>'Rider Rates'!$B$4</f>
        <v>5.9216E-3</v>
      </c>
      <c r="J32" s="103">
        <f t="shared" ref="J32:J38" si="0">SUM(G32:I32)</f>
        <v>5.9216E-3</v>
      </c>
      <c r="K32" s="104" t="s">
        <v>42</v>
      </c>
      <c r="L32" s="105"/>
      <c r="M32" s="105"/>
      <c r="N32" s="105">
        <f t="shared" ref="N32:N37" si="1">ROUND(D32*I32,2)</f>
        <v>0</v>
      </c>
      <c r="O32" s="250">
        <f t="shared" ref="O32:O54" si="2">SUM(L32:N32)</f>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79</v>
      </c>
      <c r="B33" s="78"/>
      <c r="C33" s="78"/>
      <c r="D33" s="123">
        <f>IF($D$17&gt;833000,$D$17-833000,0)</f>
        <v>0</v>
      </c>
      <c r="E33" s="101" t="s">
        <v>41</v>
      </c>
      <c r="F33" s="102" t="s">
        <v>8</v>
      </c>
      <c r="G33" s="103"/>
      <c r="H33" s="103"/>
      <c r="I33" s="103">
        <f>'Rider Rates'!$B$5</f>
        <v>1.7560000000000001E-4</v>
      </c>
      <c r="J33" s="103">
        <f t="shared" si="0"/>
        <v>1.7560000000000001E-4</v>
      </c>
      <c r="K33" s="104" t="s">
        <v>42</v>
      </c>
      <c r="L33" s="105"/>
      <c r="M33" s="105"/>
      <c r="N33" s="105">
        <f t="shared" si="1"/>
        <v>0</v>
      </c>
      <c r="O33" s="105">
        <f t="shared" si="2"/>
        <v>0</v>
      </c>
      <c r="P33" s="245">
        <f>'Rider Rates'!$D$4</f>
        <v>45293</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96</v>
      </c>
      <c r="B34" s="78"/>
      <c r="C34" s="78"/>
      <c r="D34" s="100">
        <f>IF($D$17&lt;0,0,IF($D$17&gt;2000,2000,$D$17))</f>
        <v>0</v>
      </c>
      <c r="E34" s="101" t="s">
        <v>41</v>
      </c>
      <c r="F34" s="102" t="s">
        <v>8</v>
      </c>
      <c r="G34" s="103"/>
      <c r="H34" s="103"/>
      <c r="I34" s="177">
        <f>'Rider Rates'!$B$8</f>
        <v>4.6499999999999996E-3</v>
      </c>
      <c r="J34" s="177">
        <f t="shared" si="0"/>
        <v>4.6499999999999996E-3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97</v>
      </c>
      <c r="B35" s="78"/>
      <c r="C35" s="78"/>
      <c r="D35" s="100">
        <f>IF($D$17&lt;=2000,0,IF($D$17=0,0,IF($D$17-2000&gt;13000,13000,$D$17-2000)))</f>
        <v>0</v>
      </c>
      <c r="E35" s="101" t="s">
        <v>41</v>
      </c>
      <c r="F35" s="102" t="s">
        <v>8</v>
      </c>
      <c r="G35" s="103"/>
      <c r="H35" s="103"/>
      <c r="I35" s="177">
        <f>'Rider Rates'!$B$9</f>
        <v>4.1900000000000001E-3</v>
      </c>
      <c r="J35" s="177">
        <f t="shared" si="0"/>
        <v>4.1900000000000001E-3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98</v>
      </c>
      <c r="B36" s="78"/>
      <c r="C36" s="78"/>
      <c r="D36" s="100">
        <f>IF($D$17=0,0,IF($D$17-15000&gt;=0,$D$17-15000,0))</f>
        <v>0</v>
      </c>
      <c r="E36" s="101" t="s">
        <v>41</v>
      </c>
      <c r="F36" s="102" t="s">
        <v>8</v>
      </c>
      <c r="G36" s="103"/>
      <c r="H36" s="103"/>
      <c r="I36" s="177">
        <f>'Rider Rates'!$B$10</f>
        <v>3.63E-3</v>
      </c>
      <c r="J36" s="177">
        <f t="shared" si="0"/>
        <v>3.63E-3</v>
      </c>
      <c r="K36" s="104" t="s">
        <v>42</v>
      </c>
      <c r="L36" s="105"/>
      <c r="M36" s="105"/>
      <c r="N36" s="105">
        <f t="shared" si="1"/>
        <v>0</v>
      </c>
      <c r="O36" s="105">
        <f t="shared" si="2"/>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IF($D$17&lt;0,0,$D$17)</f>
        <v>0</v>
      </c>
      <c r="E37" s="101" t="s">
        <v>41</v>
      </c>
      <c r="F37" s="102" t="s">
        <v>8</v>
      </c>
      <c r="G37" s="103"/>
      <c r="H37" s="103"/>
      <c r="I37" s="103">
        <f>'Rider Rates'!B15</f>
        <v>0</v>
      </c>
      <c r="J37" s="103">
        <f t="shared" si="0"/>
        <v>0</v>
      </c>
      <c r="K37" s="104" t="s">
        <v>42</v>
      </c>
      <c r="L37" s="105"/>
      <c r="M37" s="105"/>
      <c r="N37" s="105">
        <f t="shared" si="1"/>
        <v>0</v>
      </c>
      <c r="O37" s="105">
        <f t="shared" ref="O37:O43" si="3">SUM(L37:N37)</f>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245</v>
      </c>
      <c r="B38" s="78"/>
      <c r="C38" s="78"/>
      <c r="D38" s="195">
        <f>$N$28</f>
        <v>10</v>
      </c>
      <c r="E38" s="101" t="s">
        <v>121</v>
      </c>
      <c r="F38" s="102" t="s">
        <v>8</v>
      </c>
      <c r="G38" s="103"/>
      <c r="H38" s="103"/>
      <c r="I38" s="178">
        <f>'Rider Rates'!$B$18</f>
        <v>0</v>
      </c>
      <c r="J38" s="178">
        <f t="shared" si="0"/>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194</v>
      </c>
      <c r="B39" s="78"/>
      <c r="C39" s="78"/>
      <c r="D39" s="100">
        <f>'Customer Info'!$B$22+'Customer Info'!$B$23-'Customer Info'!$B$24</f>
        <v>0</v>
      </c>
      <c r="E39" s="101" t="s">
        <v>41</v>
      </c>
      <c r="F39" s="102" t="s">
        <v>8</v>
      </c>
      <c r="G39" s="103">
        <f>'Rider Rates'!$B$21</f>
        <v>7.0209999999999995E-2</v>
      </c>
      <c r="H39" s="103"/>
      <c r="I39" s="103"/>
      <c r="J39" s="237">
        <f>SUM(G39:H39)</f>
        <v>7.0209999999999995E-2</v>
      </c>
      <c r="K39" s="104" t="s">
        <v>42</v>
      </c>
      <c r="L39" s="105">
        <f>ROUND(D39*G39,2)</f>
        <v>0</v>
      </c>
      <c r="M39" s="105"/>
      <c r="N39" s="105"/>
      <c r="O39" s="105">
        <f t="shared" si="3"/>
        <v>0</v>
      </c>
      <c r="P39" s="245">
        <f>'Rider Rates'!$D$21</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161</v>
      </c>
      <c r="B40" s="78"/>
      <c r="C40" s="78"/>
      <c r="D40" s="100">
        <f>'Customer Info'!$B$22+'Customer Info'!$B$23-'Customer Info'!$B$24</f>
        <v>0</v>
      </c>
      <c r="E40" s="101" t="s">
        <v>41</v>
      </c>
      <c r="F40" s="102" t="s">
        <v>8</v>
      </c>
      <c r="G40" s="103">
        <f>'Rider Rates'!$B$28</f>
        <v>3.2000000000000002E-3</v>
      </c>
      <c r="H40" s="103"/>
      <c r="I40" s="103"/>
      <c r="J40" s="237">
        <f>SUM(G40:H40)</f>
        <v>3.2000000000000002E-3</v>
      </c>
      <c r="K40" s="104" t="s">
        <v>42</v>
      </c>
      <c r="L40" s="239">
        <f>ROUND($D$40*$G$40,2)</f>
        <v>0</v>
      </c>
      <c r="M40" s="105"/>
      <c r="N40" s="105"/>
      <c r="O40" s="105">
        <f>SUM(L40:N40)</f>
        <v>0</v>
      </c>
      <c r="P40" s="245">
        <f>'Rider Rates'!$D$28</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201</v>
      </c>
      <c r="B41" s="78"/>
      <c r="C41" s="78"/>
      <c r="D41" s="100">
        <f>'Customer Info'!$B$22+'Customer Info'!$B$23-'Customer Info'!$B$24</f>
        <v>0</v>
      </c>
      <c r="E41" s="101" t="s">
        <v>41</v>
      </c>
      <c r="F41" s="102" t="s">
        <v>8</v>
      </c>
      <c r="G41" s="103">
        <f>'Rider Rates'!$B$49</f>
        <v>-1.2408E-3</v>
      </c>
      <c r="H41" s="103"/>
      <c r="I41" s="103"/>
      <c r="J41" s="237">
        <f>SUM(G41:H41)</f>
        <v>-1.2408E-3</v>
      </c>
      <c r="K41" s="104" t="s">
        <v>42</v>
      </c>
      <c r="L41" s="105">
        <f>ROUND(D41*G41,2)</f>
        <v>0</v>
      </c>
      <c r="M41" s="105"/>
      <c r="N41" s="105"/>
      <c r="O41" s="105">
        <f t="shared" si="3"/>
        <v>0</v>
      </c>
      <c r="P41" s="245">
        <f>'Rider Rates'!$D$49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41" t="s">
        <v>218</v>
      </c>
      <c r="B42" s="78"/>
      <c r="C42" s="78"/>
      <c r="D42" s="100"/>
      <c r="E42" s="101" t="s">
        <v>114</v>
      </c>
      <c r="F42" s="102"/>
      <c r="G42" s="103"/>
      <c r="H42" s="103"/>
      <c r="I42" s="103">
        <f>'Rider Rates'!D52</f>
        <v>1.39</v>
      </c>
      <c r="J42" s="237">
        <f t="shared" ref="J42:J48" si="4">SUM(G42:I42)</f>
        <v>1.39</v>
      </c>
      <c r="K42" s="104"/>
      <c r="L42" s="105"/>
      <c r="M42" s="105"/>
      <c r="N42" s="105">
        <f>J42</f>
        <v>1.39</v>
      </c>
      <c r="O42" s="105">
        <f>SUM(L42:N42)</f>
        <v>1.39</v>
      </c>
      <c r="P42" s="245">
        <f>'Rider Rates'!E52</f>
        <v>45474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197</v>
      </c>
      <c r="B43" s="78"/>
      <c r="C43" s="78"/>
      <c r="D43" s="100">
        <f>IF($D$17&lt;0,0,$D$17)</f>
        <v>0</v>
      </c>
      <c r="E43" s="113" t="s">
        <v>41</v>
      </c>
      <c r="F43" s="102" t="s">
        <v>8</v>
      </c>
      <c r="G43" s="103"/>
      <c r="H43" s="103">
        <f>'Rider Rates'!$B$59</f>
        <v>4.3837099999999997E-2</v>
      </c>
      <c r="I43" s="103"/>
      <c r="J43" s="103">
        <f t="shared" si="4"/>
        <v>4.3837099999999997E-2</v>
      </c>
      <c r="K43" s="104" t="s">
        <v>42</v>
      </c>
      <c r="L43" s="105"/>
      <c r="M43" s="105">
        <f>ROUND(D43*H43,2)</f>
        <v>0</v>
      </c>
      <c r="N43" s="205"/>
      <c r="O43" s="105">
        <f t="shared" si="3"/>
        <v>0</v>
      </c>
      <c r="P43" s="245">
        <f>'Rider Rates'!$D$59</f>
        <v>45383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346</v>
      </c>
      <c r="B44" s="78"/>
      <c r="C44" s="78"/>
      <c r="D44" s="100">
        <f>IF($D$17&lt;0,0,$D$17)</f>
        <v>0</v>
      </c>
      <c r="E44" s="101" t="s">
        <v>41</v>
      </c>
      <c r="F44" s="102" t="s">
        <v>8</v>
      </c>
      <c r="G44" s="103"/>
      <c r="H44" s="103"/>
      <c r="I44" s="103">
        <f>'Rider Rates'!$B$70</f>
        <v>8.6240000000000004E-4</v>
      </c>
      <c r="J44" s="103">
        <f t="shared" ref="J44" si="5">SUM(G44:I44)</f>
        <v>8.6240000000000004E-4</v>
      </c>
      <c r="K44" s="104" t="s">
        <v>42</v>
      </c>
      <c r="L44" s="105"/>
      <c r="M44" s="105"/>
      <c r="N44" s="105">
        <f>ROUND($D$44*'Rider Rates'!$B$70,2)</f>
        <v>0</v>
      </c>
      <c r="O44" s="250">
        <f t="shared" ref="O44" si="6">SUM(L44:N44)</f>
        <v>0</v>
      </c>
      <c r="P44" s="245">
        <f>'Rider Rates'!$D$70</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95</v>
      </c>
      <c r="B45" s="78"/>
      <c r="C45" s="78"/>
      <c r="D45" s="100">
        <f>IF('Customer Info'!C35=TRUE,0,IF($D$17&lt;0,0,$D$17))</f>
        <v>0</v>
      </c>
      <c r="E45" s="101" t="s">
        <v>41</v>
      </c>
      <c r="F45" s="102" t="s">
        <v>8</v>
      </c>
      <c r="G45" s="103"/>
      <c r="H45" s="103"/>
      <c r="I45" s="103">
        <f>'Rider Rates'!$B$73+'Rider Rates'!$C$73</f>
        <v>0</v>
      </c>
      <c r="J45" s="103">
        <f t="shared" si="4"/>
        <v>0</v>
      </c>
      <c r="K45" s="104" t="s">
        <v>42</v>
      </c>
      <c r="L45" s="105"/>
      <c r="M45" s="105"/>
      <c r="N45" s="105">
        <f>ROUND($D$45*'Rider Rates'!$B$73,2)+ROUND($D$45*'Rider Rates'!$C$73,2)</f>
        <v>0</v>
      </c>
      <c r="O45" s="250">
        <f t="shared" si="2"/>
        <v>0</v>
      </c>
      <c r="P45" s="245">
        <f>'Rider Rates'!$D$73</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80</v>
      </c>
      <c r="B46" s="78"/>
      <c r="C46" s="78"/>
      <c r="D46" s="195">
        <f>$N$28</f>
        <v>10</v>
      </c>
      <c r="E46" s="101" t="s">
        <v>121</v>
      </c>
      <c r="F46" s="102" t="s">
        <v>8</v>
      </c>
      <c r="G46" s="111"/>
      <c r="H46" s="112"/>
      <c r="I46" s="120">
        <f>'Rider Rates'!$B$89</f>
        <v>4.94232E-2</v>
      </c>
      <c r="J46" s="120">
        <f t="shared" si="4"/>
        <v>4.94232E-2</v>
      </c>
      <c r="K46" s="104"/>
      <c r="L46" s="105"/>
      <c r="M46" s="105"/>
      <c r="N46" s="105">
        <f>ROUND(D46*I46,2)</f>
        <v>0.49</v>
      </c>
      <c r="O46" s="105">
        <f t="shared" si="2"/>
        <v>0.49</v>
      </c>
      <c r="P46" s="245">
        <f>'Rider Rates'!$D$89</f>
        <v>45562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81</v>
      </c>
      <c r="B47" s="78"/>
      <c r="C47" s="78"/>
      <c r="D47" s="195">
        <f>$N$28</f>
        <v>10</v>
      </c>
      <c r="E47" s="101" t="s">
        <v>121</v>
      </c>
      <c r="F47" s="102" t="s">
        <v>8</v>
      </c>
      <c r="G47" s="114"/>
      <c r="H47" s="115"/>
      <c r="I47" s="120">
        <f>'Rider Rates'!$B$91</f>
        <v>6.6985699999999995E-2</v>
      </c>
      <c r="J47" s="120">
        <f t="shared" si="4"/>
        <v>6.6985699999999995E-2</v>
      </c>
      <c r="K47" s="104"/>
      <c r="L47" s="105"/>
      <c r="M47" s="105"/>
      <c r="N47" s="105">
        <f>ROUND(D47*I47,2)</f>
        <v>0.67</v>
      </c>
      <c r="O47" s="105">
        <f t="shared" si="2"/>
        <v>0.67</v>
      </c>
      <c r="P47" s="245">
        <f>'Rider Rates'!$D$91</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214</v>
      </c>
      <c r="B48" s="78"/>
      <c r="C48" s="78"/>
      <c r="D48" s="195"/>
      <c r="E48" s="113" t="s">
        <v>114</v>
      </c>
      <c r="F48" s="106"/>
      <c r="G48" s="114"/>
      <c r="H48" s="115"/>
      <c r="I48" s="196">
        <f>'Rider Rates'!$B$94</f>
        <v>2.0299999999999998</v>
      </c>
      <c r="J48" s="196">
        <f t="shared" si="4"/>
        <v>2.0299999999999998</v>
      </c>
      <c r="K48" s="104"/>
      <c r="L48" s="105"/>
      <c r="M48" s="105"/>
      <c r="N48" s="105">
        <f>I48</f>
        <v>2.0299999999999998</v>
      </c>
      <c r="O48" s="250">
        <f>SUM(L48:N48)</f>
        <v>2.0299999999999998</v>
      </c>
      <c r="P48" s="245">
        <f>'Rider Rates'!$D$94</f>
        <v>45562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41" t="s">
        <v>247</v>
      </c>
      <c r="B49" s="78"/>
      <c r="C49" s="78"/>
      <c r="D49" s="100">
        <f>IF($D$17&lt;0,0,$D$17)</f>
        <v>0</v>
      </c>
      <c r="E49" s="101" t="s">
        <v>41</v>
      </c>
      <c r="F49" s="102" t="s">
        <v>8</v>
      </c>
      <c r="G49" s="103"/>
      <c r="H49" s="103"/>
      <c r="I49" s="103"/>
      <c r="J49" s="103">
        <f>'Rider Rates'!$B$98</f>
        <v>0</v>
      </c>
      <c r="K49" s="104" t="s">
        <v>42</v>
      </c>
      <c r="L49" s="105"/>
      <c r="M49" s="105"/>
      <c r="N49" s="105"/>
      <c r="O49" s="105">
        <f>ROUND($D49*('Rider Rates'!B$98),2)</f>
        <v>0</v>
      </c>
      <c r="P49" s="245">
        <f>'Rider Rates'!$D$98</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99" t="s">
        <v>156</v>
      </c>
      <c r="B50" s="78"/>
      <c r="C50" s="78"/>
      <c r="D50" s="195">
        <f>$N$28</f>
        <v>10</v>
      </c>
      <c r="E50" s="101" t="s">
        <v>121</v>
      </c>
      <c r="F50" s="102" t="s">
        <v>8</v>
      </c>
      <c r="G50" s="114"/>
      <c r="H50" s="115"/>
      <c r="I50" s="120">
        <f>'Rider Rates'!$B$109</f>
        <v>0.211176</v>
      </c>
      <c r="J50" s="238">
        <f>SUM(G50:I50)</f>
        <v>0.211176</v>
      </c>
      <c r="K50" s="104"/>
      <c r="L50" s="105"/>
      <c r="M50" s="105"/>
      <c r="N50" s="105">
        <f>ROUND(D50*I50,2)</f>
        <v>2.11</v>
      </c>
      <c r="O50" s="105">
        <f t="shared" si="2"/>
        <v>2.11</v>
      </c>
      <c r="P50" s="245">
        <f>'Rider Rates'!$D$109</f>
        <v>45532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217</v>
      </c>
      <c r="B51" s="78"/>
      <c r="C51" s="78"/>
      <c r="D51" s="195"/>
      <c r="E51" s="113" t="s">
        <v>114</v>
      </c>
      <c r="F51" s="106"/>
      <c r="G51" s="114"/>
      <c r="H51" s="115"/>
      <c r="I51" s="196">
        <f>'Rider Rates'!$B$112</f>
        <v>0</v>
      </c>
      <c r="J51" s="196">
        <f>SUM(G51:I51)</f>
        <v>0</v>
      </c>
      <c r="K51" s="104"/>
      <c r="L51" s="105"/>
      <c r="M51" s="105"/>
      <c r="N51" s="105">
        <f>I51</f>
        <v>0</v>
      </c>
      <c r="O51" s="105">
        <f>SUM(L51:N51)</f>
        <v>0</v>
      </c>
      <c r="P51" s="245">
        <f>'Rider Rates'!$D$112</f>
        <v>44894</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10" t="s">
        <v>225</v>
      </c>
      <c r="B52" s="78"/>
      <c r="C52" s="78"/>
      <c r="D52" s="195"/>
      <c r="E52" s="113" t="s">
        <v>114</v>
      </c>
      <c r="F52" s="106"/>
      <c r="G52" s="114"/>
      <c r="H52" s="115"/>
      <c r="I52" s="258">
        <f>'Rider Rates'!B125</f>
        <v>0.97</v>
      </c>
      <c r="J52" s="259">
        <f>SUM(G52:I52)</f>
        <v>0.97</v>
      </c>
      <c r="K52" s="104"/>
      <c r="L52" s="105"/>
      <c r="M52" s="105"/>
      <c r="N52" s="260">
        <f>I52</f>
        <v>0.97</v>
      </c>
      <c r="O52" s="105">
        <f>SUM(L52:N52)</f>
        <v>0.97</v>
      </c>
      <c r="P52" s="245">
        <f>'Rider Rates'!D125</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157</v>
      </c>
      <c r="B53" s="78"/>
      <c r="C53" s="78"/>
      <c r="D53" s="100">
        <f>'Customer Info'!$B$22+'Customer Info'!$B$23-'Customer Info'!$B$24</f>
        <v>0</v>
      </c>
      <c r="E53" s="101" t="s">
        <v>41</v>
      </c>
      <c r="F53" s="102" t="s">
        <v>8</v>
      </c>
      <c r="G53" s="103">
        <f>'Rider Rates'!$B$116</f>
        <v>3.8972999999999998E-3</v>
      </c>
      <c r="H53" s="103"/>
      <c r="I53" s="103"/>
      <c r="J53" s="237">
        <f>SUM(G53:H53)</f>
        <v>3.8972999999999998E-3</v>
      </c>
      <c r="K53" s="104" t="s">
        <v>42</v>
      </c>
      <c r="L53" s="105">
        <f>ROUND(D53*G53,2)</f>
        <v>0</v>
      </c>
      <c r="M53" s="105"/>
      <c r="N53" s="105"/>
      <c r="O53" s="105">
        <f t="shared" si="2"/>
        <v>0</v>
      </c>
      <c r="P53" s="245">
        <f>'Rider Rates'!$D$116</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216</v>
      </c>
      <c r="B54" s="78"/>
      <c r="C54" s="78"/>
      <c r="D54" s="100">
        <f>IF($D$17&lt;1,0,$D$17)</f>
        <v>0</v>
      </c>
      <c r="E54" s="101" t="s">
        <v>41</v>
      </c>
      <c r="F54" s="249" t="s">
        <v>8</v>
      </c>
      <c r="G54" s="103"/>
      <c r="H54" s="103"/>
      <c r="I54" s="103">
        <f>'Rider Rates'!$B$121</f>
        <v>-2.3000000000000001E-4</v>
      </c>
      <c r="J54" s="237">
        <f>SUM(G54:I54)</f>
        <v>-2.3000000000000001E-4</v>
      </c>
      <c r="K54" s="104" t="s">
        <v>42</v>
      </c>
      <c r="L54" s="105"/>
      <c r="M54" s="105"/>
      <c r="N54" s="105">
        <f>D54*J54</f>
        <v>0</v>
      </c>
      <c r="O54" s="105">
        <f t="shared" si="2"/>
        <v>0</v>
      </c>
      <c r="P54" s="245">
        <f>'Rider Rates'!D121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238</v>
      </c>
      <c r="B55" s="78"/>
      <c r="C55" s="78"/>
      <c r="D55" s="100"/>
      <c r="E55" s="101" t="s">
        <v>114</v>
      </c>
      <c r="F55" s="102" t="s">
        <v>8</v>
      </c>
      <c r="G55" s="263"/>
      <c r="H55" s="263"/>
      <c r="I55" s="263">
        <f>'Rider Rates'!$B$129</f>
        <v>0.1</v>
      </c>
      <c r="J55" s="263">
        <f>SUM(G55:I55)</f>
        <v>0.1</v>
      </c>
      <c r="K55" s="104"/>
      <c r="L55" s="209"/>
      <c r="M55" s="209"/>
      <c r="N55" s="209">
        <f>J55</f>
        <v>0.1</v>
      </c>
      <c r="O55" s="209">
        <f>SUM(L55:N55)</f>
        <v>0.1</v>
      </c>
      <c r="P55" s="264">
        <f>'Rider Rates'!E129</f>
        <v>44927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250</v>
      </c>
      <c r="B56" s="78"/>
      <c r="C56" s="78"/>
      <c r="D56" s="100">
        <f>D17</f>
        <v>0</v>
      </c>
      <c r="E56" s="101" t="s">
        <v>41</v>
      </c>
      <c r="F56" s="249" t="s">
        <v>8</v>
      </c>
      <c r="G56" s="103"/>
      <c r="H56" s="103"/>
      <c r="I56" s="103">
        <f>'Rider Rates'!B134</f>
        <v>0</v>
      </c>
      <c r="J56" s="237">
        <f>SUM(G56:I56)</f>
        <v>0</v>
      </c>
      <c r="K56" s="104" t="s">
        <v>42</v>
      </c>
      <c r="L56" s="105"/>
      <c r="M56" s="105"/>
      <c r="N56" s="105">
        <f>D56*J56</f>
        <v>0</v>
      </c>
      <c r="O56" s="105">
        <f>SUM(L56:N56)</f>
        <v>0</v>
      </c>
      <c r="P56" s="245">
        <f>'Rider Rates'!D134</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249</v>
      </c>
      <c r="B57" s="78"/>
      <c r="C57" s="78"/>
      <c r="D57" s="100"/>
      <c r="E57" s="101" t="s">
        <v>114</v>
      </c>
      <c r="F57" s="102" t="s">
        <v>8</v>
      </c>
      <c r="G57" s="263"/>
      <c r="H57" s="263"/>
      <c r="I57" s="263">
        <f>'Rider Rates'!$B$141</f>
        <v>0</v>
      </c>
      <c r="J57" s="263">
        <f>SUM(G57:I57)</f>
        <v>0</v>
      </c>
      <c r="K57" s="104"/>
      <c r="L57" s="209"/>
      <c r="M57" s="209"/>
      <c r="N57" s="209">
        <f>J57</f>
        <v>0</v>
      </c>
      <c r="O57" s="209">
        <f>SUM(L57:N57)</f>
        <v>0</v>
      </c>
      <c r="P57" s="264">
        <f>'Rider Rates'!D141</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251</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179" t="s">
        <v>70</v>
      </c>
      <c r="B59" s="148"/>
      <c r="C59" s="148"/>
      <c r="D59" s="180"/>
      <c r="E59" s="181"/>
      <c r="F59" s="182"/>
      <c r="G59" s="182"/>
      <c r="H59" s="182"/>
      <c r="I59" s="182"/>
      <c r="J59" s="182"/>
      <c r="K59" s="183"/>
      <c r="L59" s="169">
        <f>SUM(L32:L58)</f>
        <v>0</v>
      </c>
      <c r="M59" s="169">
        <f>SUM(M32:M58)</f>
        <v>0</v>
      </c>
      <c r="N59" s="169">
        <f>SUM(N32:N58)</f>
        <v>7.7599999999999989</v>
      </c>
      <c r="O59" s="169">
        <f>SUM(O32:O58)</f>
        <v>7.7599999999999989</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85" t="s">
        <v>93</v>
      </c>
      <c r="B61" s="170"/>
      <c r="C61" s="170"/>
      <c r="D61" s="170"/>
      <c r="E61" s="170"/>
      <c r="F61" s="170"/>
      <c r="G61" s="170"/>
      <c r="H61" s="170"/>
      <c r="I61" s="170"/>
      <c r="J61" s="170"/>
      <c r="K61" s="170"/>
      <c r="L61" s="186">
        <f>L28+L59</f>
        <v>0</v>
      </c>
      <c r="M61" s="186">
        <f>M28+M59</f>
        <v>0</v>
      </c>
      <c r="N61" s="186">
        <f>N28+N59</f>
        <v>17.759999999999998</v>
      </c>
      <c r="O61" s="187">
        <f>O28+O59</f>
        <v>17.759999999999998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5">
      <c r="A64" s="166" t="s">
        <v>92</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5">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5">
      <c r="A66" s="148" t="s">
        <v>116</v>
      </c>
      <c r="B66" s="151"/>
      <c r="C66" s="151"/>
      <c r="D66" s="151"/>
      <c r="E66" s="151"/>
      <c r="F66" s="151"/>
      <c r="G66" s="151"/>
      <c r="H66" s="151"/>
      <c r="I66" s="151"/>
      <c r="J66" s="151"/>
      <c r="K66" s="151"/>
      <c r="L66" s="151"/>
      <c r="M66" s="151"/>
      <c r="N66" s="151"/>
      <c r="O66" s="190">
        <f>IF($D$17&lt;0,O61,IF(O61&gt;O64,O61,O64))</f>
        <v>17.759999999999998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5">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5">
      <c r="A68" s="148"/>
      <c r="B68" s="166"/>
      <c r="C68" s="166"/>
      <c r="D68" s="166"/>
      <c r="E68" s="166"/>
      <c r="F68" s="166"/>
      <c r="G68" s="166"/>
      <c r="H68" s="166"/>
      <c r="I68" s="166" t="s">
        <v>120</v>
      </c>
      <c r="J68" s="166"/>
      <c r="K68" s="166"/>
      <c r="L68" s="191"/>
      <c r="M68" s="191"/>
      <c r="N68" s="191"/>
      <c r="O68" s="191">
        <f>ROUND(IF($D$17&lt;1,0,O61/($D$17*100)*10000),2)</f>
        <v>0</v>
      </c>
      <c r="P68" s="37" t="s">
        <v>86</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5">
      <c r="A69" s="37"/>
      <c r="B69" s="78"/>
      <c r="C69" s="78"/>
      <c r="D69" s="78"/>
      <c r="E69" s="78"/>
      <c r="F69" s="78"/>
      <c r="G69" s="78"/>
      <c r="H69" s="192"/>
      <c r="I69" s="242" t="s">
        <v>198</v>
      </c>
      <c r="J69" s="78"/>
      <c r="K69" s="78"/>
      <c r="L69" s="78"/>
      <c r="M69" s="78"/>
      <c r="N69" s="78"/>
      <c r="O69" s="243">
        <f>ROUND(IF($D$17&lt;1,0,(L61)/($D$17*100)*10000),2)</f>
        <v>0</v>
      </c>
      <c r="P69" s="25" t="s">
        <v>86</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5">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5">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5">
      <c r="A72" s="78"/>
      <c r="D72" s="1"/>
      <c r="E72" s="35"/>
      <c r="F72" s="106"/>
      <c r="Q72" s="80"/>
    </row>
    <row r="73" spans="1:236" x14ac:dyDescent="0.25">
      <c r="A73" s="96"/>
      <c r="D73" s="1"/>
      <c r="E73" s="35"/>
      <c r="F73" s="4"/>
      <c r="Q73" s="36"/>
    </row>
    <row r="74" spans="1:236" x14ac:dyDescent="0.25">
      <c r="A74" s="96"/>
      <c r="D74" s="1"/>
      <c r="E74" s="35"/>
      <c r="F74" s="4"/>
      <c r="Q74" s="36"/>
    </row>
    <row r="75" spans="1:236" x14ac:dyDescent="0.25">
      <c r="A75" s="41"/>
      <c r="B75" s="77"/>
      <c r="C75" s="77"/>
      <c r="D75" s="77"/>
      <c r="E75" s="77"/>
      <c r="F75" s="77"/>
    </row>
    <row r="76" spans="1:236" x14ac:dyDescent="0.25">
      <c r="B76" s="37"/>
      <c r="C76" s="37"/>
      <c r="D76" s="37"/>
      <c r="E76" s="37"/>
      <c r="F76" s="37"/>
      <c r="P76" s="37"/>
      <c r="Q76" s="37"/>
    </row>
    <row r="77" spans="1:236" x14ac:dyDescent="0.25">
      <c r="B77" s="37"/>
      <c r="C77" s="37"/>
      <c r="D77" s="37"/>
      <c r="E77" s="37"/>
      <c r="F77" s="37"/>
      <c r="P77" s="25"/>
      <c r="Q77" s="25"/>
    </row>
    <row r="80" spans="1:23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row r="90" spans="1:1" x14ac:dyDescent="0.25">
      <c r="A90" s="550"/>
    </row>
    <row r="91" spans="1:1" x14ac:dyDescent="0.25">
      <c r="A91" s="550"/>
    </row>
    <row r="92" spans="1:1" x14ac:dyDescent="0.25">
      <c r="A92" s="550"/>
    </row>
    <row r="93" spans="1:1" x14ac:dyDescent="0.25">
      <c r="A93" s="550"/>
    </row>
    <row r="94" spans="1:1" x14ac:dyDescent="0.25">
      <c r="A94" s="550"/>
    </row>
  </sheetData>
  <sheetProtection algorithmName="SHA-512" hashValue="JEji5ZzcoTDSSUt3KNEfIJGYbtVRaQSfMT3ewGld+LFVtoAmZDD/qcuZhqgrK+U1URwquBxcu+3rOrAeClR/eg==" saltValue="IBW2PtcCIL2zpD5wcraiNQ==" spinCount="100000" sheet="1" objects="1" scenarios="1"/>
  <mergeCells count="8">
    <mergeCell ref="A80:A94"/>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05474" r:id="rId5" name="Button 2">
              <controlPr defaultSize="0" print="0" autoFill="0" autoPict="0" macro="[0]!Info">
                <anchor moveWithCells="1">
                  <from>
                    <xdr:col>16</xdr:col>
                    <xdr:colOff>388620</xdr:colOff>
                    <xdr:row>87</xdr:row>
                    <xdr:rowOff>38100</xdr:rowOff>
                  </from>
                  <to>
                    <xdr:col>30</xdr:col>
                    <xdr:colOff>160020</xdr:colOff>
                    <xdr:row>88</xdr:row>
                    <xdr:rowOff>83820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IB65"/>
  <sheetViews>
    <sheetView showGridLines="0" topLeftCell="A21" zoomScale="80" zoomScaleNormal="80" workbookViewId="0">
      <selection activeCell="K56" sqref="K56"/>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row>
    <row r="2" spans="1:30" ht="21" x14ac:dyDescent="0.4">
      <c r="A2" s="552" t="s">
        <v>122</v>
      </c>
      <c r="B2" s="552"/>
      <c r="C2" s="552"/>
      <c r="D2" s="552"/>
      <c r="E2" s="552"/>
      <c r="F2" s="552"/>
      <c r="G2" s="552"/>
      <c r="H2" s="552"/>
      <c r="I2" s="552"/>
      <c r="J2" s="552"/>
      <c r="K2" s="552"/>
      <c r="L2" s="552"/>
      <c r="M2" s="552"/>
      <c r="N2" s="552"/>
      <c r="O2" s="552"/>
      <c r="P2" s="552"/>
    </row>
    <row r="3" spans="1:30" ht="17.399999999999999" x14ac:dyDescent="0.3">
      <c r="A3" s="568" t="s">
        <v>83</v>
      </c>
      <c r="B3" s="568"/>
      <c r="C3" s="568"/>
      <c r="D3" s="568"/>
      <c r="E3" s="568"/>
      <c r="F3" s="568"/>
      <c r="G3" s="568"/>
      <c r="H3" s="568"/>
      <c r="I3" s="568"/>
      <c r="J3" s="568"/>
      <c r="K3" s="568"/>
      <c r="L3" s="568"/>
      <c r="M3" s="568"/>
      <c r="N3" s="568"/>
      <c r="O3" s="568"/>
      <c r="P3" s="568"/>
    </row>
    <row r="4" spans="1:30"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5">
      <c r="A5" s="75"/>
      <c r="B5" s="75"/>
      <c r="C5" s="75"/>
      <c r="D5" s="75"/>
      <c r="E5" s="75"/>
      <c r="F5" s="75"/>
      <c r="G5" s="75"/>
      <c r="H5" s="75"/>
      <c r="I5" s="75"/>
      <c r="J5" s="75"/>
      <c r="K5" s="75"/>
    </row>
    <row r="6" spans="1:30" x14ac:dyDescent="0.25">
      <c r="A6" s="76">
        <f ca="1">TODAY()</f>
        <v>45588</v>
      </c>
      <c r="B6" s="210" t="s">
        <v>259</v>
      </c>
      <c r="C6" s="76"/>
      <c r="D6" s="76"/>
      <c r="E6" s="76"/>
      <c r="F6" s="76"/>
      <c r="G6" s="76"/>
      <c r="H6" s="76"/>
      <c r="I6" s="76"/>
    </row>
    <row r="7" spans="1:30" ht="24.6" x14ac:dyDescent="0.4">
      <c r="A7" s="569"/>
      <c r="B7" s="569"/>
      <c r="C7" s="569"/>
      <c r="D7" s="569"/>
      <c r="E7" s="569"/>
      <c r="F7" s="569"/>
      <c r="G7" s="569"/>
      <c r="H7" s="569"/>
      <c r="I7" s="569"/>
      <c r="J7" s="569"/>
      <c r="K7" s="569"/>
      <c r="L7" s="569"/>
      <c r="M7" s="569"/>
      <c r="N7" s="569"/>
      <c r="O7" s="569"/>
      <c r="P7" s="569"/>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11</v>
      </c>
      <c r="C11" s="194" t="str">
        <f>LOOKUP(B11,R11:AD11,R12:AD12)</f>
        <v>November</v>
      </c>
      <c r="D11" s="133">
        <f>'Customer Info'!C9</f>
        <v>2024</v>
      </c>
      <c r="S11">
        <v>1</v>
      </c>
      <c r="T11">
        <v>2</v>
      </c>
      <c r="U11">
        <v>3</v>
      </c>
      <c r="V11">
        <v>4</v>
      </c>
      <c r="W11">
        <v>5</v>
      </c>
      <c r="X11">
        <v>6</v>
      </c>
      <c r="Y11">
        <v>7</v>
      </c>
      <c r="Z11">
        <v>8</v>
      </c>
      <c r="AA11">
        <v>9</v>
      </c>
      <c r="AB11">
        <v>10</v>
      </c>
      <c r="AC11">
        <v>11</v>
      </c>
      <c r="AD11">
        <v>12</v>
      </c>
    </row>
    <row r="12" spans="1:30" x14ac:dyDescent="0.25">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c r="B16" s="31"/>
      <c r="C16" s="32"/>
      <c r="D16" s="31"/>
      <c r="E16" s="31"/>
      <c r="F16" s="33"/>
      <c r="G16" s="23" t="s">
        <v>15</v>
      </c>
      <c r="H16" s="31"/>
    </row>
    <row r="17" spans="1:221" x14ac:dyDescent="0.25">
      <c r="A17" s="31"/>
      <c r="B17" s="31"/>
      <c r="C17" s="33"/>
      <c r="D17" s="33"/>
      <c r="E17" s="33"/>
      <c r="F17" s="33"/>
      <c r="G17" s="23" t="s">
        <v>15</v>
      </c>
      <c r="H17" s="31"/>
      <c r="I17" s="52" t="s">
        <v>15</v>
      </c>
    </row>
    <row r="19" spans="1:221" x14ac:dyDescent="0.25">
      <c r="A19" s="28" t="s">
        <v>31</v>
      </c>
      <c r="B19" s="22"/>
      <c r="C19" s="22"/>
      <c r="D19" s="22"/>
      <c r="E19" s="22"/>
      <c r="F19" s="22"/>
      <c r="G19" s="563" t="s">
        <v>67</v>
      </c>
      <c r="H19" s="564"/>
      <c r="I19" s="564"/>
      <c r="J19" s="565"/>
      <c r="K19" s="22"/>
      <c r="L19" s="566" t="s">
        <v>68</v>
      </c>
      <c r="M19" s="566"/>
      <c r="N19" s="566"/>
      <c r="O19" s="566"/>
    </row>
    <row r="20" spans="1:221" x14ac:dyDescent="0.25">
      <c r="A20" s="18"/>
      <c r="B20" s="18"/>
      <c r="C20" s="18"/>
      <c r="D20" s="18"/>
      <c r="E20" s="18"/>
      <c r="F20" s="18"/>
      <c r="G20" s="8" t="s">
        <v>64</v>
      </c>
      <c r="H20" s="8" t="s">
        <v>65</v>
      </c>
      <c r="I20" s="8" t="s">
        <v>66</v>
      </c>
      <c r="J20" s="112" t="s">
        <v>34</v>
      </c>
      <c r="K20" s="18"/>
      <c r="L20" s="131" t="s">
        <v>64</v>
      </c>
      <c r="M20" s="131" t="s">
        <v>65</v>
      </c>
      <c r="N20" s="131" t="s">
        <v>66</v>
      </c>
      <c r="O20" s="132" t="s">
        <v>34</v>
      </c>
      <c r="P20" s="43" t="s">
        <v>56</v>
      </c>
    </row>
    <row r="21" spans="1:221" x14ac:dyDescent="0.25">
      <c r="A21" t="s">
        <v>32</v>
      </c>
      <c r="G21" s="86"/>
      <c r="H21" s="86"/>
      <c r="I21" s="86">
        <v>9.4</v>
      </c>
      <c r="J21" s="86">
        <f>SUM(G21:I21)</f>
        <v>9.4</v>
      </c>
      <c r="L21" s="88"/>
      <c r="M21" s="88"/>
      <c r="N21" s="88">
        <f>I21</f>
        <v>9.4</v>
      </c>
      <c r="O21" s="209">
        <f>SUM(L21:N21)</f>
        <v>9.4</v>
      </c>
      <c r="P21" s="245">
        <v>44531</v>
      </c>
    </row>
    <row r="22" spans="1:221" x14ac:dyDescent="0.25">
      <c r="A22" t="s">
        <v>132</v>
      </c>
      <c r="D22" s="1">
        <f>C15</f>
        <v>0</v>
      </c>
      <c r="E22" s="35" t="s">
        <v>41</v>
      </c>
      <c r="F22" s="4" t="s">
        <v>8</v>
      </c>
      <c r="G22" s="84"/>
      <c r="H22" s="84"/>
      <c r="I22" s="84">
        <v>2.30262E-2</v>
      </c>
      <c r="J22" s="84">
        <f>SUM(G22:I22)</f>
        <v>2.30262E-2</v>
      </c>
      <c r="K22" s="36" t="s">
        <v>42</v>
      </c>
      <c r="L22" s="87"/>
      <c r="M22" s="87"/>
      <c r="N22" s="87">
        <f>IF(C15&lt;0,0,ROUND($D22*I22,2))</f>
        <v>0</v>
      </c>
      <c r="O22" s="209">
        <f>SUM(L22:N22)</f>
        <v>0</v>
      </c>
      <c r="P22" s="245">
        <v>45261</v>
      </c>
    </row>
    <row r="23" spans="1:221" x14ac:dyDescent="0.25">
      <c r="A23" s="37" t="s">
        <v>50</v>
      </c>
      <c r="B23" s="37"/>
      <c r="C23" s="37"/>
      <c r="D23" s="38"/>
      <c r="E23" s="38"/>
      <c r="F23" s="37"/>
      <c r="G23" s="37"/>
      <c r="H23" s="37"/>
      <c r="I23" s="37"/>
      <c r="J23" s="37"/>
      <c r="K23" s="39"/>
      <c r="L23" s="40"/>
      <c r="M23" s="40"/>
      <c r="N23" s="40">
        <f>SUM(N21:N22)</f>
        <v>9.4</v>
      </c>
      <c r="O23" s="40">
        <f>SUM(O21:O22)</f>
        <v>9.4</v>
      </c>
    </row>
    <row r="24" spans="1:221" x14ac:dyDescent="0.25">
      <c r="A24" s="89"/>
      <c r="B24" s="89"/>
      <c r="C24" s="90"/>
      <c r="D24" s="90"/>
      <c r="E24" s="90"/>
      <c r="F24" s="90"/>
      <c r="G24" s="91"/>
      <c r="H24" s="91"/>
      <c r="I24" s="91"/>
      <c r="J24" s="91"/>
      <c r="K24" s="89"/>
      <c r="L24" s="89"/>
      <c r="M24" s="89"/>
      <c r="N24" s="89"/>
      <c r="O24" s="89"/>
      <c r="P24" s="89"/>
    </row>
    <row r="25" spans="1:221" x14ac:dyDescent="0.25">
      <c r="A25" s="148" t="s">
        <v>69</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78</v>
      </c>
      <c r="B27" s="176"/>
      <c r="C27" s="176"/>
      <c r="D27" s="100">
        <f>IF($C$15&lt;0,0,IF($C$15&gt;833000,833000,$C$15))</f>
        <v>0</v>
      </c>
      <c r="E27" s="101" t="s">
        <v>41</v>
      </c>
      <c r="F27" s="102" t="s">
        <v>8</v>
      </c>
      <c r="G27" s="103"/>
      <c r="H27" s="103"/>
      <c r="I27" s="103">
        <f>'Rider Rates'!$B$4</f>
        <v>5.9216E-3</v>
      </c>
      <c r="J27" s="103">
        <f t="shared" ref="J27:J47" si="0">SUM(G27:I27)</f>
        <v>5.9216E-3</v>
      </c>
      <c r="K27" s="104" t="s">
        <v>42</v>
      </c>
      <c r="L27" s="105"/>
      <c r="M27" s="105"/>
      <c r="N27" s="105">
        <f t="shared" ref="N27:N32" si="1">ROUND(D27*I27,2)</f>
        <v>0</v>
      </c>
      <c r="O27" s="105">
        <f t="shared" ref="O27:O48" si="2">SUM(L27:N27)</f>
        <v>0</v>
      </c>
      <c r="P27" s="245">
        <f>'Rider Rates'!$D$4</f>
        <v>45293</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79</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96</v>
      </c>
      <c r="B29" s="78"/>
      <c r="C29" s="78"/>
      <c r="D29" s="100">
        <f>IF('Customer Info'!$C$33=TRUE,0,IF($C$15&lt;0,0,IF($C$15&gt;2000,2000,$C$15)))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97</v>
      </c>
      <c r="B30" s="78"/>
      <c r="C30" s="78"/>
      <c r="D30" s="100">
        <f>IF('Customer Info'!$C$33=TRUE,0,IF($C$15&lt;=2000,0,IF($C$15=0,0,IF($C$15-2000&gt;13000,13000,$C$15-2000))))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98</v>
      </c>
      <c r="B31" s="78"/>
      <c r="C31" s="78"/>
      <c r="D31" s="100">
        <f>IF('Customer Info'!$C$33=TRUE,0,IF($C$15=0,0,IF($C$15-15000&gt;=0,$C$15-15000,0)))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ref="O32:O38" si="3">SUM(L32:N32)</f>
        <v>0</v>
      </c>
      <c r="P32" s="245">
        <f>'Rider Rates'!$D$16</f>
        <v>45197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245</v>
      </c>
      <c r="B33" s="78"/>
      <c r="C33" s="78"/>
      <c r="D33" s="195">
        <f>$N$23</f>
        <v>9.4</v>
      </c>
      <c r="E33" s="101" t="s">
        <v>121</v>
      </c>
      <c r="F33" s="102" t="s">
        <v>8</v>
      </c>
      <c r="G33" s="103"/>
      <c r="H33" s="103"/>
      <c r="I33" s="178">
        <f>'Rider Rates'!$B$18+'Rider Rates'!$E$18</f>
        <v>0</v>
      </c>
      <c r="J33" s="178">
        <f>SUM(G33:I33)</f>
        <v>0</v>
      </c>
      <c r="K33" s="104"/>
      <c r="L33" s="105"/>
      <c r="M33" s="105"/>
      <c r="N33" s="105">
        <f>ROUND($D$33*'Rider Rates'!$B$18,2)+ROUND($D$33*'Rider Rates'!$E$18,2)</f>
        <v>0</v>
      </c>
      <c r="O33" s="105">
        <f t="shared" si="3"/>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194</v>
      </c>
      <c r="B34" s="78"/>
      <c r="C34" s="78"/>
      <c r="D34" s="100">
        <f>'Customer Info'!$B$22+'Customer Info'!$B$23-'Customer Info'!$B$24</f>
        <v>0</v>
      </c>
      <c r="E34" s="101" t="s">
        <v>41</v>
      </c>
      <c r="F34" s="102" t="s">
        <v>8</v>
      </c>
      <c r="G34" s="103">
        <f>'Rider Rates'!B22</f>
        <v>7.0209999999999995E-2</v>
      </c>
      <c r="H34" s="103"/>
      <c r="I34" s="103"/>
      <c r="J34" s="237">
        <f>SUM(G34:H34)</f>
        <v>7.0209999999999995E-2</v>
      </c>
      <c r="K34" s="104" t="s">
        <v>42</v>
      </c>
      <c r="L34" s="105">
        <f>ROUND(D34*G34,2)</f>
        <v>0</v>
      </c>
      <c r="M34" s="105"/>
      <c r="N34" s="105"/>
      <c r="O34" s="105">
        <f t="shared" si="3"/>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161</v>
      </c>
      <c r="B35" s="78"/>
      <c r="C35" s="78"/>
      <c r="D35" s="100">
        <f>'Customer Info'!$B$22+'Customer Info'!$B$23-'Customer Info'!$B$24</f>
        <v>0</v>
      </c>
      <c r="E35" s="101" t="s">
        <v>41</v>
      </c>
      <c r="F35" s="102" t="s">
        <v>8</v>
      </c>
      <c r="G35" s="103">
        <f>'Rider Rates'!$B$36</f>
        <v>2.7299999999999998E-3</v>
      </c>
      <c r="H35" s="103"/>
      <c r="I35" s="103"/>
      <c r="J35" s="237">
        <f>SUM(G35:H35)</f>
        <v>2.7299999999999998E-3</v>
      </c>
      <c r="K35" s="104" t="s">
        <v>42</v>
      </c>
      <c r="L35" s="105">
        <f>ROUND(D35*G35,2)</f>
        <v>0</v>
      </c>
      <c r="M35" s="105"/>
      <c r="N35" s="105"/>
      <c r="O35" s="105">
        <f t="shared" si="3"/>
        <v>0</v>
      </c>
      <c r="P35" s="245">
        <f>'Rider Rates'!$D$36</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201</v>
      </c>
      <c r="B36" s="78"/>
      <c r="C36" s="78"/>
      <c r="D36" s="100">
        <f>'Customer Info'!$B$22+'Customer Info'!$B$23-'Customer Info'!$B$24</f>
        <v>0</v>
      </c>
      <c r="E36" s="101" t="s">
        <v>41</v>
      </c>
      <c r="F36" s="102" t="s">
        <v>8</v>
      </c>
      <c r="G36" s="103">
        <f>'Rider Rates'!$B$49</f>
        <v>-1.2408E-3</v>
      </c>
      <c r="H36" s="103"/>
      <c r="I36" s="103"/>
      <c r="J36" s="237">
        <f>SUM(G36:H36)</f>
        <v>-1.2408E-3</v>
      </c>
      <c r="K36" s="104" t="s">
        <v>42</v>
      </c>
      <c r="L36" s="105">
        <f>ROUND(D36*G36,2)</f>
        <v>0</v>
      </c>
      <c r="M36" s="105"/>
      <c r="N36" s="105"/>
      <c r="O36" s="105">
        <f t="shared" si="3"/>
        <v>0</v>
      </c>
      <c r="P36" s="245">
        <f>'Rider Rates'!$D$49</f>
        <v>45562</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41" t="s">
        <v>218</v>
      </c>
      <c r="B37" s="78"/>
      <c r="C37" s="78"/>
      <c r="D37" s="100">
        <f>IF($C$15&lt;0,0,IF($C$15&gt;833000,833000,$C$15))</f>
        <v>0</v>
      </c>
      <c r="E37" s="101" t="s">
        <v>41</v>
      </c>
      <c r="F37" s="102" t="s">
        <v>8</v>
      </c>
      <c r="G37" s="103"/>
      <c r="H37" s="103"/>
      <c r="I37" s="103">
        <f>'Rider Rates'!D53</f>
        <v>1.8006999999999999E-3</v>
      </c>
      <c r="J37" s="103">
        <f>SUM(G37:I37)</f>
        <v>1.8006999999999999E-3</v>
      </c>
      <c r="K37" s="104" t="s">
        <v>42</v>
      </c>
      <c r="L37" s="105"/>
      <c r="M37" s="105"/>
      <c r="N37" s="105">
        <f>D37*J37</f>
        <v>0</v>
      </c>
      <c r="O37" s="105">
        <f t="shared" si="3"/>
        <v>0</v>
      </c>
      <c r="P37" s="245">
        <f>'Rider Rates'!E53</f>
        <v>45474</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197</v>
      </c>
      <c r="B38" s="78"/>
      <c r="C38" s="78"/>
      <c r="D38" s="100">
        <f>IF($C$15&lt;0,0,$C$15)</f>
        <v>0</v>
      </c>
      <c r="E38" s="113" t="s">
        <v>41</v>
      </c>
      <c r="F38" s="102" t="s">
        <v>8</v>
      </c>
      <c r="G38" s="103"/>
      <c r="H38" s="103">
        <f>'Rider Rates'!$B$60</f>
        <v>2.3467399999999999E-2</v>
      </c>
      <c r="I38" s="103"/>
      <c r="J38" s="103">
        <f>SUM(G38:I38)</f>
        <v>2.3467399999999999E-2</v>
      </c>
      <c r="K38" s="104" t="s">
        <v>42</v>
      </c>
      <c r="L38" s="105"/>
      <c r="M38" s="105">
        <f>ROUND(D38*H38,2)</f>
        <v>0</v>
      </c>
      <c r="N38" s="205"/>
      <c r="O38" s="105">
        <f t="shared" si="3"/>
        <v>0</v>
      </c>
      <c r="P38" s="245">
        <f>'Rider Rates'!$D$60</f>
        <v>45383</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95</v>
      </c>
      <c r="B39" s="78"/>
      <c r="C39" s="78"/>
      <c r="D39" s="100">
        <f>IF('Customer Info'!C35=TRUE,0,IF($C$15&lt;0,0,$C$15))</f>
        <v>0</v>
      </c>
      <c r="E39" s="101" t="s">
        <v>41</v>
      </c>
      <c r="F39" s="102" t="s">
        <v>8</v>
      </c>
      <c r="G39" s="103"/>
      <c r="H39" s="103"/>
      <c r="I39" s="103">
        <f>'Rider Rates'!$B$74+'Rider Rates'!$C$74</f>
        <v>0</v>
      </c>
      <c r="J39" s="103">
        <f t="shared" si="0"/>
        <v>0</v>
      </c>
      <c r="K39" s="104" t="s">
        <v>42</v>
      </c>
      <c r="L39" s="105"/>
      <c r="M39" s="105"/>
      <c r="N39" s="105">
        <f>ROUND($D$39*'Rider Rates'!$B$74,2)+ROUND($D$39*'Rider Rates'!$C$74,2)</f>
        <v>0</v>
      </c>
      <c r="O39" s="105">
        <f t="shared" si="2"/>
        <v>0</v>
      </c>
      <c r="P39" s="245">
        <f>'Rider Rates'!$D$74</f>
        <v>44531</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95</v>
      </c>
      <c r="B40" s="78"/>
      <c r="C40" s="78"/>
      <c r="D40" s="100"/>
      <c r="E40" s="101" t="s">
        <v>114</v>
      </c>
      <c r="F40" s="102"/>
      <c r="G40" s="103"/>
      <c r="H40" s="103"/>
      <c r="I40" s="196">
        <f>'Rider Rates'!$B$81</f>
        <v>0</v>
      </c>
      <c r="J40" s="196">
        <f>IF('Customer Info'!C35=TRUE,0,SUM(G40:I40))</f>
        <v>0</v>
      </c>
      <c r="K40" s="104"/>
      <c r="L40" s="105"/>
      <c r="M40" s="105"/>
      <c r="N40" s="105">
        <f>J40</f>
        <v>0</v>
      </c>
      <c r="O40" s="105">
        <f>SUM(L40:N40)</f>
        <v>0</v>
      </c>
      <c r="P40" s="245">
        <f>'Rider Rates'!$D$81</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80</v>
      </c>
      <c r="B41" s="78"/>
      <c r="C41" s="78"/>
      <c r="D41" s="195">
        <f>$N$23</f>
        <v>9.4</v>
      </c>
      <c r="E41" s="101" t="s">
        <v>121</v>
      </c>
      <c r="F41" s="102" t="s">
        <v>8</v>
      </c>
      <c r="G41" s="111"/>
      <c r="H41" s="112"/>
      <c r="I41" s="120">
        <f>'Rider Rates'!$B$89</f>
        <v>4.94232E-2</v>
      </c>
      <c r="J41" s="120">
        <f t="shared" si="0"/>
        <v>4.94232E-2</v>
      </c>
      <c r="K41" s="104"/>
      <c r="L41" s="105"/>
      <c r="M41" s="105"/>
      <c r="N41" s="105">
        <f>ROUND(D41*I41,2)</f>
        <v>0.46</v>
      </c>
      <c r="O41" s="105">
        <f t="shared" si="2"/>
        <v>0.46</v>
      </c>
      <c r="P41" s="245">
        <f>'Rider Rates'!$D$89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81</v>
      </c>
      <c r="B42" s="78"/>
      <c r="C42" s="78"/>
      <c r="D42" s="195">
        <f>$N$23</f>
        <v>9.4</v>
      </c>
      <c r="E42" s="101" t="s">
        <v>121</v>
      </c>
      <c r="F42" s="102" t="s">
        <v>8</v>
      </c>
      <c r="G42" s="114"/>
      <c r="H42" s="115"/>
      <c r="I42" s="120">
        <f>'Rider Rates'!$B$91</f>
        <v>6.6985699999999995E-2</v>
      </c>
      <c r="J42" s="120">
        <f t="shared" si="0"/>
        <v>6.6985699999999995E-2</v>
      </c>
      <c r="K42" s="104"/>
      <c r="L42" s="105"/>
      <c r="M42" s="105"/>
      <c r="N42" s="105">
        <f>ROUND(D42*I42,2)</f>
        <v>0.63</v>
      </c>
      <c r="O42" s="105">
        <f t="shared" si="2"/>
        <v>0.63</v>
      </c>
      <c r="P42" s="245">
        <f>'Rider Rates'!$D$91</f>
        <v>45167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214</v>
      </c>
      <c r="B43" s="78"/>
      <c r="C43" s="78"/>
      <c r="D43" s="195"/>
      <c r="E43" s="113" t="s">
        <v>114</v>
      </c>
      <c r="F43" s="106"/>
      <c r="G43" s="114"/>
      <c r="H43" s="115"/>
      <c r="I43" s="196">
        <f>'Rider Rates'!$B$95</f>
        <v>17.12</v>
      </c>
      <c r="J43" s="196">
        <f t="shared" si="0"/>
        <v>17.12</v>
      </c>
      <c r="K43" s="104"/>
      <c r="L43" s="105"/>
      <c r="M43" s="105"/>
      <c r="N43" s="105">
        <f>I43</f>
        <v>17.12</v>
      </c>
      <c r="O43" s="105">
        <f t="shared" si="2"/>
        <v>17.12</v>
      </c>
      <c r="P43" s="245">
        <f>'Rider Rates'!$D$95</f>
        <v>45562</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247</v>
      </c>
      <c r="B44" s="78"/>
      <c r="C44" s="78"/>
      <c r="D44" s="100">
        <f>IF($C$15&lt;0,0,$C$15)</f>
        <v>0</v>
      </c>
      <c r="E44" s="101" t="s">
        <v>41</v>
      </c>
      <c r="F44" s="102" t="s">
        <v>8</v>
      </c>
      <c r="G44" s="103"/>
      <c r="H44" s="103"/>
      <c r="I44" s="103"/>
      <c r="J44" s="103">
        <f>'Rider Rates'!$B$99</f>
        <v>0</v>
      </c>
      <c r="K44" s="104" t="s">
        <v>42</v>
      </c>
      <c r="L44" s="105"/>
      <c r="M44" s="105"/>
      <c r="N44" s="105"/>
      <c r="O44" s="105">
        <f>ROUND($D44*('Rider Rates'!B$99),2)</f>
        <v>0</v>
      </c>
      <c r="P44" s="245">
        <f>'Rider Rates'!$D$99</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156</v>
      </c>
      <c r="B45" s="78"/>
      <c r="C45" s="78"/>
      <c r="D45" s="195">
        <f>$N$23</f>
        <v>9.4</v>
      </c>
      <c r="E45" s="101" t="s">
        <v>121</v>
      </c>
      <c r="F45" s="102" t="s">
        <v>8</v>
      </c>
      <c r="G45" s="114"/>
      <c r="H45" s="115"/>
      <c r="I45" s="120">
        <f>'Rider Rates'!$B$109</f>
        <v>0.211176</v>
      </c>
      <c r="J45" s="120">
        <f t="shared" si="0"/>
        <v>0.211176</v>
      </c>
      <c r="K45" s="104"/>
      <c r="L45" s="105"/>
      <c r="M45" s="105"/>
      <c r="N45" s="105">
        <f>ROUND(D45*I45,2)</f>
        <v>1.99</v>
      </c>
      <c r="O45" s="105">
        <f t="shared" si="2"/>
        <v>1.99</v>
      </c>
      <c r="P45" s="245">
        <f>'Rider Rates'!$D$109</f>
        <v>45532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10" t="s">
        <v>217</v>
      </c>
      <c r="B46" s="78"/>
      <c r="C46" s="78"/>
      <c r="D46" s="195"/>
      <c r="E46" s="113" t="s">
        <v>114</v>
      </c>
      <c r="F46" s="106"/>
      <c r="G46" s="114"/>
      <c r="H46" s="115"/>
      <c r="I46" s="196">
        <f>'Rider Rates'!$B$113</f>
        <v>0</v>
      </c>
      <c r="J46" s="196">
        <f t="shared" si="0"/>
        <v>0</v>
      </c>
      <c r="K46" s="104"/>
      <c r="L46" s="105"/>
      <c r="M46" s="105"/>
      <c r="N46" s="105">
        <f>I46</f>
        <v>0</v>
      </c>
      <c r="O46" s="105">
        <f t="shared" si="2"/>
        <v>0</v>
      </c>
      <c r="P46" s="245">
        <f>'Rider Rates'!$D$113</f>
        <v>44894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225</v>
      </c>
      <c r="B47" s="78"/>
      <c r="C47" s="78"/>
      <c r="D47" s="195"/>
      <c r="E47" s="113" t="s">
        <v>114</v>
      </c>
      <c r="F47" s="106"/>
      <c r="G47" s="114"/>
      <c r="H47" s="115"/>
      <c r="I47" s="258">
        <f>'Rider Rates'!B126</f>
        <v>4.84</v>
      </c>
      <c r="J47" s="196">
        <f t="shared" si="0"/>
        <v>4.84</v>
      </c>
      <c r="K47" s="104"/>
      <c r="L47" s="105"/>
      <c r="M47" s="105"/>
      <c r="N47" s="260">
        <f>I47</f>
        <v>4.84</v>
      </c>
      <c r="O47" s="105">
        <f t="shared" si="2"/>
        <v>4.84</v>
      </c>
      <c r="P47" s="245">
        <f>'Rider Rates'!D126</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157</v>
      </c>
      <c r="B48" s="78"/>
      <c r="C48" s="78"/>
      <c r="D48" s="100">
        <f>'Customer Info'!$B$22+'Customer Info'!$B$23-'Customer Info'!$B$24</f>
        <v>0</v>
      </c>
      <c r="E48" s="101" t="s">
        <v>41</v>
      </c>
      <c r="F48" s="102" t="s">
        <v>8</v>
      </c>
      <c r="G48" s="103">
        <f>'Rider Rates'!$B$116</f>
        <v>3.8972999999999998E-3</v>
      </c>
      <c r="H48" s="103"/>
      <c r="I48" s="120"/>
      <c r="J48" s="237">
        <f>SUM(G48:H48)</f>
        <v>3.8972999999999998E-3</v>
      </c>
      <c r="K48" s="104" t="s">
        <v>42</v>
      </c>
      <c r="L48" s="105">
        <f>ROUND(D48*G48,2)</f>
        <v>0</v>
      </c>
      <c r="M48" s="105"/>
      <c r="N48" s="105"/>
      <c r="O48" s="105">
        <f t="shared" si="2"/>
        <v>0</v>
      </c>
      <c r="P48" s="245">
        <f>'Rider Rates'!$D$116</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10" t="s">
        <v>216</v>
      </c>
      <c r="B49" s="78"/>
      <c r="C49" s="78"/>
      <c r="D49" s="100">
        <f>IF($C$15&lt;1,0,$C$15)</f>
        <v>0</v>
      </c>
      <c r="E49" s="101" t="s">
        <v>41</v>
      </c>
      <c r="F49" s="249" t="s">
        <v>8</v>
      </c>
      <c r="G49" s="165"/>
      <c r="H49" s="165"/>
      <c r="I49" s="251">
        <f>'Rider Rates'!B122</f>
        <v>-6.2E-4</v>
      </c>
      <c r="J49" s="251">
        <f>SUM(G49:I49)</f>
        <v>-6.2E-4</v>
      </c>
      <c r="K49" s="104" t="s">
        <v>42</v>
      </c>
      <c r="L49" s="105"/>
      <c r="M49" s="105"/>
      <c r="N49" s="105">
        <f>D49*J49</f>
        <v>0</v>
      </c>
      <c r="O49" s="105">
        <f>SUM(L49:N49)</f>
        <v>0</v>
      </c>
      <c r="P49" s="245">
        <f>'Rider Rates'!D122</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78" t="s">
        <v>241</v>
      </c>
      <c r="B50" s="78"/>
      <c r="C50" s="78"/>
      <c r="D50" s="100">
        <f>IF(C15&lt;0,0,IF(C15&gt;833000,833000,C15))</f>
        <v>0</v>
      </c>
      <c r="E50" s="101" t="s">
        <v>41</v>
      </c>
      <c r="F50" s="102" t="s">
        <v>8</v>
      </c>
      <c r="G50" s="265"/>
      <c r="H50" s="265"/>
      <c r="I50" s="265">
        <f>'Rider Rates'!B130</f>
        <v>2.9050000000000001E-4</v>
      </c>
      <c r="J50" s="265">
        <f>SUM(G50:I50)</f>
        <v>2.9050000000000001E-4</v>
      </c>
      <c r="K50" s="104" t="s">
        <v>42</v>
      </c>
      <c r="L50" s="266"/>
      <c r="M50" s="266"/>
      <c r="N50" s="266">
        <f>IF(D50*J50&gt;'Rider Rates'!$C$130,'Rider Rates'!$C$130,D50*J50)</f>
        <v>0</v>
      </c>
      <c r="O50" s="266">
        <f>SUM(L50:N50)</f>
        <v>0</v>
      </c>
      <c r="P50" s="264">
        <f>'Rider Rates'!$E$130</f>
        <v>45292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242</v>
      </c>
      <c r="B51" s="78"/>
      <c r="C51" s="78"/>
      <c r="D51" s="123">
        <f>IF(C15&gt;833000,C15-833000,0)</f>
        <v>0</v>
      </c>
      <c r="E51" s="101" t="s">
        <v>41</v>
      </c>
      <c r="F51" s="102" t="s">
        <v>8</v>
      </c>
      <c r="G51" s="265"/>
      <c r="H51" s="265"/>
      <c r="I51" s="265">
        <f>'Rider Rates'!B131</f>
        <v>0</v>
      </c>
      <c r="J51" s="265">
        <f>SUM(G51:I51)</f>
        <v>0</v>
      </c>
      <c r="K51" s="104" t="s">
        <v>42</v>
      </c>
      <c r="L51" s="266"/>
      <c r="M51" s="266"/>
      <c r="N51" s="266">
        <f>D51*J51</f>
        <v>0</v>
      </c>
      <c r="O51" s="266">
        <f>SUM(L51:N51)</f>
        <v>0</v>
      </c>
      <c r="P51" s="264">
        <f>'Rider Rates'!$E$131</f>
        <v>44927</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250</v>
      </c>
      <c r="B52" s="78"/>
      <c r="C52" s="78"/>
      <c r="D52" s="100">
        <f>C15</f>
        <v>0</v>
      </c>
      <c r="E52" s="101" t="s">
        <v>41</v>
      </c>
      <c r="F52" s="249" t="s">
        <v>8</v>
      </c>
      <c r="G52" s="103"/>
      <c r="H52" s="103"/>
      <c r="I52" s="103">
        <f>'Rider Rates'!$B$135</f>
        <v>0</v>
      </c>
      <c r="J52" s="237">
        <f>SUM(G52:I52)</f>
        <v>0</v>
      </c>
      <c r="K52" s="104" t="s">
        <v>42</v>
      </c>
      <c r="L52" s="105"/>
      <c r="M52" s="105"/>
      <c r="N52" s="105">
        <f>D52*J52</f>
        <v>0</v>
      </c>
      <c r="O52" s="105">
        <f>SUM(L52:N52)</f>
        <v>0</v>
      </c>
      <c r="P52" s="245">
        <f>'Rider Rates'!$D$135</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249</v>
      </c>
      <c r="B53" s="78"/>
      <c r="C53" s="78"/>
      <c r="D53" s="100"/>
      <c r="E53" s="101" t="s">
        <v>114</v>
      </c>
      <c r="F53" s="102" t="s">
        <v>8</v>
      </c>
      <c r="G53" s="263"/>
      <c r="H53" s="263"/>
      <c r="I53" s="263">
        <f>'Rider Rates'!$B$142</f>
        <v>0</v>
      </c>
      <c r="J53" s="263">
        <f>SUM(G53:I53)</f>
        <v>0</v>
      </c>
      <c r="K53" s="104"/>
      <c r="L53" s="209"/>
      <c r="M53" s="209"/>
      <c r="N53" s="209">
        <f>J53</f>
        <v>0</v>
      </c>
      <c r="O53" s="209">
        <f>SUM(L53:N53)</f>
        <v>0</v>
      </c>
      <c r="P53" s="264">
        <f>'Rider Rates'!D142</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251</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179" t="s">
        <v>70</v>
      </c>
      <c r="B55" s="148"/>
      <c r="C55" s="148"/>
      <c r="D55" s="180"/>
      <c r="E55" s="181"/>
      <c r="F55" s="182"/>
      <c r="G55" s="182"/>
      <c r="H55" s="182"/>
      <c r="I55" s="182"/>
      <c r="J55" s="182"/>
      <c r="K55" s="183"/>
      <c r="L55" s="169">
        <f>SUM(L27:L54)</f>
        <v>0</v>
      </c>
      <c r="M55" s="169">
        <f>SUM(M27:M54)</f>
        <v>0</v>
      </c>
      <c r="N55" s="169">
        <f>SUM(N27:N54)</f>
        <v>25.04</v>
      </c>
      <c r="O55" s="169">
        <f>SUM(O27:O54)</f>
        <v>25.04</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185" t="s">
        <v>93</v>
      </c>
      <c r="B57" s="170"/>
      <c r="C57" s="170"/>
      <c r="D57" s="170"/>
      <c r="E57" s="170"/>
      <c r="F57" s="170"/>
      <c r="G57" s="170"/>
      <c r="H57" s="170"/>
      <c r="I57" s="170"/>
      <c r="J57" s="170"/>
      <c r="K57" s="170"/>
      <c r="L57" s="186">
        <f>L23+L55</f>
        <v>0</v>
      </c>
      <c r="M57" s="186">
        <f>M23+M55</f>
        <v>0</v>
      </c>
      <c r="N57" s="186">
        <f>N23+N55</f>
        <v>34.44</v>
      </c>
      <c r="O57" s="187">
        <f>O23+O55</f>
        <v>34.44</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166" t="s">
        <v>92</v>
      </c>
      <c r="B60" s="78"/>
      <c r="C60" s="78"/>
      <c r="D60" s="78"/>
      <c r="E60" s="78"/>
      <c r="F60" s="78"/>
      <c r="G60" s="78"/>
      <c r="H60" s="78"/>
      <c r="I60" s="78"/>
      <c r="J60" s="78"/>
      <c r="K60" s="78"/>
      <c r="L60" s="78"/>
      <c r="M60" s="78"/>
      <c r="N60" s="78"/>
      <c r="O60" s="109">
        <f>O21+O55</f>
        <v>34.44</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48" t="s">
        <v>116</v>
      </c>
      <c r="B62" s="151"/>
      <c r="C62" s="151"/>
      <c r="D62" s="151"/>
      <c r="E62" s="151"/>
      <c r="F62" s="151"/>
      <c r="G62" s="151"/>
      <c r="H62" s="151"/>
      <c r="I62" s="151"/>
      <c r="J62" s="151"/>
      <c r="K62" s="151"/>
      <c r="L62" s="151"/>
      <c r="M62" s="151"/>
      <c r="N62" s="151"/>
      <c r="O62" s="190">
        <f>IF($D$17&lt;0,O57,IF(O57&gt;O60,O57,O60))</f>
        <v>34.44</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25">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5">
      <c r="A64" s="148"/>
      <c r="B64" s="166"/>
      <c r="C64" s="166"/>
      <c r="D64" s="166"/>
      <c r="E64" s="166"/>
      <c r="F64" s="166"/>
      <c r="G64" s="166"/>
      <c r="H64" s="166"/>
      <c r="I64" s="166" t="s">
        <v>120</v>
      </c>
      <c r="J64" s="166"/>
      <c r="K64" s="166"/>
      <c r="L64" s="191"/>
      <c r="M64" s="191"/>
      <c r="N64" s="191"/>
      <c r="O64" s="191">
        <f>ROUND(IF($C$15&lt;1,0,O57/($C$15*100)*10000),2)</f>
        <v>0</v>
      </c>
      <c r="P64" s="37" t="s">
        <v>86</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x14ac:dyDescent="0.25">
      <c r="B65" s="78"/>
      <c r="C65" s="78"/>
      <c r="D65" s="78"/>
      <c r="E65" s="78"/>
      <c r="F65" s="78"/>
      <c r="G65" s="78"/>
      <c r="H65" s="192"/>
      <c r="I65" s="242" t="s">
        <v>198</v>
      </c>
      <c r="J65" s="78"/>
      <c r="K65" s="78"/>
      <c r="L65" s="78"/>
      <c r="M65" s="78"/>
      <c r="N65" s="78"/>
      <c r="O65" s="243">
        <f>ROUND(IF($C$15&lt;1,0,(L57)/($C$15*100)*10000),2)</f>
        <v>0</v>
      </c>
      <c r="P65" s="25" t="s">
        <v>86</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vwHg0c79ttXk2E/np/t0cMTCdz0Hhabt028C+0P9uirJGT6CJ9pRiXQw9+zlIA7v3KJlnyXtNgMIMtrn8eeVnQ==" saltValue="rZdC+n8BV4yLlpq5Vce/hg==" spinCount="100000" sheet="1" objects="1" scenarios="1"/>
  <mergeCells count="8">
    <mergeCell ref="A7:P7"/>
    <mergeCell ref="G19:J19"/>
    <mergeCell ref="L19:O19"/>
    <mergeCell ref="A1:P1"/>
    <mergeCell ref="A3:P3"/>
    <mergeCell ref="A4:P4"/>
    <mergeCell ref="A12:I12"/>
    <mergeCell ref="A2:P2"/>
  </mergeCells>
  <phoneticPr fontId="0" type="noConversion"/>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38100</xdr:colOff>
                    <xdr:row>0</xdr:row>
                    <xdr:rowOff>30480</xdr:rowOff>
                  </from>
                  <to>
                    <xdr:col>0</xdr:col>
                    <xdr:colOff>381000</xdr:colOff>
                    <xdr:row>0</xdr:row>
                    <xdr:rowOff>160020</xdr:rowOff>
                  </to>
                </anchor>
              </controlPr>
            </control>
          </mc:Choice>
        </mc:AlternateContent>
        <mc:AlternateContent xmlns:mc="http://schemas.openxmlformats.org/markup-compatibility/2006">
          <mc:Choice Requires="x14">
            <control shapeId="24591" r:id="rId5" name="Button 15">
              <controlPr defaultSize="0" print="0" autoFill="0" autoPict="0" macro="[0]!Info">
                <anchor moveWithCells="1">
                  <from>
                    <xdr:col>15</xdr:col>
                    <xdr:colOff>190500</xdr:colOff>
                    <xdr:row>72</xdr:row>
                    <xdr:rowOff>45720</xdr:rowOff>
                  </from>
                  <to>
                    <xdr:col>15</xdr:col>
                    <xdr:colOff>541020</xdr:colOff>
                    <xdr:row>73</xdr:row>
                    <xdr:rowOff>106680</xdr:rowOff>
                  </to>
                </anchor>
              </controlPr>
            </control>
          </mc:Choice>
        </mc:AlternateContent>
        <mc:AlternateContent xmlns:mc="http://schemas.openxmlformats.org/markup-compatibility/2006">
          <mc:Choice Requires="x14">
            <control shapeId="24592" r:id="rId6" name="Button 16">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24593" r:id="rId7" name="Button 17">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24594" r:id="rId8" name="Button 18">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24595" r:id="rId9" name="Button 19">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dimension ref="A1:IB66"/>
  <sheetViews>
    <sheetView showGridLines="0" topLeftCell="A27" zoomScale="80" zoomScaleNormal="80" workbookViewId="0">
      <selection activeCell="Q57" sqref="Q57"/>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row>
    <row r="2" spans="1:30" ht="21" x14ac:dyDescent="0.4">
      <c r="A2" s="552" t="s">
        <v>122</v>
      </c>
      <c r="B2" s="552"/>
      <c r="C2" s="552"/>
      <c r="D2" s="552"/>
      <c r="E2" s="552"/>
      <c r="F2" s="552"/>
      <c r="G2" s="552"/>
      <c r="H2" s="552"/>
      <c r="I2" s="552"/>
      <c r="J2" s="552"/>
      <c r="K2" s="552"/>
      <c r="L2" s="552"/>
      <c r="M2" s="552"/>
      <c r="N2" s="552"/>
      <c r="O2" s="552"/>
      <c r="P2" s="552"/>
    </row>
    <row r="3" spans="1:30" ht="17.399999999999999" x14ac:dyDescent="0.3">
      <c r="A3" s="568" t="s">
        <v>83</v>
      </c>
      <c r="B3" s="568"/>
      <c r="C3" s="568"/>
      <c r="D3" s="568"/>
      <c r="E3" s="568"/>
      <c r="F3" s="568"/>
      <c r="G3" s="568"/>
      <c r="H3" s="568"/>
      <c r="I3" s="568"/>
      <c r="J3" s="568"/>
      <c r="K3" s="568"/>
      <c r="L3" s="568"/>
      <c r="M3" s="568"/>
      <c r="N3" s="568"/>
      <c r="O3" s="568"/>
      <c r="P3" s="568"/>
    </row>
    <row r="4" spans="1:30"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5">
      <c r="A5" s="75"/>
      <c r="B5" s="75"/>
      <c r="C5" s="75"/>
      <c r="D5" s="75"/>
      <c r="E5" s="75"/>
      <c r="F5" s="75"/>
      <c r="G5" s="75"/>
      <c r="H5" s="75"/>
      <c r="I5" s="75"/>
      <c r="J5" s="75"/>
      <c r="K5" s="75"/>
    </row>
    <row r="6" spans="1:30" x14ac:dyDescent="0.25">
      <c r="A6" s="76">
        <f ca="1">TODAY()</f>
        <v>45588</v>
      </c>
      <c r="B6" s="210" t="s">
        <v>237</v>
      </c>
      <c r="C6" s="76"/>
      <c r="D6" s="76"/>
      <c r="E6" s="76"/>
      <c r="F6" s="76"/>
      <c r="G6" s="76"/>
      <c r="H6" s="76"/>
      <c r="I6" s="76"/>
    </row>
    <row r="7" spans="1:30" ht="24.6" x14ac:dyDescent="0.4">
      <c r="A7" s="569"/>
      <c r="B7" s="569"/>
      <c r="C7" s="569"/>
      <c r="D7" s="569"/>
      <c r="E7" s="569"/>
      <c r="F7" s="569"/>
      <c r="G7" s="569"/>
      <c r="H7" s="569"/>
      <c r="I7" s="569"/>
      <c r="J7" s="569"/>
      <c r="K7" s="569"/>
      <c r="L7" s="569"/>
      <c r="M7" s="569"/>
      <c r="N7" s="569"/>
      <c r="O7" s="569"/>
      <c r="P7" s="569"/>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11</v>
      </c>
      <c r="C11" s="194" t="str">
        <f>LOOKUP(B11,R11:AD11,R12:AD12)</f>
        <v>November</v>
      </c>
      <c r="D11" s="133">
        <f>'Customer Info'!C9</f>
        <v>2024</v>
      </c>
      <c r="S11">
        <v>1</v>
      </c>
      <c r="T11">
        <v>2</v>
      </c>
      <c r="U11">
        <v>3</v>
      </c>
      <c r="V11">
        <v>4</v>
      </c>
      <c r="W11">
        <v>5</v>
      </c>
      <c r="X11">
        <v>6</v>
      </c>
      <c r="Y11">
        <v>7</v>
      </c>
      <c r="Z11">
        <v>8</v>
      </c>
      <c r="AA11">
        <v>9</v>
      </c>
      <c r="AB11">
        <v>10</v>
      </c>
      <c r="AC11">
        <v>11</v>
      </c>
      <c r="AD11">
        <v>12</v>
      </c>
    </row>
    <row r="12" spans="1:30" x14ac:dyDescent="0.25">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t="s">
        <v>233</v>
      </c>
      <c r="B16" s="31"/>
      <c r="C16" s="32">
        <f>'Customer Info'!B22</f>
        <v>0</v>
      </c>
      <c r="D16" s="31" t="s">
        <v>41</v>
      </c>
      <c r="E16" s="31"/>
      <c r="F16" s="33"/>
      <c r="G16" s="23" t="s">
        <v>15</v>
      </c>
      <c r="H16" s="31"/>
    </row>
    <row r="17" spans="1:221" x14ac:dyDescent="0.25">
      <c r="A17" s="31" t="s">
        <v>234</v>
      </c>
      <c r="B17" s="31"/>
      <c r="C17" s="32">
        <f>'Customer Info'!B23</f>
        <v>0</v>
      </c>
      <c r="D17" s="262" t="s">
        <v>41</v>
      </c>
      <c r="E17" s="33"/>
      <c r="F17" s="33"/>
      <c r="G17" s="23" t="s">
        <v>15</v>
      </c>
      <c r="H17" s="31"/>
      <c r="I17" s="52" t="s">
        <v>15</v>
      </c>
    </row>
    <row r="19" spans="1:221" x14ac:dyDescent="0.25">
      <c r="A19" s="28" t="s">
        <v>31</v>
      </c>
      <c r="B19" s="22"/>
      <c r="C19" s="22"/>
      <c r="D19" s="22"/>
      <c r="E19" s="22"/>
      <c r="F19" s="22"/>
      <c r="G19" s="563" t="s">
        <v>67</v>
      </c>
      <c r="H19" s="564"/>
      <c r="I19" s="564"/>
      <c r="J19" s="565"/>
      <c r="K19" s="22"/>
      <c r="L19" s="566" t="s">
        <v>68</v>
      </c>
      <c r="M19" s="566"/>
      <c r="N19" s="566"/>
      <c r="O19" s="566"/>
    </row>
    <row r="20" spans="1:221" x14ac:dyDescent="0.25">
      <c r="A20" s="18"/>
      <c r="B20" s="18"/>
      <c r="C20" s="18"/>
      <c r="D20" s="18"/>
      <c r="E20" s="18"/>
      <c r="F20" s="18"/>
      <c r="G20" s="8" t="s">
        <v>64</v>
      </c>
      <c r="H20" s="8" t="s">
        <v>65</v>
      </c>
      <c r="I20" s="8" t="s">
        <v>66</v>
      </c>
      <c r="J20" s="112" t="s">
        <v>34</v>
      </c>
      <c r="K20" s="18"/>
      <c r="L20" s="131" t="s">
        <v>64</v>
      </c>
      <c r="M20" s="131" t="s">
        <v>65</v>
      </c>
      <c r="N20" s="131" t="s">
        <v>66</v>
      </c>
      <c r="O20" s="132" t="s">
        <v>34</v>
      </c>
      <c r="P20" s="43" t="s">
        <v>56</v>
      </c>
    </row>
    <row r="21" spans="1:221" x14ac:dyDescent="0.25">
      <c r="A21" t="s">
        <v>32</v>
      </c>
      <c r="G21" s="86"/>
      <c r="H21" s="86"/>
      <c r="I21" s="86">
        <v>9.4</v>
      </c>
      <c r="J21" s="86">
        <f>SUM(G21:I21)</f>
        <v>9.4</v>
      </c>
      <c r="L21" s="88"/>
      <c r="M21" s="88"/>
      <c r="N21" s="88">
        <f>I21</f>
        <v>9.4</v>
      </c>
      <c r="O21" s="209">
        <f>SUM(L21:N21)</f>
        <v>9.4</v>
      </c>
      <c r="P21" s="245">
        <v>44531</v>
      </c>
    </row>
    <row r="22" spans="1:221" x14ac:dyDescent="0.25">
      <c r="A22" s="3" t="s">
        <v>302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5">
      <c r="A23" s="37" t="s">
        <v>50</v>
      </c>
      <c r="B23" s="37"/>
      <c r="C23" s="37"/>
      <c r="D23" s="38"/>
      <c r="E23" s="38"/>
      <c r="F23" s="37"/>
      <c r="G23" s="37"/>
      <c r="H23" s="37"/>
      <c r="I23" s="37"/>
      <c r="J23" s="37"/>
      <c r="K23" s="39"/>
      <c r="L23" s="40"/>
      <c r="M23" s="40"/>
      <c r="N23" s="40">
        <f>SUM(N21:N22)</f>
        <v>9.4</v>
      </c>
      <c r="O23" s="40">
        <f>SUM(O21:O22)</f>
        <v>9.4</v>
      </c>
    </row>
    <row r="24" spans="1:221" x14ac:dyDescent="0.25">
      <c r="A24" s="89"/>
      <c r="B24" s="89"/>
      <c r="C24" s="90"/>
      <c r="D24" s="90"/>
      <c r="E24" s="90"/>
      <c r="F24" s="90"/>
      <c r="G24" s="91"/>
      <c r="H24" s="91"/>
      <c r="I24" s="91"/>
      <c r="J24" s="91"/>
      <c r="K24" s="89"/>
      <c r="L24" s="89"/>
      <c r="M24" s="89"/>
      <c r="N24" s="89"/>
      <c r="O24" s="89"/>
      <c r="P24" s="89"/>
    </row>
    <row r="25" spans="1:221" x14ac:dyDescent="0.25">
      <c r="A25" s="148" t="s">
        <v>69</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78</v>
      </c>
      <c r="B27" s="176"/>
      <c r="C27" s="176"/>
      <c r="D27" s="100">
        <f>IF($C$15&lt;0,0,IF($C$15&gt;833000,833000,$C$15))</f>
        <v>0</v>
      </c>
      <c r="E27" s="101" t="s">
        <v>41</v>
      </c>
      <c r="F27" s="102" t="s">
        <v>8</v>
      </c>
      <c r="G27" s="103"/>
      <c r="H27" s="103"/>
      <c r="I27" s="103">
        <f>'Rider Rates'!$B$4</f>
        <v>5.9216E-3</v>
      </c>
      <c r="J27" s="103">
        <f t="shared" ref="J27:J48" si="0">SUM(G27:I27)</f>
        <v>5.9216E-3</v>
      </c>
      <c r="K27" s="104" t="s">
        <v>42</v>
      </c>
      <c r="L27" s="105"/>
      <c r="M27" s="105"/>
      <c r="N27" s="105">
        <f t="shared" ref="N27:N32" si="1">ROUND(D27*I27,2)</f>
        <v>0</v>
      </c>
      <c r="O27" s="105">
        <f t="shared" ref="O27:O49" si="2">SUM(L27:N27)</f>
        <v>0</v>
      </c>
      <c r="P27" s="245">
        <f>'Rider Rates'!$D$4</f>
        <v>45293</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79</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96</v>
      </c>
      <c r="B29" s="78"/>
      <c r="C29" s="78"/>
      <c r="D29" s="100">
        <f>IF('Customer Info'!$C$33=TRUE,0,IF($C$15&lt;0,0,IF($C$15&gt;2000,2000,$C$15)))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97</v>
      </c>
      <c r="B30" s="78"/>
      <c r="C30" s="78"/>
      <c r="D30" s="100">
        <f>IF('Customer Info'!$C$33=TRUE,0,IF($C$15&lt;=2000,0,IF($C$15=0,0,IF($C$15-2000&gt;13000,13000,$C$15-2000))))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98</v>
      </c>
      <c r="B31" s="78"/>
      <c r="C31" s="78"/>
      <c r="D31" s="100">
        <f>IF('Customer Info'!$C$33=TRUE,0,IF($C$15=0,0,IF($C$15-15000&gt;=0,$C$15-15000,0)))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45197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245</v>
      </c>
      <c r="B33" s="78"/>
      <c r="C33" s="78"/>
      <c r="D33" s="195">
        <f>$N$23</f>
        <v>9.4</v>
      </c>
      <c r="E33" s="101" t="s">
        <v>121</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194</v>
      </c>
      <c r="B34" s="78"/>
      <c r="C34" s="78"/>
      <c r="D34" s="100">
        <f>C16+C17</f>
        <v>0</v>
      </c>
      <c r="E34" s="101" t="s">
        <v>41</v>
      </c>
      <c r="F34" s="102" t="s">
        <v>8</v>
      </c>
      <c r="G34" s="103">
        <f>'Rider Rates'!B22</f>
        <v>7.0209999999999995E-2</v>
      </c>
      <c r="H34" s="103"/>
      <c r="I34" s="103"/>
      <c r="J34" s="237">
        <f>SUM(G34:H34)</f>
        <v>7.0209999999999995E-2</v>
      </c>
      <c r="K34" s="104" t="s">
        <v>42</v>
      </c>
      <c r="L34" s="105">
        <f>ROUND(D34*G34,2)</f>
        <v>0</v>
      </c>
      <c r="M34" s="105"/>
      <c r="N34" s="105"/>
      <c r="O34" s="105">
        <f t="shared" si="2"/>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164</v>
      </c>
      <c r="B35" s="78"/>
      <c r="C35" s="78"/>
      <c r="D35" s="100">
        <f>C16</f>
        <v>0</v>
      </c>
      <c r="E35" s="101" t="s">
        <v>41</v>
      </c>
      <c r="F35" s="102" t="s">
        <v>8</v>
      </c>
      <c r="G35" s="103">
        <f>'Rider Rates'!B38</f>
        <v>2.2890699999999998E-3</v>
      </c>
      <c r="H35" s="103"/>
      <c r="I35" s="103"/>
      <c r="J35" s="237">
        <f>SUM(G35:H35)</f>
        <v>2.2890699999999998E-3</v>
      </c>
      <c r="K35" s="104" t="s">
        <v>42</v>
      </c>
      <c r="L35" s="105">
        <f>ROUND(D35*G35,2)</f>
        <v>0</v>
      </c>
      <c r="M35" s="105"/>
      <c r="N35" s="105"/>
      <c r="O35" s="105">
        <f t="shared" si="2"/>
        <v>0</v>
      </c>
      <c r="P35" s="245">
        <f>'Rider Rates'!$D$38</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227</v>
      </c>
      <c r="B36" s="78"/>
      <c r="C36" s="78"/>
      <c r="D36" s="100">
        <f>C17</f>
        <v>0</v>
      </c>
      <c r="E36" s="101" t="s">
        <v>41</v>
      </c>
      <c r="F36" s="249" t="s">
        <v>8</v>
      </c>
      <c r="G36" s="103">
        <f>'Rider Rates'!B39</f>
        <v>0</v>
      </c>
      <c r="H36" s="103"/>
      <c r="I36" s="103"/>
      <c r="J36" s="237">
        <f>SUM(G36:H36)</f>
        <v>0</v>
      </c>
      <c r="K36" s="104" t="s">
        <v>42</v>
      </c>
      <c r="L36" s="105">
        <f>ROUND(D36*G36,2)</f>
        <v>0</v>
      </c>
      <c r="M36" s="105"/>
      <c r="N36" s="105"/>
      <c r="O36" s="105">
        <f t="shared" si="2"/>
        <v>0</v>
      </c>
      <c r="P36" s="245">
        <f>'Rider Rates'!D39</f>
        <v>45444</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201</v>
      </c>
      <c r="B37" s="78"/>
      <c r="C37" s="78"/>
      <c r="D37" s="100">
        <f>C16+C17</f>
        <v>0</v>
      </c>
      <c r="E37" s="101" t="s">
        <v>41</v>
      </c>
      <c r="F37" s="102" t="s">
        <v>8</v>
      </c>
      <c r="G37" s="103">
        <f>'Rider Rates'!$B$49</f>
        <v>-1.2408E-3</v>
      </c>
      <c r="H37" s="103"/>
      <c r="I37" s="103"/>
      <c r="J37" s="237">
        <f>SUM(G37:H37)</f>
        <v>-1.2408E-3</v>
      </c>
      <c r="K37" s="104" t="s">
        <v>42</v>
      </c>
      <c r="L37" s="105">
        <f>ROUND(D37*G37,2)</f>
        <v>0</v>
      </c>
      <c r="M37" s="105"/>
      <c r="N37" s="105"/>
      <c r="O37" s="105">
        <f t="shared" si="2"/>
        <v>0</v>
      </c>
      <c r="P37" s="245">
        <f>'Rider Rates'!$D$49</f>
        <v>45562</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218</v>
      </c>
      <c r="B38" s="78"/>
      <c r="C38" s="78"/>
      <c r="D38" s="100">
        <f>IF($C$15&lt;0,0,IF($C$15&gt;833000,833000,$C$15))</f>
        <v>0</v>
      </c>
      <c r="E38" s="101" t="s">
        <v>41</v>
      </c>
      <c r="F38" s="102" t="s">
        <v>8</v>
      </c>
      <c r="G38" s="103"/>
      <c r="H38" s="103"/>
      <c r="I38" s="103">
        <f>'Rider Rates'!D53</f>
        <v>1.8006999999999999E-3</v>
      </c>
      <c r="J38" s="103">
        <f>SUM(G38:I38)</f>
        <v>1.8006999999999999E-3</v>
      </c>
      <c r="K38" s="104" t="s">
        <v>42</v>
      </c>
      <c r="L38" s="105"/>
      <c r="M38" s="105"/>
      <c r="N38" s="105">
        <f>D38*J38</f>
        <v>0</v>
      </c>
      <c r="O38" s="105">
        <f t="shared" si="2"/>
        <v>0</v>
      </c>
      <c r="P38" s="245">
        <f>'Rider Rates'!E53</f>
        <v>45474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197</v>
      </c>
      <c r="B39" s="78"/>
      <c r="C39" s="78"/>
      <c r="D39" s="100">
        <f>IF($C$15&lt;0,0,$C$15)</f>
        <v>0</v>
      </c>
      <c r="E39" s="113" t="s">
        <v>41</v>
      </c>
      <c r="F39" s="102" t="s">
        <v>8</v>
      </c>
      <c r="G39" s="103"/>
      <c r="H39" s="103">
        <f>'Rider Rates'!$B$60</f>
        <v>2.3467399999999999E-2</v>
      </c>
      <c r="I39" s="103"/>
      <c r="J39" s="103">
        <f>SUM(G39:I39)</f>
        <v>2.3467399999999999E-2</v>
      </c>
      <c r="K39" s="104" t="s">
        <v>42</v>
      </c>
      <c r="L39" s="105"/>
      <c r="M39" s="105">
        <f>ROUND(D39*H39,2)</f>
        <v>0</v>
      </c>
      <c r="N39" s="205"/>
      <c r="O39" s="105">
        <f t="shared" si="2"/>
        <v>0</v>
      </c>
      <c r="P39" s="245">
        <f>'Rider Rates'!$D$60</f>
        <v>45383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95</v>
      </c>
      <c r="B40" s="78"/>
      <c r="C40" s="78"/>
      <c r="D40" s="100">
        <f>IF('Customer Info'!C35=TRUE,0,IF($C$15&lt;0,0,$C$15))</f>
        <v>0</v>
      </c>
      <c r="E40" s="101" t="s">
        <v>41</v>
      </c>
      <c r="F40" s="102" t="s">
        <v>8</v>
      </c>
      <c r="G40" s="103"/>
      <c r="H40" s="103"/>
      <c r="I40" s="103">
        <f>'Rider Rates'!$B$74+'Rider Rates'!$C$74</f>
        <v>0</v>
      </c>
      <c r="J40" s="103">
        <f t="shared" si="0"/>
        <v>0</v>
      </c>
      <c r="K40" s="104" t="s">
        <v>42</v>
      </c>
      <c r="L40" s="105"/>
      <c r="M40" s="105"/>
      <c r="N40" s="105">
        <f>ROUND($D$40*'Rider Rates'!$B$74,2)+ROUND($D$40*'Rider Rates'!$C$74,2)</f>
        <v>0</v>
      </c>
      <c r="O40" s="105">
        <f t="shared" si="2"/>
        <v>0</v>
      </c>
      <c r="P40" s="245">
        <f>'Rider Rates'!$D$74</f>
        <v>44531</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95</v>
      </c>
      <c r="B41" s="78"/>
      <c r="C41" s="78"/>
      <c r="D41" s="100"/>
      <c r="E41" s="101" t="s">
        <v>114</v>
      </c>
      <c r="F41" s="102"/>
      <c r="G41" s="103"/>
      <c r="H41" s="103"/>
      <c r="I41" s="196">
        <f>'Rider Rates'!$B$81</f>
        <v>0</v>
      </c>
      <c r="J41" s="196">
        <f>IF('Customer Info'!C35=TRUE,0,SUM(G41:I41))</f>
        <v>0</v>
      </c>
      <c r="K41" s="104"/>
      <c r="L41" s="105"/>
      <c r="M41" s="105"/>
      <c r="N41" s="105">
        <f>J41</f>
        <v>0</v>
      </c>
      <c r="O41" s="105">
        <f>SUM(L41:N41)</f>
        <v>0</v>
      </c>
      <c r="P41" s="245">
        <v>44531</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80</v>
      </c>
      <c r="B42" s="78"/>
      <c r="C42" s="78"/>
      <c r="D42" s="195">
        <f>$N$23</f>
        <v>9.4</v>
      </c>
      <c r="E42" s="101" t="s">
        <v>121</v>
      </c>
      <c r="F42" s="102" t="s">
        <v>8</v>
      </c>
      <c r="G42" s="111"/>
      <c r="H42" s="112"/>
      <c r="I42" s="120">
        <f>'Rider Rates'!$B$89</f>
        <v>4.94232E-2</v>
      </c>
      <c r="J42" s="120">
        <f t="shared" si="0"/>
        <v>4.94232E-2</v>
      </c>
      <c r="K42" s="104"/>
      <c r="L42" s="105"/>
      <c r="M42" s="105"/>
      <c r="N42" s="105">
        <f>ROUND(D42*I42,2)</f>
        <v>0.46</v>
      </c>
      <c r="O42" s="105">
        <f t="shared" si="2"/>
        <v>0.46</v>
      </c>
      <c r="P42" s="245">
        <f>'Rider Rates'!$D$89</f>
        <v>45562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81</v>
      </c>
      <c r="B43" s="78"/>
      <c r="C43" s="78"/>
      <c r="D43" s="195">
        <f>$N$23</f>
        <v>9.4</v>
      </c>
      <c r="E43" s="101" t="s">
        <v>121</v>
      </c>
      <c r="F43" s="102" t="s">
        <v>8</v>
      </c>
      <c r="G43" s="114"/>
      <c r="H43" s="115"/>
      <c r="I43" s="120">
        <f>'Rider Rates'!$B$91</f>
        <v>6.6985699999999995E-2</v>
      </c>
      <c r="J43" s="120">
        <f t="shared" si="0"/>
        <v>6.6985699999999995E-2</v>
      </c>
      <c r="K43" s="104"/>
      <c r="L43" s="105"/>
      <c r="M43" s="105"/>
      <c r="N43" s="105">
        <f>ROUND(D43*I43,2)</f>
        <v>0.63</v>
      </c>
      <c r="O43" s="105">
        <f t="shared" si="2"/>
        <v>0.63</v>
      </c>
      <c r="P43" s="245">
        <f>'Rider Rates'!$D$91</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214</v>
      </c>
      <c r="B44" s="78"/>
      <c r="C44" s="78"/>
      <c r="D44" s="195"/>
      <c r="E44" s="113" t="s">
        <v>114</v>
      </c>
      <c r="F44" s="106"/>
      <c r="G44" s="114"/>
      <c r="H44" s="115"/>
      <c r="I44" s="196">
        <f>'Rider Rates'!$B$95</f>
        <v>17.12</v>
      </c>
      <c r="J44" s="196">
        <f t="shared" si="0"/>
        <v>17.12</v>
      </c>
      <c r="K44" s="104"/>
      <c r="L44" s="105"/>
      <c r="M44" s="105"/>
      <c r="N44" s="105">
        <f>I44</f>
        <v>17.12</v>
      </c>
      <c r="O44" s="105">
        <f t="shared" si="2"/>
        <v>17.12</v>
      </c>
      <c r="P44" s="245">
        <f>'Rider Rates'!$D$95</f>
        <v>45562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247</v>
      </c>
      <c r="B45" s="78"/>
      <c r="C45" s="78"/>
      <c r="D45" s="100">
        <f>IF($C$15&lt;0,0,$C$15)</f>
        <v>0</v>
      </c>
      <c r="E45" s="101" t="s">
        <v>41</v>
      </c>
      <c r="F45" s="102" t="s">
        <v>8</v>
      </c>
      <c r="G45" s="103"/>
      <c r="H45" s="103"/>
      <c r="I45" s="103"/>
      <c r="J45" s="103">
        <f>'Rider Rates'!$B$99</f>
        <v>0</v>
      </c>
      <c r="K45" s="104" t="s">
        <v>42</v>
      </c>
      <c r="L45" s="105"/>
      <c r="M45" s="105"/>
      <c r="N45" s="105"/>
      <c r="O45" s="105">
        <f>ROUND($D45*('Rider Rates'!B$99),2)</f>
        <v>0</v>
      </c>
      <c r="P45" s="245">
        <f>'Rider Rates'!$D$99</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195">
        <f>$N$23</f>
        <v>9.4</v>
      </c>
      <c r="E46" s="101" t="s">
        <v>121</v>
      </c>
      <c r="F46" s="102" t="s">
        <v>8</v>
      </c>
      <c r="G46" s="114"/>
      <c r="H46" s="115"/>
      <c r="I46" s="120">
        <f>'Rider Rates'!$B$109</f>
        <v>0.211176</v>
      </c>
      <c r="J46" s="120">
        <f t="shared" si="0"/>
        <v>0.211176</v>
      </c>
      <c r="K46" s="104"/>
      <c r="L46" s="105"/>
      <c r="M46" s="105"/>
      <c r="N46" s="105">
        <f>ROUND(D46*I46,2)</f>
        <v>1.99</v>
      </c>
      <c r="O46" s="105">
        <f t="shared" si="2"/>
        <v>1.99</v>
      </c>
      <c r="P46" s="245">
        <f>'Rider Rates'!$D$109</f>
        <v>45532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217</v>
      </c>
      <c r="B47" s="78"/>
      <c r="C47" s="78"/>
      <c r="D47" s="195"/>
      <c r="E47" s="113" t="s">
        <v>114</v>
      </c>
      <c r="F47" s="106"/>
      <c r="G47" s="114"/>
      <c r="H47" s="115"/>
      <c r="I47" s="196">
        <f>'Rider Rates'!$B$113</f>
        <v>0</v>
      </c>
      <c r="J47" s="196">
        <f t="shared" si="0"/>
        <v>0</v>
      </c>
      <c r="K47" s="104"/>
      <c r="L47" s="105"/>
      <c r="M47" s="105"/>
      <c r="N47" s="105">
        <f>I47</f>
        <v>0</v>
      </c>
      <c r="O47" s="105">
        <f t="shared" si="2"/>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225</v>
      </c>
      <c r="B48" s="78"/>
      <c r="C48" s="78"/>
      <c r="D48" s="195"/>
      <c r="E48" s="113" t="s">
        <v>114</v>
      </c>
      <c r="F48" s="106"/>
      <c r="G48" s="114"/>
      <c r="H48" s="115"/>
      <c r="I48" s="258">
        <f>'Rider Rates'!B126</f>
        <v>4.84</v>
      </c>
      <c r="J48" s="196">
        <f t="shared" si="0"/>
        <v>4.84</v>
      </c>
      <c r="K48" s="104"/>
      <c r="L48" s="105"/>
      <c r="M48" s="105"/>
      <c r="N48" s="260">
        <f>I48</f>
        <v>4.84</v>
      </c>
      <c r="O48" s="105">
        <f t="shared" si="2"/>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99" t="s">
        <v>157</v>
      </c>
      <c r="B49" s="78"/>
      <c r="C49" s="78"/>
      <c r="D49" s="100">
        <f>C16+C17</f>
        <v>0</v>
      </c>
      <c r="E49" s="101" t="s">
        <v>41</v>
      </c>
      <c r="F49" s="102" t="s">
        <v>8</v>
      </c>
      <c r="G49" s="103">
        <f>'Rider Rates'!$B$116</f>
        <v>3.8972999999999998E-3</v>
      </c>
      <c r="H49" s="103"/>
      <c r="I49" s="120"/>
      <c r="J49" s="237">
        <f>SUM(G49:H49)</f>
        <v>3.8972999999999998E-3</v>
      </c>
      <c r="K49" s="104" t="s">
        <v>42</v>
      </c>
      <c r="L49" s="105">
        <f>ROUND(D49*G49,2)</f>
        <v>0</v>
      </c>
      <c r="M49" s="105"/>
      <c r="N49" s="105"/>
      <c r="O49" s="105">
        <f t="shared" si="2"/>
        <v>0</v>
      </c>
      <c r="P49" s="245">
        <f>'Rider Rates'!$D$116</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10" t="s">
        <v>216</v>
      </c>
      <c r="B50" s="78"/>
      <c r="C50" s="78"/>
      <c r="D50" s="100">
        <f>IF($C$15&lt;1,0,$C$15)</f>
        <v>0</v>
      </c>
      <c r="E50" s="101" t="s">
        <v>41</v>
      </c>
      <c r="F50" s="249" t="s">
        <v>8</v>
      </c>
      <c r="G50" s="165"/>
      <c r="H50" s="165"/>
      <c r="I50" s="251">
        <f>'Rider Rates'!B122</f>
        <v>-6.2E-4</v>
      </c>
      <c r="J50" s="251">
        <f>SUM(G50:I50)</f>
        <v>-6.2E-4</v>
      </c>
      <c r="K50" s="104" t="s">
        <v>42</v>
      </c>
      <c r="L50" s="105"/>
      <c r="M50" s="105"/>
      <c r="N50" s="105">
        <f>D50*J50</f>
        <v>0</v>
      </c>
      <c r="O50" s="105">
        <f>SUM(L50:N50)</f>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241</v>
      </c>
      <c r="B51" s="78"/>
      <c r="C51" s="78"/>
      <c r="D51" s="100">
        <f>IF(C15&lt;0,0,IF(C15&gt;833000,833000,C15))</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SUM(L51:N51)</f>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78" t="s">
        <v>242</v>
      </c>
      <c r="B52" s="78"/>
      <c r="C52" s="78"/>
      <c r="D52" s="123">
        <f>IF(C15&gt;833000,C15-833000,0)</f>
        <v>0</v>
      </c>
      <c r="E52" s="101" t="s">
        <v>41</v>
      </c>
      <c r="F52" s="102" t="s">
        <v>8</v>
      </c>
      <c r="G52" s="265"/>
      <c r="H52" s="265"/>
      <c r="I52" s="265">
        <f>'Rider Rates'!$B$131</f>
        <v>0</v>
      </c>
      <c r="J52" s="265">
        <f>SUM(G52:I52)</f>
        <v>0</v>
      </c>
      <c r="K52" s="104" t="s">
        <v>42</v>
      </c>
      <c r="L52" s="266"/>
      <c r="M52" s="266"/>
      <c r="N52" s="266">
        <f>D52*J52</f>
        <v>0</v>
      </c>
      <c r="O52" s="266">
        <f>SUM(L52:N52)</f>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250</v>
      </c>
      <c r="B53" s="78"/>
      <c r="C53" s="78"/>
      <c r="D53" s="100">
        <f>C15</f>
        <v>0</v>
      </c>
      <c r="E53" s="101" t="s">
        <v>41</v>
      </c>
      <c r="F53" s="249" t="s">
        <v>8</v>
      </c>
      <c r="G53" s="103"/>
      <c r="H53" s="103"/>
      <c r="I53" s="103">
        <f>'Rider Rates'!$B$135</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79" t="s">
        <v>70</v>
      </c>
      <c r="B56" s="148"/>
      <c r="C56" s="148"/>
      <c r="D56" s="180"/>
      <c r="E56" s="181"/>
      <c r="F56" s="182"/>
      <c r="G56" s="182"/>
      <c r="H56" s="182"/>
      <c r="I56" s="182"/>
      <c r="J56" s="182"/>
      <c r="K56" s="183"/>
      <c r="L56" s="169">
        <f>SUM(L27:L55)</f>
        <v>0</v>
      </c>
      <c r="M56" s="169">
        <f>SUM(M27:M55)</f>
        <v>0</v>
      </c>
      <c r="N56" s="169">
        <f>SUM(N27:N55)</f>
        <v>25.04</v>
      </c>
      <c r="O56" s="169">
        <f>SUM(O27:O55)</f>
        <v>25.04</v>
      </c>
      <c r="P56" s="18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78"/>
      <c r="B57" s="78"/>
      <c r="C57" s="78"/>
      <c r="D57" s="100"/>
      <c r="E57" s="113"/>
      <c r="F57" s="106"/>
      <c r="G57" s="106"/>
      <c r="H57" s="106"/>
      <c r="I57" s="106"/>
      <c r="J57" s="107"/>
      <c r="K57" s="104"/>
      <c r="L57" s="106"/>
      <c r="M57" s="106"/>
      <c r="N57" s="106"/>
      <c r="O57" s="106"/>
      <c r="P57" s="1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185" t="s">
        <v>93</v>
      </c>
      <c r="B58" s="170"/>
      <c r="C58" s="170"/>
      <c r="D58" s="170"/>
      <c r="E58" s="170"/>
      <c r="F58" s="170"/>
      <c r="G58" s="170"/>
      <c r="H58" s="170"/>
      <c r="I58" s="170"/>
      <c r="J58" s="170"/>
      <c r="K58" s="170"/>
      <c r="L58" s="186">
        <f>L23+L56</f>
        <v>0</v>
      </c>
      <c r="M58" s="186">
        <f>M23+M56</f>
        <v>0</v>
      </c>
      <c r="N58" s="186">
        <f>N23+N56</f>
        <v>34.44</v>
      </c>
      <c r="O58" s="187">
        <f>O23+O56</f>
        <v>34.44</v>
      </c>
      <c r="P58" s="187"/>
      <c r="Q58" s="106"/>
      <c r="R58" s="188"/>
      <c r="S58" s="108"/>
      <c r="T58" s="109"/>
      <c r="U58" s="78"/>
      <c r="V58" s="10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78"/>
      <c r="B60" s="78"/>
      <c r="C60" s="78"/>
      <c r="D60" s="78"/>
      <c r="E60" s="78"/>
      <c r="F60" s="78"/>
      <c r="G60" s="78"/>
      <c r="H60" s="78"/>
      <c r="I60" s="78"/>
      <c r="J60" s="78"/>
      <c r="K60" s="78"/>
      <c r="L60" s="78"/>
      <c r="M60" s="78"/>
      <c r="N60" s="151"/>
      <c r="O60" s="151"/>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66" t="s">
        <v>92</v>
      </c>
      <c r="B61" s="78"/>
      <c r="C61" s="78"/>
      <c r="D61" s="78"/>
      <c r="E61" s="78"/>
      <c r="F61" s="78"/>
      <c r="G61" s="78"/>
      <c r="H61" s="78"/>
      <c r="I61" s="78"/>
      <c r="J61" s="78"/>
      <c r="K61" s="78"/>
      <c r="L61" s="78"/>
      <c r="M61" s="78"/>
      <c r="N61" s="78"/>
      <c r="O61" s="109">
        <f>O21+O56</f>
        <v>34.44</v>
      </c>
      <c r="P61" s="151"/>
      <c r="Q61" s="166"/>
      <c r="R61" s="166"/>
      <c r="S61" s="166"/>
      <c r="T61" s="189"/>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66" t="s">
        <v>15</v>
      </c>
      <c r="B62" s="166"/>
      <c r="C62" s="166"/>
      <c r="D62" s="166"/>
      <c r="E62" s="166"/>
      <c r="F62" s="166"/>
      <c r="G62" s="166"/>
      <c r="H62" s="166"/>
      <c r="I62" s="78"/>
      <c r="J62" s="78"/>
      <c r="K62" s="78"/>
      <c r="L62" s="78"/>
      <c r="M62" s="78"/>
      <c r="N62" s="151"/>
      <c r="O62" s="151"/>
      <c r="P62" s="151"/>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5">
      <c r="A63" s="148" t="s">
        <v>116</v>
      </c>
      <c r="B63" s="151"/>
      <c r="C63" s="151"/>
      <c r="D63" s="151"/>
      <c r="E63" s="151"/>
      <c r="F63" s="151"/>
      <c r="G63" s="151"/>
      <c r="H63" s="151"/>
      <c r="I63" s="151"/>
      <c r="J63" s="151"/>
      <c r="K63" s="151"/>
      <c r="L63" s="151"/>
      <c r="M63" s="151"/>
      <c r="N63" s="151"/>
      <c r="O63" s="190">
        <f>IF($D$17&lt;0,O58,IF(O58&gt;O61,O58,O61))</f>
        <v>34.44</v>
      </c>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36" ht="15" customHeight="1" x14ac:dyDescent="0.25">
      <c r="A64" s="148"/>
      <c r="B64" s="151"/>
      <c r="C64" s="151"/>
      <c r="D64" s="151"/>
      <c r="E64" s="151"/>
      <c r="F64" s="151"/>
      <c r="G64" s="151"/>
      <c r="H64" s="151"/>
      <c r="I64" s="151"/>
      <c r="J64" s="151"/>
      <c r="K64" s="151"/>
      <c r="L64" s="151"/>
      <c r="M64" s="151"/>
      <c r="N64" s="151"/>
      <c r="O64" s="190"/>
      <c r="P64" s="160"/>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row>
    <row r="65" spans="1:222" x14ac:dyDescent="0.25">
      <c r="A65" s="148"/>
      <c r="B65" s="166"/>
      <c r="C65" s="166"/>
      <c r="D65" s="166"/>
      <c r="E65" s="166"/>
      <c r="F65" s="166"/>
      <c r="G65" s="166"/>
      <c r="H65" s="166"/>
      <c r="I65" s="166" t="s">
        <v>120</v>
      </c>
      <c r="J65" s="166"/>
      <c r="K65" s="166"/>
      <c r="L65" s="191"/>
      <c r="M65" s="191"/>
      <c r="N65" s="191"/>
      <c r="O65" s="191">
        <f>ROUND(IF($C$15&lt;1,0,O58/($C$15*100)*10000),2)</f>
        <v>0</v>
      </c>
      <c r="P65" s="37" t="s">
        <v>86</v>
      </c>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HE65" s="78"/>
      <c r="HF65" s="78"/>
      <c r="HG65" s="78"/>
      <c r="HH65" s="78"/>
      <c r="HI65" s="78"/>
      <c r="HJ65" s="78"/>
      <c r="HK65" s="78"/>
      <c r="HL65" s="78"/>
      <c r="HM65" s="78"/>
      <c r="HN65" s="78"/>
    </row>
    <row r="66" spans="1:222" x14ac:dyDescent="0.25">
      <c r="B66" s="78"/>
      <c r="C66" s="78"/>
      <c r="D66" s="78"/>
      <c r="E66" s="78"/>
      <c r="F66" s="78"/>
      <c r="G66" s="78"/>
      <c r="H66" s="192"/>
      <c r="I66" s="242" t="s">
        <v>198</v>
      </c>
      <c r="J66" s="78"/>
      <c r="K66" s="78"/>
      <c r="L66" s="78"/>
      <c r="M66" s="78"/>
      <c r="N66" s="78"/>
      <c r="O66" s="243">
        <f>ROUND(IF($C$15&lt;1,0,(L58)/($C$15*100)*10000),2)</f>
        <v>0</v>
      </c>
      <c r="P66" s="25" t="s">
        <v>86</v>
      </c>
      <c r="Q66" s="78"/>
      <c r="R66" s="78"/>
      <c r="S66" s="78"/>
      <c r="T66" s="78"/>
      <c r="U66" s="78"/>
      <c r="V66" s="78"/>
      <c r="W66" s="78"/>
      <c r="X66" s="78"/>
      <c r="Y66" s="78"/>
      <c r="Z66" s="78"/>
      <c r="AA66" s="78"/>
      <c r="AB66" s="78"/>
      <c r="AC66" s="78"/>
      <c r="AD66" s="78"/>
      <c r="AE66" s="78"/>
      <c r="AF66" s="78"/>
      <c r="AG66" s="78"/>
      <c r="AH66" s="78"/>
      <c r="AI66" s="78"/>
      <c r="AJ66" s="78"/>
      <c r="AK66" s="78"/>
    </row>
  </sheetData>
  <sheetProtection algorithmName="SHA-512" hashValue="i9WuypYmza54siqj+pZJEa9vR4cAeykzrUghQSBwNxeY47hZp/xGrp+4GGTf+resZUO9CISYpCgm7v/uu6PcnQ==" saltValue="xJxm7qBUh9ECihSoCTZMj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Button 1">
              <controlPr defaultSize="0" print="0" autoFill="0" autoPict="0" macro="[0]!Info">
                <anchor moveWithCells="1">
                  <from>
                    <xdr:col>0</xdr:col>
                    <xdr:colOff>38100</xdr:colOff>
                    <xdr:row>0</xdr:row>
                    <xdr:rowOff>30480</xdr:rowOff>
                  </from>
                  <to>
                    <xdr:col>0</xdr:col>
                    <xdr:colOff>381000</xdr:colOff>
                    <xdr:row>0</xdr:row>
                    <xdr:rowOff>160020</xdr:rowOff>
                  </to>
                </anchor>
              </controlPr>
            </control>
          </mc:Choice>
        </mc:AlternateContent>
        <mc:AlternateContent xmlns:mc="http://schemas.openxmlformats.org/markup-compatibility/2006">
          <mc:Choice Requires="x14">
            <control shapeId="75778" r:id="rId5" name="Button 2">
              <controlPr defaultSize="0" print="0" autoFill="0" autoPict="0" macro="[0]!Info">
                <anchor moveWithCells="1">
                  <from>
                    <xdr:col>15</xdr:col>
                    <xdr:colOff>190500</xdr:colOff>
                    <xdr:row>73</xdr:row>
                    <xdr:rowOff>45720</xdr:rowOff>
                  </from>
                  <to>
                    <xdr:col>15</xdr:col>
                    <xdr:colOff>541020</xdr:colOff>
                    <xdr:row>74</xdr:row>
                    <xdr:rowOff>106680</xdr:rowOff>
                  </to>
                </anchor>
              </controlPr>
            </control>
          </mc:Choice>
        </mc:AlternateContent>
        <mc:AlternateContent xmlns:mc="http://schemas.openxmlformats.org/markup-compatibility/2006">
          <mc:Choice Requires="x14">
            <control shapeId="75779" r:id="rId6" name="Button 3">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75780" r:id="rId7" name="Button 4">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75781" r:id="rId8" name="Button 5">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75782" r:id="rId9" name="Button 6">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dimension ref="A1:HM71"/>
  <sheetViews>
    <sheetView showGridLines="0" topLeftCell="A24" zoomScale="80" zoomScaleNormal="80" workbookViewId="0">
      <selection activeCell="O34" sqref="G34:O34"/>
    </sheetView>
  </sheetViews>
  <sheetFormatPr defaultRowHeight="13.2" x14ac:dyDescent="0.25"/>
  <cols>
    <col min="1" max="1" width="37.5546875" customWidth="1"/>
    <col min="2" max="2" width="2.109375" customWidth="1"/>
    <col min="3" max="3" width="14.5546875" customWidth="1"/>
    <col min="4" max="4" width="16.44140625" bestFit="1" customWidth="1"/>
    <col min="5" max="5" width="9.88671875" customWidth="1"/>
    <col min="6" max="6" width="5.5546875" customWidth="1"/>
    <col min="7" max="8" width="13.44140625" customWidth="1"/>
    <col min="9" max="9" width="14.5546875" customWidth="1"/>
    <col min="10" max="10" width="13.44140625" customWidth="1"/>
    <col min="11" max="11" width="7" customWidth="1"/>
    <col min="12" max="12" width="15" customWidth="1"/>
    <col min="13" max="13" width="16" customWidth="1"/>
    <col min="14" max="14" width="15.109375" bestFit="1" customWidth="1"/>
    <col min="15" max="15" width="17.44140625" bestFit="1" customWidth="1"/>
    <col min="16" max="16" width="12.88671875" bestFit="1" customWidth="1"/>
    <col min="18" max="18" width="13"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row>
    <row r="2" spans="1:30" ht="21" x14ac:dyDescent="0.4">
      <c r="A2" s="552" t="s">
        <v>122</v>
      </c>
      <c r="B2" s="552"/>
      <c r="C2" s="552"/>
      <c r="D2" s="552"/>
      <c r="E2" s="552"/>
      <c r="F2" s="552"/>
      <c r="G2" s="552"/>
      <c r="H2" s="552"/>
      <c r="I2" s="552"/>
      <c r="J2" s="552"/>
      <c r="K2" s="552"/>
      <c r="L2" s="552"/>
      <c r="M2" s="552"/>
      <c r="N2" s="552"/>
      <c r="O2" s="552"/>
      <c r="P2" s="552"/>
    </row>
    <row r="3" spans="1:30" ht="17.399999999999999" x14ac:dyDescent="0.3">
      <c r="A3" s="568" t="s">
        <v>263</v>
      </c>
      <c r="B3" s="568"/>
      <c r="C3" s="568"/>
      <c r="D3" s="568"/>
      <c r="E3" s="568"/>
      <c r="F3" s="568"/>
      <c r="G3" s="568"/>
      <c r="H3" s="568"/>
      <c r="I3" s="568"/>
      <c r="J3" s="568"/>
      <c r="K3" s="568"/>
      <c r="L3" s="568"/>
      <c r="M3" s="568"/>
      <c r="N3" s="568"/>
      <c r="O3" s="568"/>
      <c r="P3" s="568"/>
    </row>
    <row r="4" spans="1:30"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5">
      <c r="A5" s="76">
        <f ca="1">TODAY()</f>
        <v>45588</v>
      </c>
      <c r="B5" s="75"/>
      <c r="C5" s="75"/>
      <c r="D5" s="75"/>
      <c r="E5" s="75"/>
      <c r="F5" s="75"/>
      <c r="G5" s="75"/>
      <c r="H5" s="75"/>
      <c r="I5" s="75"/>
      <c r="J5" s="75"/>
      <c r="K5" s="75"/>
      <c r="L5" s="75"/>
      <c r="M5" s="75"/>
      <c r="N5" s="75"/>
      <c r="O5" s="75"/>
      <c r="P5" s="75"/>
    </row>
    <row r="6" spans="1:30" x14ac:dyDescent="0.25">
      <c r="A6" s="570" t="s">
        <v>260</v>
      </c>
      <c r="B6" s="570"/>
      <c r="C6" s="570"/>
      <c r="D6" s="570"/>
      <c r="E6" s="570"/>
      <c r="F6" s="570"/>
      <c r="G6" s="570"/>
      <c r="H6" s="570"/>
      <c r="I6" s="570"/>
      <c r="J6" s="570"/>
      <c r="K6" s="570"/>
      <c r="L6" s="570"/>
      <c r="M6" s="570"/>
      <c r="N6" s="570"/>
      <c r="O6" s="570"/>
      <c r="P6" s="570"/>
      <c r="Q6" s="570"/>
    </row>
    <row r="7" spans="1:30" x14ac:dyDescent="0.25">
      <c r="A7" s="551" t="s">
        <v>15</v>
      </c>
      <c r="B7" s="551"/>
      <c r="C7" s="551"/>
      <c r="D7" s="551"/>
      <c r="E7" s="551"/>
      <c r="F7" s="551"/>
      <c r="G7" s="551"/>
      <c r="H7" s="551"/>
      <c r="I7" s="551"/>
      <c r="J7" s="551"/>
      <c r="K7" s="551"/>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11</v>
      </c>
      <c r="C11" s="194" t="str">
        <f>LOOKUP(B11,R11:AD11,R12:AD12)</f>
        <v>November</v>
      </c>
      <c r="D11" s="133">
        <f>'Customer Info'!C9</f>
        <v>2024</v>
      </c>
      <c r="S11">
        <v>1</v>
      </c>
      <c r="T11">
        <v>2</v>
      </c>
      <c r="U11">
        <v>3</v>
      </c>
      <c r="V11">
        <v>4</v>
      </c>
      <c r="W11">
        <v>5</v>
      </c>
      <c r="X11">
        <v>6</v>
      </c>
      <c r="Y11">
        <v>7</v>
      </c>
      <c r="Z11">
        <v>8</v>
      </c>
      <c r="AA11">
        <v>9</v>
      </c>
      <c r="AB11">
        <v>10</v>
      </c>
      <c r="AC11">
        <v>11</v>
      </c>
      <c r="AD11">
        <v>12</v>
      </c>
    </row>
    <row r="12" spans="1:30" x14ac:dyDescent="0.25">
      <c r="A12" s="562"/>
      <c r="B12" s="562"/>
      <c r="C12" s="562"/>
      <c r="D12" s="562"/>
      <c r="E12" s="562"/>
      <c r="F12" s="562"/>
      <c r="G12" s="562"/>
      <c r="H12" s="562"/>
      <c r="I12" s="562"/>
      <c r="J12" s="94"/>
      <c r="K12" s="94"/>
      <c r="L12" s="94"/>
      <c r="M12" s="94"/>
      <c r="N12" s="94"/>
      <c r="O12" s="94"/>
      <c r="P12" s="9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97" t="s">
        <v>27</v>
      </c>
      <c r="B13" s="18"/>
      <c r="C13" s="18"/>
      <c r="D13" s="18"/>
      <c r="E13" s="18"/>
      <c r="F13" s="18"/>
      <c r="G13" s="18"/>
      <c r="H13" s="18"/>
      <c r="I13" s="18"/>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221"/>
      <c r="T14" s="221"/>
      <c r="U14" s="221"/>
      <c r="V14" s="221"/>
      <c r="W14" s="221"/>
      <c r="X14" s="220"/>
      <c r="Y14" s="220"/>
      <c r="Z14" s="220"/>
      <c r="AA14" s="220"/>
      <c r="AB14" s="221"/>
      <c r="AC14" s="221"/>
      <c r="AD14" s="221"/>
    </row>
    <row r="15" spans="1:30" x14ac:dyDescent="0.25">
      <c r="A15" s="31" t="s">
        <v>43</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202"/>
      <c r="Y15" s="202"/>
      <c r="Z15" s="202"/>
      <c r="AA15" s="202"/>
      <c r="AB15" s="193"/>
      <c r="AC15" s="193"/>
      <c r="AD15" s="193"/>
    </row>
    <row r="16" spans="1:30" x14ac:dyDescent="0.25">
      <c r="A16" s="31"/>
      <c r="B16" s="31"/>
      <c r="C16" s="33"/>
      <c r="D16" s="33"/>
      <c r="E16" s="33"/>
      <c r="F16" s="33"/>
      <c r="G16" s="23"/>
      <c r="H16" s="31"/>
      <c r="I16" s="31"/>
      <c r="R16" s="78"/>
      <c r="S16" s="193"/>
      <c r="T16" s="193"/>
      <c r="U16" s="193"/>
      <c r="V16" s="193"/>
      <c r="W16" s="193"/>
      <c r="X16" s="193"/>
      <c r="Y16" s="193"/>
      <c r="Z16" s="193"/>
      <c r="AA16" s="193"/>
      <c r="AB16" s="193"/>
      <c r="AC16" s="193"/>
      <c r="AD16" s="193"/>
    </row>
    <row r="17" spans="1:221" x14ac:dyDescent="0.25">
      <c r="A17" s="28" t="s">
        <v>75</v>
      </c>
      <c r="B17" s="22"/>
      <c r="C17" s="22"/>
      <c r="D17" s="22"/>
      <c r="E17" s="22"/>
      <c r="F17" s="22"/>
      <c r="G17" s="563" t="s">
        <v>67</v>
      </c>
      <c r="H17" s="564"/>
      <c r="I17" s="564"/>
      <c r="J17" s="565"/>
      <c r="K17" s="22"/>
      <c r="L17" s="566" t="s">
        <v>68</v>
      </c>
      <c r="M17" s="566"/>
      <c r="N17" s="566"/>
      <c r="O17" s="566"/>
    </row>
    <row r="18" spans="1:221" x14ac:dyDescent="0.25">
      <c r="A18" s="18"/>
      <c r="B18" s="18"/>
      <c r="C18" s="18"/>
      <c r="D18" s="18"/>
      <c r="E18" s="18"/>
      <c r="F18" s="18"/>
      <c r="G18" s="8" t="s">
        <v>64</v>
      </c>
      <c r="H18" s="8" t="s">
        <v>65</v>
      </c>
      <c r="I18" s="8" t="s">
        <v>66</v>
      </c>
      <c r="J18" s="112" t="s">
        <v>34</v>
      </c>
      <c r="K18" s="18"/>
      <c r="L18" s="131" t="s">
        <v>64</v>
      </c>
      <c r="M18" s="131" t="s">
        <v>65</v>
      </c>
      <c r="N18" s="131" t="s">
        <v>66</v>
      </c>
      <c r="O18" s="132" t="s">
        <v>34</v>
      </c>
      <c r="P18" s="43" t="s">
        <v>56</v>
      </c>
    </row>
    <row r="19" spans="1:221" x14ac:dyDescent="0.25">
      <c r="A19" t="s">
        <v>32</v>
      </c>
      <c r="G19" s="83"/>
      <c r="H19" s="83"/>
      <c r="I19" s="125">
        <v>9.4</v>
      </c>
      <c r="J19" s="125">
        <f>SUM(G19:I19)</f>
        <v>9.4</v>
      </c>
      <c r="L19" s="125"/>
      <c r="M19" s="125"/>
      <c r="N19" s="125">
        <f>I19</f>
        <v>9.4</v>
      </c>
      <c r="O19" s="105">
        <f>+SUM(L19:N19)</f>
        <v>9.4</v>
      </c>
      <c r="P19" s="245">
        <v>44531</v>
      </c>
    </row>
    <row r="20" spans="1:221" x14ac:dyDescent="0.25">
      <c r="A20" t="s">
        <v>303</v>
      </c>
      <c r="D20" s="1">
        <f>C15</f>
        <v>0</v>
      </c>
      <c r="E20" s="35" t="s">
        <v>41</v>
      </c>
      <c r="F20" s="4" t="s">
        <v>8</v>
      </c>
      <c r="G20" s="126"/>
      <c r="H20" s="127"/>
      <c r="I20" s="127">
        <v>2.05802E-2</v>
      </c>
      <c r="J20" s="127">
        <f>SUM(G20:I20)</f>
        <v>2.05802E-2</v>
      </c>
      <c r="K20" s="36" t="s">
        <v>42</v>
      </c>
      <c r="L20" s="129"/>
      <c r="M20" s="129"/>
      <c r="N20" s="129">
        <f>ROUND($D20*I20,2)</f>
        <v>0</v>
      </c>
      <c r="O20" s="105">
        <f>+SUM(L20:N20)</f>
        <v>0</v>
      </c>
      <c r="P20" s="245">
        <v>44531</v>
      </c>
    </row>
    <row r="21" spans="1:221" x14ac:dyDescent="0.25">
      <c r="A21" s="96" t="s">
        <v>74</v>
      </c>
      <c r="B21" s="37"/>
      <c r="C21" s="37"/>
      <c r="D21" s="38"/>
      <c r="E21" s="38"/>
      <c r="F21" s="37"/>
      <c r="G21" s="37"/>
      <c r="I21" s="40"/>
      <c r="K21" s="39"/>
      <c r="L21" s="95"/>
      <c r="M21" s="54"/>
      <c r="N21" s="95">
        <f>SUM(N19:N20)</f>
        <v>9.4</v>
      </c>
      <c r="O21" s="95">
        <f>SUM(O19:O20)</f>
        <v>9.4</v>
      </c>
    </row>
    <row r="22" spans="1:221" x14ac:dyDescent="0.25">
      <c r="A22" s="170"/>
      <c r="B22" s="170"/>
      <c r="C22" s="170"/>
      <c r="D22" s="171"/>
      <c r="E22" s="171"/>
      <c r="F22" s="170"/>
      <c r="G22" s="171"/>
      <c r="H22" s="171"/>
      <c r="I22" s="171"/>
      <c r="J22" s="171"/>
      <c r="K22" s="172"/>
      <c r="L22" s="171"/>
      <c r="M22" s="171"/>
      <c r="N22" s="171"/>
      <c r="O22" s="171"/>
      <c r="P22" s="171"/>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69</v>
      </c>
      <c r="B23" s="166"/>
      <c r="C23" s="166"/>
      <c r="D23" s="167"/>
      <c r="E23" s="167"/>
      <c r="F23" s="166"/>
      <c r="G23" s="167"/>
      <c r="H23" s="167"/>
      <c r="I23" s="167"/>
      <c r="J23" s="167"/>
      <c r="K23" s="167"/>
      <c r="L23" s="167"/>
      <c r="M23" s="167"/>
      <c r="N23" s="167"/>
      <c r="O23" s="167"/>
      <c r="P23" s="78"/>
      <c r="R23" s="175"/>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Q24" s="255"/>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78</v>
      </c>
      <c r="B25" s="176"/>
      <c r="C25" s="176"/>
      <c r="D25" s="100">
        <f>IF($C$15&lt;0,0,IF($C$15&gt;833000,833000,$C$15))</f>
        <v>0</v>
      </c>
      <c r="E25" s="101" t="s">
        <v>41</v>
      </c>
      <c r="F25" s="102" t="s">
        <v>8</v>
      </c>
      <c r="G25" s="103"/>
      <c r="H25" s="103"/>
      <c r="I25" s="103">
        <f>'Rider Rates'!$B$4</f>
        <v>5.9216E-3</v>
      </c>
      <c r="J25" s="201">
        <f t="shared" ref="J25:J46" si="0">SUM(G25:I25)</f>
        <v>5.9216E-3</v>
      </c>
      <c r="K25" s="104" t="s">
        <v>42</v>
      </c>
      <c r="L25" s="105"/>
      <c r="M25" s="105"/>
      <c r="N25" s="105">
        <f>ROUND(D25*I25,2)</f>
        <v>0</v>
      </c>
      <c r="O25" s="105">
        <f>SUM(L25:N25)</f>
        <v>0</v>
      </c>
      <c r="P25" s="245">
        <f>'Rider Rates'!$D$4</f>
        <v>45293</v>
      </c>
      <c r="Q25" s="255"/>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79</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ROUND(D26*I26,2)</f>
        <v>0</v>
      </c>
      <c r="O26" s="105">
        <f>SUM(L26:N26)</f>
        <v>0</v>
      </c>
      <c r="P26" s="245">
        <f>'Rider Rates'!$D$4</f>
        <v>45293</v>
      </c>
      <c r="Q26" s="255"/>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96</v>
      </c>
      <c r="B27" s="78"/>
      <c r="C27" s="78"/>
      <c r="D27" s="1">
        <f>IF('Customer Info'!$C$33=TRUE,0,IF(C15&lt;0,0,IF(C15&gt;2000,2000,C15)))</f>
        <v>0</v>
      </c>
      <c r="E27" s="101" t="s">
        <v>41</v>
      </c>
      <c r="F27" s="102" t="s">
        <v>8</v>
      </c>
      <c r="G27" s="103"/>
      <c r="H27" s="103"/>
      <c r="I27" s="177">
        <f>'Rider Rates'!$B$8</f>
        <v>4.6499999999999996E-3</v>
      </c>
      <c r="J27" s="177">
        <f t="shared" si="0"/>
        <v>4.6499999999999996E-3</v>
      </c>
      <c r="K27" s="104" t="s">
        <v>42</v>
      </c>
      <c r="L27" s="105"/>
      <c r="M27" s="105"/>
      <c r="N27" s="105">
        <f>ROUND(D27*I27,2)</f>
        <v>0</v>
      </c>
      <c r="O27" s="105">
        <f>SUM(L27:N27)</f>
        <v>0</v>
      </c>
      <c r="P27" s="245">
        <f>'Rider Rates'!$D$7</f>
        <v>44531</v>
      </c>
      <c r="Q27" s="255"/>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97</v>
      </c>
      <c r="B28" s="78"/>
      <c r="C28" s="78"/>
      <c r="D28" s="1">
        <f>IF('Customer Info'!$C$33=TRUE,0,IF(C15&gt;15000,13000,IF(C15&gt;2000,C15-2000,0)))</f>
        <v>0</v>
      </c>
      <c r="E28" s="101" t="s">
        <v>41</v>
      </c>
      <c r="F28" s="102" t="s">
        <v>8</v>
      </c>
      <c r="G28" s="103"/>
      <c r="H28" s="103"/>
      <c r="I28" s="177">
        <f>'Rider Rates'!$B$9</f>
        <v>4.1900000000000001E-3</v>
      </c>
      <c r="J28" s="177">
        <f t="shared" si="0"/>
        <v>4.1900000000000001E-3</v>
      </c>
      <c r="K28" s="104" t="s">
        <v>42</v>
      </c>
      <c r="L28" s="105"/>
      <c r="M28" s="105"/>
      <c r="N28" s="105">
        <f>ROUND(D28*I28,2)</f>
        <v>0</v>
      </c>
      <c r="O28" s="105">
        <f>SUM(L28:N28)</f>
        <v>0</v>
      </c>
      <c r="P28" s="245">
        <f>'Rider Rates'!$D$7</f>
        <v>44531</v>
      </c>
      <c r="Q28" s="255"/>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98</v>
      </c>
      <c r="B29" s="78"/>
      <c r="C29" s="78"/>
      <c r="D29" s="1">
        <f>IF('Customer Info'!$C$33=TRUE,0,IF(C15-D27-D28&gt;0,C15-D27-D28,0))</f>
        <v>0</v>
      </c>
      <c r="E29" s="101" t="s">
        <v>41</v>
      </c>
      <c r="F29" s="102" t="s">
        <v>8</v>
      </c>
      <c r="G29" s="103"/>
      <c r="H29" s="103"/>
      <c r="I29" s="177">
        <f>'Rider Rates'!$B$10</f>
        <v>3.63E-3</v>
      </c>
      <c r="J29" s="177">
        <f t="shared" si="0"/>
        <v>3.63E-3</v>
      </c>
      <c r="K29" s="104" t="s">
        <v>42</v>
      </c>
      <c r="L29" s="105"/>
      <c r="M29" s="105"/>
      <c r="N29" s="105">
        <f>ROUND(D29*I29,2)</f>
        <v>0</v>
      </c>
      <c r="O29" s="105">
        <f>SUM(L29:N29)</f>
        <v>0</v>
      </c>
      <c r="P29" s="245">
        <f>'Rider Rates'!$D$7</f>
        <v>44531</v>
      </c>
      <c r="Q29" s="255"/>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210" t="s">
        <v>245</v>
      </c>
      <c r="B30" s="78"/>
      <c r="C30" s="78"/>
      <c r="D30" s="195">
        <f>$N$21</f>
        <v>9.4</v>
      </c>
      <c r="E30" s="101" t="s">
        <v>121</v>
      </c>
      <c r="F30" s="102" t="s">
        <v>8</v>
      </c>
      <c r="G30" s="103"/>
      <c r="H30" s="103"/>
      <c r="I30" s="178">
        <f>'Rider Rates'!$B$18+'Rider Rates'!$E$18</f>
        <v>0</v>
      </c>
      <c r="J30" s="178">
        <f>SUM(G30:I30)</f>
        <v>0</v>
      </c>
      <c r="K30" s="104"/>
      <c r="L30" s="105"/>
      <c r="M30" s="105"/>
      <c r="N30" s="105">
        <f>ROUND($D$30*'Rider Rates'!$B$18,2)+ROUND($D$30*'Rider Rates'!$E$18,2)</f>
        <v>0</v>
      </c>
      <c r="O30" s="105">
        <f t="shared" ref="O30:O36" si="1">SUM(L30:N30)</f>
        <v>0</v>
      </c>
      <c r="P30" s="245">
        <f>MAX('Rider Rates'!$D$18,'Rider Rates'!$F$18)</f>
        <v>44531</v>
      </c>
      <c r="Q30" s="255"/>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194</v>
      </c>
      <c r="B31" s="78"/>
      <c r="C31" s="78"/>
      <c r="D31" s="100">
        <f>'Customer Info'!$B$22+'Customer Info'!$B$23</f>
        <v>0</v>
      </c>
      <c r="E31" s="101" t="s">
        <v>41</v>
      </c>
      <c r="F31" s="102" t="s">
        <v>8</v>
      </c>
      <c r="G31" s="103">
        <f>'Rider Rates'!B22</f>
        <v>7.0209999999999995E-2</v>
      </c>
      <c r="H31" s="103"/>
      <c r="I31" s="103"/>
      <c r="J31" s="237">
        <f>SUM(G31:H31)</f>
        <v>7.0209999999999995E-2</v>
      </c>
      <c r="K31" s="104" t="s">
        <v>42</v>
      </c>
      <c r="L31" s="105">
        <f>ROUND(D31*G31,2)</f>
        <v>0</v>
      </c>
      <c r="M31" s="105"/>
      <c r="N31" s="105"/>
      <c r="O31" s="105">
        <f t="shared" si="1"/>
        <v>0</v>
      </c>
      <c r="P31" s="245">
        <f>'Rider Rates'!$D$21</f>
        <v>45444</v>
      </c>
      <c r="Q31" s="255"/>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41" t="s">
        <v>164</v>
      </c>
      <c r="B32" s="78"/>
      <c r="C32" s="78"/>
      <c r="D32" s="1">
        <f>'Customer Info'!B22</f>
        <v>0</v>
      </c>
      <c r="E32" s="101" t="s">
        <v>41</v>
      </c>
      <c r="F32" s="102" t="s">
        <v>8</v>
      </c>
      <c r="G32" s="103">
        <f>'Rider Rates'!$B$40</f>
        <v>8.1709E-3</v>
      </c>
      <c r="H32" s="103"/>
      <c r="I32" s="103"/>
      <c r="J32" s="237">
        <f>SUM(G32:H32)</f>
        <v>8.1709E-3</v>
      </c>
      <c r="K32" s="104" t="s">
        <v>42</v>
      </c>
      <c r="L32" s="105">
        <f>ROUND(D32*G32,2)</f>
        <v>0</v>
      </c>
      <c r="M32" s="105"/>
      <c r="N32" s="105"/>
      <c r="O32" s="105">
        <f t="shared" si="1"/>
        <v>0</v>
      </c>
      <c r="P32" s="245">
        <f>'Rider Rates'!$D$40</f>
        <v>45444</v>
      </c>
      <c r="Q32" s="255"/>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41" t="s">
        <v>227</v>
      </c>
      <c r="B33" s="78"/>
      <c r="C33" s="78"/>
      <c r="D33" s="1">
        <f>'Customer Info'!B23</f>
        <v>0</v>
      </c>
      <c r="E33" s="101" t="s">
        <v>41</v>
      </c>
      <c r="F33" s="102" t="s">
        <v>8</v>
      </c>
      <c r="G33" s="103">
        <f>'Rider Rates'!$B$41</f>
        <v>2.7900000000000001E-5</v>
      </c>
      <c r="H33" s="103"/>
      <c r="I33" s="103"/>
      <c r="J33" s="237">
        <f>SUM(G33:H33)</f>
        <v>2.7900000000000001E-5</v>
      </c>
      <c r="K33" s="104" t="s">
        <v>42</v>
      </c>
      <c r="L33" s="105">
        <f>ROUND(D33*G33,2)</f>
        <v>0</v>
      </c>
      <c r="M33" s="105"/>
      <c r="N33" s="105"/>
      <c r="O33" s="105">
        <f t="shared" si="1"/>
        <v>0</v>
      </c>
      <c r="P33" s="245">
        <f>'Rider Rates'!$D$41</f>
        <v>45444</v>
      </c>
      <c r="Q33" s="255"/>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201</v>
      </c>
      <c r="B34" s="78"/>
      <c r="C34" s="78"/>
      <c r="D34" s="100">
        <f>'Customer Info'!$B$22+'Customer Info'!$B$23</f>
        <v>0</v>
      </c>
      <c r="E34" s="101" t="s">
        <v>41</v>
      </c>
      <c r="F34" s="102" t="s">
        <v>8</v>
      </c>
      <c r="G34" s="103">
        <f>'Rider Rates'!$B$49</f>
        <v>-1.2408E-3</v>
      </c>
      <c r="H34" s="103"/>
      <c r="I34" s="103"/>
      <c r="J34" s="237">
        <f>SUM(G34:H34)</f>
        <v>-1.2408E-3</v>
      </c>
      <c r="K34" s="104" t="s">
        <v>42</v>
      </c>
      <c r="L34" s="105">
        <f>ROUND(D34*G34,2)</f>
        <v>0</v>
      </c>
      <c r="M34" s="105"/>
      <c r="N34" s="105"/>
      <c r="O34" s="105">
        <f t="shared" si="1"/>
        <v>0</v>
      </c>
      <c r="P34" s="245">
        <f>'Rider Rates'!$D$49</f>
        <v>45562</v>
      </c>
      <c r="Q34" s="255"/>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41" t="s">
        <v>218</v>
      </c>
      <c r="B35" s="78"/>
      <c r="C35" s="78"/>
      <c r="D35" s="100">
        <f>IF($C$15&lt;0,0,IF($C$15&gt;833000,833000,$C$15))</f>
        <v>0</v>
      </c>
      <c r="E35" s="101" t="s">
        <v>41</v>
      </c>
      <c r="F35" s="102" t="s">
        <v>8</v>
      </c>
      <c r="G35" s="103"/>
      <c r="H35" s="103"/>
      <c r="I35" s="103">
        <f>'Rider Rates'!D53</f>
        <v>1.8006999999999999E-3</v>
      </c>
      <c r="J35" s="103">
        <f>SUM(G35:I35)</f>
        <v>1.8006999999999999E-3</v>
      </c>
      <c r="K35" s="104" t="s">
        <v>42</v>
      </c>
      <c r="L35" s="105"/>
      <c r="M35" s="105"/>
      <c r="N35" s="105">
        <f>D35*J35</f>
        <v>0</v>
      </c>
      <c r="O35" s="105">
        <f t="shared" si="1"/>
        <v>0</v>
      </c>
      <c r="P35" s="245">
        <f>'Rider Rates'!E53</f>
        <v>45474</v>
      </c>
      <c r="Q35" s="255"/>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197</v>
      </c>
      <c r="B36" s="78"/>
      <c r="C36" s="78"/>
      <c r="D36" s="100">
        <f>IF($C$15&lt;0,0,$C$15)</f>
        <v>0</v>
      </c>
      <c r="E36" s="113" t="s">
        <v>41</v>
      </c>
      <c r="F36" s="102" t="s">
        <v>8</v>
      </c>
      <c r="G36" s="103"/>
      <c r="H36" s="103">
        <f>'Rider Rates'!$B$60</f>
        <v>2.3467399999999999E-2</v>
      </c>
      <c r="I36" s="103"/>
      <c r="J36" s="103">
        <f>SUM(G36:I36)</f>
        <v>2.3467399999999999E-2</v>
      </c>
      <c r="K36" s="104" t="s">
        <v>42</v>
      </c>
      <c r="L36" s="105"/>
      <c r="M36" s="105">
        <f>ROUND(D36*H36,2)</f>
        <v>0</v>
      </c>
      <c r="N36" s="205"/>
      <c r="O36" s="105">
        <f t="shared" si="1"/>
        <v>0</v>
      </c>
      <c r="P36" s="245">
        <f>'Rider Rates'!$D$60</f>
        <v>45383</v>
      </c>
      <c r="Q36" s="255"/>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95</v>
      </c>
      <c r="B37" s="78"/>
      <c r="C37" s="78"/>
      <c r="D37" s="100">
        <f>IF('Customer Info'!C35=TRUE,0,IF($C$15&lt;0,0,$C$15))</f>
        <v>0</v>
      </c>
      <c r="E37" s="101" t="s">
        <v>41</v>
      </c>
      <c r="F37" s="102" t="s">
        <v>8</v>
      </c>
      <c r="G37" s="103"/>
      <c r="H37" s="103"/>
      <c r="I37" s="103">
        <f>'Rider Rates'!$B$76+'Rider Rates'!$C$76</f>
        <v>0</v>
      </c>
      <c r="J37" s="103">
        <f>SUM(G37:I37)</f>
        <v>0</v>
      </c>
      <c r="K37" s="104" t="s">
        <v>42</v>
      </c>
      <c r="L37" s="105"/>
      <c r="M37" s="105"/>
      <c r="N37" s="87">
        <f>ROUND($D$37*'Rider Rates'!$B$76,2)+ROUND($D$37*'Rider Rates'!$C$76,2)</f>
        <v>0</v>
      </c>
      <c r="O37" s="105">
        <f>SUM(L37:N37)</f>
        <v>0</v>
      </c>
      <c r="P37" s="245">
        <f>'Rider Rates'!$D$76</f>
        <v>44531</v>
      </c>
      <c r="Q37" s="255"/>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95</v>
      </c>
      <c r="B38" s="78"/>
      <c r="C38" s="78"/>
      <c r="D38" s="100"/>
      <c r="E38" s="101" t="s">
        <v>114</v>
      </c>
      <c r="F38" s="102"/>
      <c r="G38" s="103"/>
      <c r="H38" s="103"/>
      <c r="I38" s="196">
        <f>'Rider Rates'!$B$82</f>
        <v>0</v>
      </c>
      <c r="J38" s="196">
        <f>IF('Customer Info'!C35=TRUE,0,SUM(G38:I38))</f>
        <v>0</v>
      </c>
      <c r="K38" s="104"/>
      <c r="L38" s="105"/>
      <c r="M38" s="105"/>
      <c r="N38" s="105">
        <f>J38</f>
        <v>0</v>
      </c>
      <c r="O38" s="105">
        <f>SUM(L38:N38)</f>
        <v>0</v>
      </c>
      <c r="P38" s="245">
        <f>'Rider Rates'!$D$82</f>
        <v>45444</v>
      </c>
      <c r="Q38" s="255"/>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80</v>
      </c>
      <c r="B39" s="78"/>
      <c r="C39" s="78"/>
      <c r="D39" s="195">
        <f>$N$21</f>
        <v>9.4</v>
      </c>
      <c r="E39" s="101" t="s">
        <v>121</v>
      </c>
      <c r="F39" s="102" t="s">
        <v>8</v>
      </c>
      <c r="G39" s="111"/>
      <c r="H39" s="112"/>
      <c r="I39" s="120">
        <f>'Rider Rates'!$B$89</f>
        <v>4.94232E-2</v>
      </c>
      <c r="J39" s="120">
        <f t="shared" si="0"/>
        <v>4.94232E-2</v>
      </c>
      <c r="K39" s="104"/>
      <c r="L39" s="105"/>
      <c r="M39" s="105"/>
      <c r="N39" s="105">
        <f>ROUND(D39*I39,2)</f>
        <v>0.46</v>
      </c>
      <c r="O39" s="105">
        <f>SUM(L39:N39)</f>
        <v>0.46</v>
      </c>
      <c r="P39" s="245">
        <f>'Rider Rates'!$D$89</f>
        <v>45562</v>
      </c>
      <c r="Q39" s="255"/>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81</v>
      </c>
      <c r="B40" s="78"/>
      <c r="C40" s="78"/>
      <c r="D40" s="195">
        <f>$N$21</f>
        <v>9.4</v>
      </c>
      <c r="E40" s="101" t="s">
        <v>121</v>
      </c>
      <c r="F40" s="102" t="s">
        <v>8</v>
      </c>
      <c r="G40" s="114"/>
      <c r="H40" s="115"/>
      <c r="I40" s="120">
        <f>'Rider Rates'!$B$91</f>
        <v>6.6985699999999995E-2</v>
      </c>
      <c r="J40" s="120">
        <f t="shared" si="0"/>
        <v>6.6985699999999995E-2</v>
      </c>
      <c r="K40" s="104"/>
      <c r="L40" s="105"/>
      <c r="M40" s="105"/>
      <c r="N40" s="105">
        <f>ROUND(D40*I40,2)</f>
        <v>0.63</v>
      </c>
      <c r="O40" s="105">
        <f>SUM(L40:N40)</f>
        <v>0.63</v>
      </c>
      <c r="P40" s="245">
        <f>'Rider Rates'!$D$91</f>
        <v>45167</v>
      </c>
      <c r="Q40" s="255"/>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214</v>
      </c>
      <c r="B41" s="78"/>
      <c r="C41" s="78"/>
      <c r="D41" s="195"/>
      <c r="E41" s="113" t="s">
        <v>114</v>
      </c>
      <c r="F41" s="106"/>
      <c r="G41" s="114"/>
      <c r="H41" s="115"/>
      <c r="I41" s="196">
        <f>'Rider Rates'!$B$95</f>
        <v>17.12</v>
      </c>
      <c r="J41" s="196">
        <f t="shared" si="0"/>
        <v>17.12</v>
      </c>
      <c r="K41" s="104"/>
      <c r="L41" s="105"/>
      <c r="M41" s="105"/>
      <c r="N41" s="105">
        <f>I41</f>
        <v>17.12</v>
      </c>
      <c r="O41" s="105">
        <f>SUM(L41:N41)</f>
        <v>17.12</v>
      </c>
      <c r="P41" s="245">
        <f>'Rider Rates'!$D$95</f>
        <v>45562</v>
      </c>
      <c r="Q41" s="255"/>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261</v>
      </c>
      <c r="B42" s="78"/>
      <c r="C42" s="78"/>
      <c r="D42" s="100">
        <f>$D$25</f>
        <v>0</v>
      </c>
      <c r="E42" s="101" t="s">
        <v>41</v>
      </c>
      <c r="F42" s="102" t="s">
        <v>8</v>
      </c>
      <c r="G42" s="103"/>
      <c r="H42" s="103"/>
      <c r="I42" s="103"/>
      <c r="J42" s="103">
        <f>'Rider Rates'!$B$102</f>
        <v>0</v>
      </c>
      <c r="K42" s="104" t="s">
        <v>42</v>
      </c>
      <c r="L42" s="105"/>
      <c r="M42" s="105"/>
      <c r="N42" s="105"/>
      <c r="O42" s="105">
        <f>ROUND($D42*('Rider Rates'!B$102),2)</f>
        <v>0</v>
      </c>
      <c r="P42" s="245">
        <f>'Rider Rates'!$D$102</f>
        <v>44531</v>
      </c>
      <c r="Q42" s="254"/>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262</v>
      </c>
      <c r="B43" s="78"/>
      <c r="C43" s="78"/>
      <c r="D43" s="100">
        <f>$D$26</f>
        <v>0</v>
      </c>
      <c r="E43" s="101"/>
      <c r="F43" s="102"/>
      <c r="G43" s="103"/>
      <c r="H43" s="103"/>
      <c r="I43" s="103"/>
      <c r="J43" s="103">
        <f>'Rider Rates'!$B$103</f>
        <v>0</v>
      </c>
      <c r="K43" s="104" t="s">
        <v>42</v>
      </c>
      <c r="L43" s="105"/>
      <c r="M43" s="105"/>
      <c r="N43" s="105"/>
      <c r="O43" s="105">
        <f>ROUND($D43*('Rider Rates'!B$103),2)</f>
        <v>0</v>
      </c>
      <c r="P43" s="245">
        <f>'Rider Rates'!$D$103</f>
        <v>44531</v>
      </c>
      <c r="Q43" s="254"/>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156</v>
      </c>
      <c r="B44" s="78"/>
      <c r="C44" s="78"/>
      <c r="D44" s="195">
        <f>$N$21</f>
        <v>9.4</v>
      </c>
      <c r="E44" s="101" t="s">
        <v>121</v>
      </c>
      <c r="F44" s="102" t="s">
        <v>8</v>
      </c>
      <c r="G44" s="114"/>
      <c r="H44" s="115"/>
      <c r="I44" s="120">
        <f>'Rider Rates'!$B$109</f>
        <v>0.211176</v>
      </c>
      <c r="J44" s="120">
        <f t="shared" si="0"/>
        <v>0.211176</v>
      </c>
      <c r="K44" s="104"/>
      <c r="L44" s="105"/>
      <c r="M44" s="105"/>
      <c r="N44" s="105">
        <f>ROUND(D44*I44,2)</f>
        <v>1.99</v>
      </c>
      <c r="O44" s="105">
        <f t="shared" ref="O44:O50" si="2">SUM(L44:N44)</f>
        <v>1.99</v>
      </c>
      <c r="P44" s="245">
        <f>'Rider Rates'!$D$109</f>
        <v>45532</v>
      </c>
      <c r="Q44" s="254"/>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217</v>
      </c>
      <c r="B45" s="78"/>
      <c r="C45" s="78"/>
      <c r="D45" s="195"/>
      <c r="E45" s="113" t="s">
        <v>114</v>
      </c>
      <c r="F45" s="106"/>
      <c r="G45" s="114"/>
      <c r="H45" s="115"/>
      <c r="I45" s="196">
        <f>'Rider Rates'!$B$113</f>
        <v>0</v>
      </c>
      <c r="J45" s="196">
        <f t="shared" si="0"/>
        <v>0</v>
      </c>
      <c r="K45" s="104"/>
      <c r="L45" s="105"/>
      <c r="M45" s="105"/>
      <c r="N45" s="105">
        <f>I45</f>
        <v>0</v>
      </c>
      <c r="O45" s="105">
        <f t="shared" si="2"/>
        <v>0</v>
      </c>
      <c r="P45" s="245">
        <f>'Rider Rates'!$D$113</f>
        <v>44894</v>
      </c>
      <c r="Q45" s="254"/>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10" t="s">
        <v>226</v>
      </c>
      <c r="B46" s="78"/>
      <c r="C46" s="78"/>
      <c r="D46" s="195"/>
      <c r="E46" s="113" t="s">
        <v>114</v>
      </c>
      <c r="F46" s="106"/>
      <c r="G46" s="114"/>
      <c r="H46" s="115"/>
      <c r="I46" s="258">
        <f>'Rider Rates'!B126</f>
        <v>4.84</v>
      </c>
      <c r="J46" s="196">
        <f t="shared" si="0"/>
        <v>4.84</v>
      </c>
      <c r="K46" s="104"/>
      <c r="L46" s="105"/>
      <c r="M46" s="105"/>
      <c r="N46" s="260">
        <f>'Rider Rates'!B126</f>
        <v>4.84</v>
      </c>
      <c r="O46" s="105">
        <f t="shared" si="2"/>
        <v>4.84</v>
      </c>
      <c r="P46" s="245">
        <f>'Rider Rates'!D126</f>
        <v>45593</v>
      </c>
      <c r="Q46" s="254"/>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157</v>
      </c>
      <c r="B47" s="78"/>
      <c r="C47" s="78"/>
      <c r="D47" s="100">
        <f>'Customer Info'!$B$22+'Customer Info'!$B$23</f>
        <v>0</v>
      </c>
      <c r="E47" s="101" t="s">
        <v>41</v>
      </c>
      <c r="F47" s="102" t="s">
        <v>8</v>
      </c>
      <c r="G47" s="103">
        <f>'Rider Rates'!$B$116</f>
        <v>3.8972999999999998E-3</v>
      </c>
      <c r="H47" s="103"/>
      <c r="I47" s="120"/>
      <c r="J47" s="237">
        <f>SUM(G47:H47)</f>
        <v>3.8972999999999998E-3</v>
      </c>
      <c r="K47" s="104" t="s">
        <v>42</v>
      </c>
      <c r="L47" s="105">
        <f>ROUND(D47*G47,2)</f>
        <v>0</v>
      </c>
      <c r="M47" s="105"/>
      <c r="N47" s="105"/>
      <c r="O47" s="105">
        <f t="shared" si="2"/>
        <v>0</v>
      </c>
      <c r="P47" s="245">
        <f>'Rider Rates'!$D$116</f>
        <v>44531</v>
      </c>
      <c r="Q47" s="254"/>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216</v>
      </c>
      <c r="B48" s="78"/>
      <c r="C48" s="78"/>
      <c r="D48" s="100">
        <f>IF($C$15&lt;1,0,$C$15)</f>
        <v>0</v>
      </c>
      <c r="E48" s="101" t="s">
        <v>41</v>
      </c>
      <c r="F48" s="249" t="s">
        <v>8</v>
      </c>
      <c r="G48" s="165"/>
      <c r="H48" s="165"/>
      <c r="I48" s="251">
        <f>'Rider Rates'!B122</f>
        <v>-6.2E-4</v>
      </c>
      <c r="J48" s="251">
        <f>SUM(G48:I48)</f>
        <v>-6.2E-4</v>
      </c>
      <c r="K48" s="104" t="s">
        <v>42</v>
      </c>
      <c r="L48" s="105"/>
      <c r="M48" s="105"/>
      <c r="N48" s="105">
        <f>D48*J48</f>
        <v>0</v>
      </c>
      <c r="O48" s="105">
        <f t="shared" si="2"/>
        <v>0</v>
      </c>
      <c r="P48" s="245">
        <f>'Rider Rates'!D122</f>
        <v>44531</v>
      </c>
      <c r="Q48" s="254"/>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78" t="s">
        <v>241</v>
      </c>
      <c r="B49" s="78"/>
      <c r="C49" s="78"/>
      <c r="D49" s="100">
        <f>IF(C15&lt;0,0,IF(C15&gt;833000,833000,C15))</f>
        <v>0</v>
      </c>
      <c r="E49" s="101" t="s">
        <v>41</v>
      </c>
      <c r="F49" s="102" t="s">
        <v>8</v>
      </c>
      <c r="G49" s="265"/>
      <c r="H49" s="265"/>
      <c r="I49" s="265">
        <f>'Rider Rates'!$B$130</f>
        <v>2.9050000000000001E-4</v>
      </c>
      <c r="J49" s="265">
        <f>SUM(G49:I49)</f>
        <v>2.9050000000000001E-4</v>
      </c>
      <c r="K49" s="104" t="s">
        <v>42</v>
      </c>
      <c r="L49" s="266"/>
      <c r="M49" s="266"/>
      <c r="N49" s="266">
        <f>IF(D49*J49&gt;'Rider Rates'!$C$130,'Rider Rates'!$C$130,D49*J49)</f>
        <v>0</v>
      </c>
      <c r="O49" s="266">
        <f t="shared" si="2"/>
        <v>0</v>
      </c>
      <c r="P49" s="264">
        <f>'Rider Rates'!$E$130</f>
        <v>45292</v>
      </c>
      <c r="Q49" s="254"/>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78" t="s">
        <v>242</v>
      </c>
      <c r="B50" s="78"/>
      <c r="C50" s="78"/>
      <c r="D50" s="123">
        <f>IF(C15&gt;833000,C15-833000,0)</f>
        <v>0</v>
      </c>
      <c r="E50" s="101" t="s">
        <v>41</v>
      </c>
      <c r="F50" s="102" t="s">
        <v>8</v>
      </c>
      <c r="G50" s="265"/>
      <c r="H50" s="265"/>
      <c r="I50" s="265">
        <f>'Rider Rates'!$B$131</f>
        <v>0</v>
      </c>
      <c r="J50" s="265">
        <f>SUM(G50:I50)</f>
        <v>0</v>
      </c>
      <c r="K50" s="104" t="s">
        <v>42</v>
      </c>
      <c r="L50" s="266"/>
      <c r="M50" s="266"/>
      <c r="N50" s="266">
        <f>D50*J50</f>
        <v>0</v>
      </c>
      <c r="O50" s="266">
        <f t="shared" si="2"/>
        <v>0</v>
      </c>
      <c r="P50" s="264">
        <f>'Rider Rates'!$E$131</f>
        <v>44927</v>
      </c>
      <c r="Q50" s="254"/>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250</v>
      </c>
      <c r="B51" s="78"/>
      <c r="C51" s="78"/>
      <c r="D51" s="100">
        <f>C14</f>
        <v>0</v>
      </c>
      <c r="E51" s="101" t="s">
        <v>41</v>
      </c>
      <c r="F51" s="249" t="s">
        <v>8</v>
      </c>
      <c r="G51" s="103"/>
      <c r="H51" s="103"/>
      <c r="I51" s="103">
        <f>'Rider Rates'!$B$135</f>
        <v>0</v>
      </c>
      <c r="J51" s="237">
        <f>SUM(G51:I51)</f>
        <v>0</v>
      </c>
      <c r="K51" s="104" t="s">
        <v>42</v>
      </c>
      <c r="L51" s="105"/>
      <c r="M51" s="105"/>
      <c r="N51" s="105">
        <f>D51*J51</f>
        <v>0</v>
      </c>
      <c r="O51" s="105">
        <f>SUM(L51:N51)</f>
        <v>0</v>
      </c>
      <c r="P51" s="245">
        <f>'Rider Rates'!$D$135</f>
        <v>44531</v>
      </c>
      <c r="Q51" s="254"/>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249</v>
      </c>
      <c r="B52" s="78"/>
      <c r="C52" s="78"/>
      <c r="D52" s="100"/>
      <c r="E52" s="101" t="s">
        <v>114</v>
      </c>
      <c r="F52" s="102" t="s">
        <v>8</v>
      </c>
      <c r="G52" s="263"/>
      <c r="H52" s="263"/>
      <c r="I52" s="263">
        <f>'Rider Rates'!$B$142</f>
        <v>0</v>
      </c>
      <c r="J52" s="263">
        <f>SUM(G52:I52)</f>
        <v>0</v>
      </c>
      <c r="K52" s="104"/>
      <c r="L52" s="209"/>
      <c r="M52" s="209"/>
      <c r="N52" s="209">
        <f>J52</f>
        <v>0</v>
      </c>
      <c r="O52" s="209">
        <f>SUM(L52:N52)</f>
        <v>0</v>
      </c>
      <c r="P52" s="264">
        <f>'Rider Rates'!$D$142</f>
        <v>44531</v>
      </c>
      <c r="Q52" s="254"/>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251</v>
      </c>
      <c r="B53" s="78"/>
      <c r="C53" s="78"/>
      <c r="D53" s="100"/>
      <c r="E53" s="101"/>
      <c r="F53" s="102"/>
      <c r="G53" s="263"/>
      <c r="H53" s="263"/>
      <c r="I53" s="263"/>
      <c r="J53" s="263"/>
      <c r="K53" s="104"/>
      <c r="L53" s="209"/>
      <c r="M53" s="209"/>
      <c r="N53" s="209"/>
      <c r="O53" s="209"/>
      <c r="P53" s="264"/>
      <c r="Q53" s="254"/>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179" t="s">
        <v>70</v>
      </c>
      <c r="B54" s="148"/>
      <c r="C54" s="148"/>
      <c r="D54" s="180"/>
      <c r="E54" s="181"/>
      <c r="F54" s="182"/>
      <c r="G54" s="182"/>
      <c r="H54" s="182"/>
      <c r="I54" s="182"/>
      <c r="J54" s="182"/>
      <c r="K54" s="183"/>
      <c r="L54" s="169">
        <f>SUM(L25:L53)</f>
        <v>0</v>
      </c>
      <c r="M54" s="169">
        <f>SUM(M25:M53)</f>
        <v>0</v>
      </c>
      <c r="N54" s="169">
        <f>SUM(N25:N53)</f>
        <v>25.04</v>
      </c>
      <c r="O54" s="169">
        <f>SUM(O25:O53)</f>
        <v>25.04</v>
      </c>
      <c r="P54" s="18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78"/>
      <c r="B55" s="78"/>
      <c r="C55" s="78"/>
      <c r="D55" s="100"/>
      <c r="E55" s="113"/>
      <c r="F55" s="106"/>
      <c r="G55" s="106"/>
      <c r="H55" s="106"/>
      <c r="I55" s="106"/>
      <c r="J55" s="107"/>
      <c r="K55" s="104"/>
      <c r="L55" s="106"/>
      <c r="M55" s="169"/>
      <c r="N55" s="106"/>
      <c r="O55" s="106"/>
      <c r="P55" s="164"/>
      <c r="Q55" s="106"/>
      <c r="R55" s="188"/>
      <c r="S55" s="108"/>
      <c r="T55" s="109"/>
      <c r="U55" s="78"/>
      <c r="V55" s="10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81" t="s">
        <v>71</v>
      </c>
      <c r="B56" s="170"/>
      <c r="C56" s="170"/>
      <c r="D56" s="170"/>
      <c r="E56" s="170"/>
      <c r="F56" s="170"/>
      <c r="G56" s="170"/>
      <c r="H56" s="170"/>
      <c r="I56" s="170"/>
      <c r="J56" s="170"/>
      <c r="K56" s="170"/>
      <c r="L56" s="186">
        <f>L21+L54</f>
        <v>0</v>
      </c>
      <c r="M56" s="186">
        <f>M21+M54</f>
        <v>0</v>
      </c>
      <c r="N56" s="186">
        <f>N21+N54</f>
        <v>34.44</v>
      </c>
      <c r="O56" s="187">
        <f>O21+O54</f>
        <v>34.44</v>
      </c>
      <c r="P56" s="187"/>
      <c r="Q56" s="10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04"/>
      <c r="B57" s="78"/>
      <c r="C57" s="78"/>
      <c r="D57" s="78"/>
      <c r="E57" s="78"/>
      <c r="F57" s="78"/>
      <c r="G57" s="78"/>
      <c r="H57" s="78"/>
      <c r="I57" s="78"/>
      <c r="J57" s="78"/>
      <c r="K57" s="78"/>
      <c r="L57" s="78"/>
      <c r="M57" s="78"/>
      <c r="N57" s="151"/>
      <c r="O57" s="151"/>
      <c r="P57" s="151"/>
      <c r="Q57" s="166"/>
      <c r="R57" s="166"/>
      <c r="S57" s="166"/>
      <c r="T57" s="189"/>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147"/>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166" t="s">
        <v>92</v>
      </c>
      <c r="B59" s="78"/>
      <c r="C59" s="78"/>
      <c r="D59" s="166"/>
      <c r="E59" s="78"/>
      <c r="F59" s="78"/>
      <c r="G59" s="78"/>
      <c r="H59" s="78"/>
      <c r="I59" s="78"/>
      <c r="J59" s="78"/>
      <c r="K59" s="78"/>
      <c r="L59" s="78"/>
      <c r="M59" s="78"/>
      <c r="N59" s="78"/>
      <c r="O59" s="109">
        <f>O19+O54</f>
        <v>34.44</v>
      </c>
      <c r="P59" s="151"/>
      <c r="Q59" s="16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147"/>
      <c r="B60" s="166"/>
      <c r="C60" s="166"/>
      <c r="D60" s="166"/>
      <c r="E60" s="166"/>
      <c r="F60" s="166"/>
      <c r="G60" s="166"/>
      <c r="H60" s="166"/>
      <c r="I60" s="78"/>
      <c r="J60" s="78"/>
      <c r="K60" s="78"/>
      <c r="L60" s="78"/>
      <c r="M60" s="78"/>
      <c r="N60" s="151"/>
      <c r="O60" s="151"/>
      <c r="P60" s="151"/>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48" t="s">
        <v>116</v>
      </c>
      <c r="B61" s="151"/>
      <c r="C61" s="151"/>
      <c r="D61" s="151"/>
      <c r="E61" s="151"/>
      <c r="F61" s="151"/>
      <c r="G61" s="151"/>
      <c r="H61" s="151"/>
      <c r="I61" s="151"/>
      <c r="J61" s="151"/>
      <c r="K61" s="151"/>
      <c r="L61" s="151"/>
      <c r="M61" s="151"/>
      <c r="N61" s="151"/>
      <c r="O61" s="190">
        <f>IF($C$15&lt;0,O56,IF(O56&gt;O59,O56,O59))</f>
        <v>34.44</v>
      </c>
      <c r="P61" s="160"/>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147"/>
    </row>
    <row r="63" spans="1:221" x14ac:dyDescent="0.25">
      <c r="A63" s="147"/>
      <c r="I63" s="166" t="s">
        <v>120</v>
      </c>
      <c r="J63" s="166"/>
      <c r="K63" s="166"/>
      <c r="L63" s="191"/>
      <c r="M63" s="191"/>
      <c r="N63" s="191"/>
      <c r="O63" s="191">
        <f>ROUND(IF($C$15&lt;1,0,O56/($C$15*100)*10000),2)</f>
        <v>0</v>
      </c>
      <c r="P63" s="37" t="s">
        <v>86</v>
      </c>
    </row>
    <row r="64" spans="1:221" x14ac:dyDescent="0.25">
      <c r="A64" s="147"/>
      <c r="I64" s="242"/>
      <c r="J64" s="78"/>
      <c r="K64" s="78"/>
      <c r="L64" s="78"/>
      <c r="M64" s="78"/>
      <c r="N64" s="78"/>
      <c r="O64" s="243"/>
      <c r="P64" s="25"/>
    </row>
    <row r="65" spans="1:1" x14ac:dyDescent="0.25">
      <c r="A65" s="147"/>
    </row>
    <row r="66" spans="1:1" x14ac:dyDescent="0.25">
      <c r="A66" s="147"/>
    </row>
    <row r="67" spans="1:1" x14ac:dyDescent="0.25">
      <c r="A67" s="147"/>
    </row>
    <row r="68" spans="1:1" x14ac:dyDescent="0.25">
      <c r="A68" s="147"/>
    </row>
    <row r="69" spans="1:1" x14ac:dyDescent="0.25">
      <c r="A69" s="147"/>
    </row>
    <row r="70" spans="1:1" x14ac:dyDescent="0.25">
      <c r="A70" s="147"/>
    </row>
    <row r="71" spans="1:1" x14ac:dyDescent="0.25">
      <c r="A71" s="147"/>
    </row>
  </sheetData>
  <sheetProtection algorithmName="SHA-512" hashValue="lyQ1KjAqdu6UF7v8HZ7dOsxDCiTbBulGNb7U+XbXe8Z81rsGEHHzGPUbTfIsjP2/y4MbHX9pKlsAj/qyh3OELw==" saltValue="a0Uv7wP+40HjkEml0DNQDg==" spinCount="100000" sheet="1" objects="1" scenarios="1"/>
  <mergeCells count="9">
    <mergeCell ref="A1:P1"/>
    <mergeCell ref="A2:P2"/>
    <mergeCell ref="G17:J17"/>
    <mergeCell ref="L17:O17"/>
    <mergeCell ref="A12:I12"/>
    <mergeCell ref="A7:K7"/>
    <mergeCell ref="A3:P3"/>
    <mergeCell ref="A4:P4"/>
    <mergeCell ref="A6:Q6"/>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Button 1">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64514" r:id="rId5" name="Button 2">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64515"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64516"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64517" r:id="rId8" name="Button 5">
              <controlPr defaultSize="0" print="0" autoFill="0" autoPict="0" macro="[0]!Info">
                <anchor moveWithCells="1">
                  <from>
                    <xdr:col>14</xdr:col>
                    <xdr:colOff>373380</xdr:colOff>
                    <xdr:row>77</xdr:row>
                    <xdr:rowOff>7620</xdr:rowOff>
                  </from>
                  <to>
                    <xdr:col>14</xdr:col>
                    <xdr:colOff>723900</xdr:colOff>
                    <xdr:row>78</xdr:row>
                    <xdr:rowOff>68580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4144-6EC1-4B10-9FB4-564E7C8DA894}">
  <sheetPr codeName="Sheet8"/>
  <dimension ref="A1:IB66"/>
  <sheetViews>
    <sheetView showGridLines="0" topLeftCell="A27" zoomScale="80" zoomScaleNormal="80" workbookViewId="0">
      <selection activeCell="Q55" sqref="Q55"/>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row>
    <row r="2" spans="1:30" ht="21" x14ac:dyDescent="0.4">
      <c r="A2" s="552" t="s">
        <v>122</v>
      </c>
      <c r="B2" s="552"/>
      <c r="C2" s="552"/>
      <c r="D2" s="552"/>
      <c r="E2" s="552"/>
      <c r="F2" s="552"/>
      <c r="G2" s="552"/>
      <c r="H2" s="552"/>
      <c r="I2" s="552"/>
      <c r="J2" s="552"/>
      <c r="K2" s="552"/>
      <c r="L2" s="552"/>
      <c r="M2" s="552"/>
      <c r="N2" s="552"/>
      <c r="O2" s="552"/>
      <c r="P2" s="552"/>
    </row>
    <row r="3" spans="1:30" ht="17.399999999999999" x14ac:dyDescent="0.3">
      <c r="A3" s="568" t="s">
        <v>83</v>
      </c>
      <c r="B3" s="568"/>
      <c r="C3" s="568"/>
      <c r="D3" s="568"/>
      <c r="E3" s="568"/>
      <c r="F3" s="568"/>
      <c r="G3" s="568"/>
      <c r="H3" s="568"/>
      <c r="I3" s="568"/>
      <c r="J3" s="568"/>
      <c r="K3" s="568"/>
      <c r="L3" s="568"/>
      <c r="M3" s="568"/>
      <c r="N3" s="568"/>
      <c r="O3" s="568"/>
      <c r="P3" s="568"/>
    </row>
    <row r="4" spans="1:30"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5">
      <c r="A5" s="75"/>
      <c r="B5" s="75"/>
      <c r="C5" s="75"/>
      <c r="D5" s="75"/>
      <c r="E5" s="75"/>
      <c r="F5" s="75"/>
      <c r="G5" s="75"/>
      <c r="H5" s="75"/>
      <c r="I5" s="75"/>
      <c r="J5" s="75"/>
      <c r="K5" s="75"/>
    </row>
    <row r="6" spans="1:30" x14ac:dyDescent="0.25">
      <c r="A6" s="405">
        <f ca="1">TODAY()</f>
        <v>45588</v>
      </c>
      <c r="B6" s="210" t="s">
        <v>237</v>
      </c>
      <c r="C6" s="405"/>
      <c r="D6" s="405"/>
      <c r="E6" s="405"/>
      <c r="F6" s="405"/>
      <c r="G6" s="405"/>
      <c r="H6" s="405"/>
      <c r="I6" s="405"/>
    </row>
    <row r="7" spans="1:30" ht="24.6" x14ac:dyDescent="0.4">
      <c r="A7" s="569"/>
      <c r="B7" s="569"/>
      <c r="C7" s="569"/>
      <c r="D7" s="569"/>
      <c r="E7" s="569"/>
      <c r="F7" s="569"/>
      <c r="G7" s="569"/>
      <c r="H7" s="569"/>
      <c r="I7" s="569"/>
      <c r="J7" s="569"/>
      <c r="K7" s="569"/>
      <c r="L7" s="569"/>
      <c r="M7" s="569"/>
      <c r="N7" s="569"/>
      <c r="O7" s="569"/>
      <c r="P7" s="569"/>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11</v>
      </c>
      <c r="C11" s="194" t="str">
        <f>LOOKUP(B11,R11:AD11,R12:AD12)</f>
        <v>November</v>
      </c>
      <c r="D11" s="133">
        <f>'Customer Info'!C9</f>
        <v>2024</v>
      </c>
      <c r="S11">
        <v>1</v>
      </c>
      <c r="T11">
        <v>2</v>
      </c>
      <c r="U11">
        <v>3</v>
      </c>
      <c r="V11">
        <v>4</v>
      </c>
      <c r="W11">
        <v>5</v>
      </c>
      <c r="X11">
        <v>6</v>
      </c>
      <c r="Y11">
        <v>7</v>
      </c>
      <c r="Z11">
        <v>8</v>
      </c>
      <c r="AA11">
        <v>9</v>
      </c>
      <c r="AB11">
        <v>10</v>
      </c>
      <c r="AC11">
        <v>11</v>
      </c>
      <c r="AD11">
        <v>12</v>
      </c>
    </row>
    <row r="12" spans="1:30" x14ac:dyDescent="0.25">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t="s">
        <v>233</v>
      </c>
      <c r="B16" s="31"/>
      <c r="C16" s="32">
        <f>'Customer Info'!B22</f>
        <v>0</v>
      </c>
      <c r="D16" s="31" t="s">
        <v>41</v>
      </c>
      <c r="E16" s="31"/>
      <c r="F16" s="33"/>
      <c r="G16" s="23" t="s">
        <v>15</v>
      </c>
      <c r="H16" s="31"/>
    </row>
    <row r="17" spans="1:221" x14ac:dyDescent="0.25">
      <c r="A17" s="31" t="s">
        <v>234</v>
      </c>
      <c r="B17" s="31"/>
      <c r="C17" s="32">
        <f>'Customer Info'!B23</f>
        <v>0</v>
      </c>
      <c r="D17" s="262" t="s">
        <v>41</v>
      </c>
      <c r="E17" s="33"/>
      <c r="F17" s="33"/>
      <c r="G17" s="23" t="s">
        <v>15</v>
      </c>
      <c r="H17" s="31"/>
      <c r="I17" s="52" t="s">
        <v>15</v>
      </c>
    </row>
    <row r="19" spans="1:221" x14ac:dyDescent="0.25">
      <c r="A19" s="28" t="s">
        <v>31</v>
      </c>
      <c r="B19" s="22"/>
      <c r="C19" s="22"/>
      <c r="D19" s="22"/>
      <c r="E19" s="22"/>
      <c r="F19" s="22"/>
      <c r="G19" s="563" t="s">
        <v>67</v>
      </c>
      <c r="H19" s="564"/>
      <c r="I19" s="564"/>
      <c r="J19" s="565"/>
      <c r="K19" s="22"/>
      <c r="L19" s="566" t="s">
        <v>68</v>
      </c>
      <c r="M19" s="566"/>
      <c r="N19" s="566"/>
      <c r="O19" s="566"/>
    </row>
    <row r="20" spans="1:221" x14ac:dyDescent="0.25">
      <c r="A20" s="18"/>
      <c r="B20" s="18"/>
      <c r="C20" s="18"/>
      <c r="D20" s="18"/>
      <c r="E20" s="18"/>
      <c r="F20" s="18"/>
      <c r="G20" s="8" t="s">
        <v>64</v>
      </c>
      <c r="H20" s="8" t="s">
        <v>65</v>
      </c>
      <c r="I20" s="8" t="s">
        <v>66</v>
      </c>
      <c r="J20" s="112" t="s">
        <v>34</v>
      </c>
      <c r="K20" s="18"/>
      <c r="L20" s="406" t="s">
        <v>64</v>
      </c>
      <c r="M20" s="406" t="s">
        <v>65</v>
      </c>
      <c r="N20" s="406" t="s">
        <v>66</v>
      </c>
      <c r="O20" s="132" t="s">
        <v>34</v>
      </c>
      <c r="P20" s="43" t="s">
        <v>56</v>
      </c>
    </row>
    <row r="21" spans="1:221" x14ac:dyDescent="0.25">
      <c r="A21" t="s">
        <v>32</v>
      </c>
      <c r="G21" s="86"/>
      <c r="H21" s="86"/>
      <c r="I21" s="86">
        <v>9.4</v>
      </c>
      <c r="J21" s="86">
        <f>SUM(G21:I21)</f>
        <v>9.4</v>
      </c>
      <c r="L21" s="88"/>
      <c r="M21" s="88"/>
      <c r="N21" s="88">
        <f>I21</f>
        <v>9.4</v>
      </c>
      <c r="O21" s="209">
        <f>SUM(L21:N21)</f>
        <v>9.4</v>
      </c>
      <c r="P21" s="245">
        <v>44531</v>
      </c>
    </row>
    <row r="22" spans="1:221" x14ac:dyDescent="0.25">
      <c r="A22" s="3" t="s">
        <v>302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5">
      <c r="A23" s="37" t="s">
        <v>50</v>
      </c>
      <c r="B23" s="37"/>
      <c r="C23" s="37"/>
      <c r="D23" s="38"/>
      <c r="E23" s="38"/>
      <c r="F23" s="37"/>
      <c r="G23" s="37"/>
      <c r="H23" s="37"/>
      <c r="I23" s="37"/>
      <c r="J23" s="37"/>
      <c r="K23" s="39"/>
      <c r="L23" s="40"/>
      <c r="M23" s="40"/>
      <c r="N23" s="40">
        <f>SUM(N21:N22)</f>
        <v>9.4</v>
      </c>
      <c r="O23" s="40">
        <f>SUM(O21:O22)</f>
        <v>9.4</v>
      </c>
    </row>
    <row r="24" spans="1:221" x14ac:dyDescent="0.25">
      <c r="A24" s="89"/>
      <c r="B24" s="89"/>
      <c r="C24" s="90"/>
      <c r="D24" s="90"/>
      <c r="E24" s="90"/>
      <c r="F24" s="90"/>
      <c r="G24" s="91"/>
      <c r="H24" s="91"/>
      <c r="I24" s="91"/>
      <c r="J24" s="91"/>
      <c r="K24" s="89"/>
      <c r="L24" s="89"/>
      <c r="M24" s="89"/>
      <c r="N24" s="89"/>
      <c r="O24" s="89"/>
      <c r="P24" s="89"/>
    </row>
    <row r="25" spans="1:221" x14ac:dyDescent="0.25">
      <c r="A25" s="148" t="s">
        <v>69</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78</v>
      </c>
      <c r="B27" s="176"/>
      <c r="C27" s="176"/>
      <c r="D27" s="100">
        <f>IF($C$15&lt;0,0,IF($C$15&gt;833000,833000,$C$15))</f>
        <v>0</v>
      </c>
      <c r="E27" s="101" t="s">
        <v>41</v>
      </c>
      <c r="F27" s="102" t="s">
        <v>8</v>
      </c>
      <c r="G27" s="103"/>
      <c r="H27" s="103"/>
      <c r="I27" s="103">
        <f>'Rider Rates'!$B$4</f>
        <v>5.9216E-3</v>
      </c>
      <c r="J27" s="103">
        <f t="shared" ref="J27:J48" si="0">SUM(G27:I27)</f>
        <v>5.9216E-3</v>
      </c>
      <c r="K27" s="104" t="s">
        <v>42</v>
      </c>
      <c r="L27" s="105"/>
      <c r="M27" s="105"/>
      <c r="N27" s="105">
        <f t="shared" ref="N27:N32" si="1">ROUND(D27*I27,2)</f>
        <v>0</v>
      </c>
      <c r="O27" s="105">
        <f t="shared" ref="O27:O49" si="2">SUM(L27:N27)</f>
        <v>0</v>
      </c>
      <c r="P27" s="245">
        <f>'Rider Rates'!$D$4</f>
        <v>45293</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79</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96</v>
      </c>
      <c r="B29" s="78"/>
      <c r="C29" s="78"/>
      <c r="D29" s="100">
        <f>IF('Customer Info'!$C$33=TRUE,0,IF($C$15&lt;0,0,IF($C$15&gt;2000,2000,$C$15)))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97</v>
      </c>
      <c r="B30" s="78"/>
      <c r="C30" s="78"/>
      <c r="D30" s="100">
        <f>IF('Customer Info'!$C$33=TRUE,0,IF($C$15&lt;=2000,0,IF($C$15=0,0,IF($C$15-2000&gt;13000,13000,$C$15-2000))))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98</v>
      </c>
      <c r="B31" s="78"/>
      <c r="C31" s="78"/>
      <c r="D31" s="100">
        <f>IF('Customer Info'!$C$33=TRUE,0,IF($C$15=0,0,IF($C$15-15000&gt;=0,$C$15-15000,0)))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45197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245</v>
      </c>
      <c r="B33" s="78"/>
      <c r="C33" s="78"/>
      <c r="D33" s="195">
        <f>$N$23</f>
        <v>9.4</v>
      </c>
      <c r="E33" s="101" t="s">
        <v>121</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194</v>
      </c>
      <c r="B34" s="78"/>
      <c r="C34" s="78"/>
      <c r="D34" s="100">
        <f>C16+C17</f>
        <v>0</v>
      </c>
      <c r="E34" s="101" t="s">
        <v>41</v>
      </c>
      <c r="F34" s="102" t="s">
        <v>8</v>
      </c>
      <c r="G34" s="103">
        <f>'Rider Rates'!B22</f>
        <v>7.0209999999999995E-2</v>
      </c>
      <c r="H34" s="103"/>
      <c r="I34" s="103"/>
      <c r="J34" s="237">
        <f>SUM(G34:H34)</f>
        <v>7.0209999999999995E-2</v>
      </c>
      <c r="K34" s="104" t="s">
        <v>42</v>
      </c>
      <c r="L34" s="105">
        <f>ROUND(D34*G34,2)</f>
        <v>0</v>
      </c>
      <c r="M34" s="105"/>
      <c r="N34" s="105"/>
      <c r="O34" s="105">
        <f t="shared" si="2"/>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164</v>
      </c>
      <c r="B35" s="78"/>
      <c r="C35" s="78"/>
      <c r="D35" s="100">
        <f>C16</f>
        <v>0</v>
      </c>
      <c r="E35" s="101" t="s">
        <v>41</v>
      </c>
      <c r="F35" s="102" t="s">
        <v>8</v>
      </c>
      <c r="G35" s="103">
        <f>'Rider Rates'!B38</f>
        <v>2.2890699999999998E-3</v>
      </c>
      <c r="H35" s="103"/>
      <c r="I35" s="103"/>
      <c r="J35" s="237">
        <f>SUM(G35:H35)</f>
        <v>2.2890699999999998E-3</v>
      </c>
      <c r="K35" s="104" t="s">
        <v>42</v>
      </c>
      <c r="L35" s="105">
        <f>ROUND(D35*G35,2)</f>
        <v>0</v>
      </c>
      <c r="M35" s="105"/>
      <c r="N35" s="105"/>
      <c r="O35" s="105">
        <f t="shared" si="2"/>
        <v>0</v>
      </c>
      <c r="P35" s="245">
        <f>'Rider Rates'!$D$38</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227</v>
      </c>
      <c r="B36" s="78"/>
      <c r="C36" s="78"/>
      <c r="D36" s="100">
        <f>C17</f>
        <v>0</v>
      </c>
      <c r="E36" s="101" t="s">
        <v>41</v>
      </c>
      <c r="F36" s="249" t="s">
        <v>8</v>
      </c>
      <c r="G36" s="103">
        <f>'Rider Rates'!B39</f>
        <v>0</v>
      </c>
      <c r="H36" s="103"/>
      <c r="I36" s="103"/>
      <c r="J36" s="237">
        <f>SUM(G36:H36)</f>
        <v>0</v>
      </c>
      <c r="K36" s="104" t="s">
        <v>42</v>
      </c>
      <c r="L36" s="105">
        <f>ROUND(D36*G36,2)</f>
        <v>0</v>
      </c>
      <c r="M36" s="105"/>
      <c r="N36" s="105"/>
      <c r="O36" s="105">
        <f t="shared" si="2"/>
        <v>0</v>
      </c>
      <c r="P36" s="245">
        <f>'Rider Rates'!D39</f>
        <v>45444</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201</v>
      </c>
      <c r="B37" s="78"/>
      <c r="C37" s="78"/>
      <c r="D37" s="100">
        <f>C16+C17</f>
        <v>0</v>
      </c>
      <c r="E37" s="101" t="s">
        <v>41</v>
      </c>
      <c r="F37" s="102" t="s">
        <v>8</v>
      </c>
      <c r="G37" s="103">
        <f>'Rider Rates'!$B$49</f>
        <v>-1.2408E-3</v>
      </c>
      <c r="H37" s="103"/>
      <c r="I37" s="103"/>
      <c r="J37" s="237">
        <f>SUM(G37:H37)</f>
        <v>-1.2408E-3</v>
      </c>
      <c r="K37" s="104" t="s">
        <v>42</v>
      </c>
      <c r="L37" s="105">
        <f>ROUND(D37*G37,2)</f>
        <v>0</v>
      </c>
      <c r="M37" s="105"/>
      <c r="N37" s="105"/>
      <c r="O37" s="105">
        <f t="shared" si="2"/>
        <v>0</v>
      </c>
      <c r="P37" s="245">
        <f>'Rider Rates'!$D$49</f>
        <v>45562</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218</v>
      </c>
      <c r="B38" s="78"/>
      <c r="C38" s="78"/>
      <c r="D38" s="100">
        <f>IF($C$15&lt;0,0,IF($C$15&gt;833000,833000,$C$15))</f>
        <v>0</v>
      </c>
      <c r="E38" s="101" t="s">
        <v>41</v>
      </c>
      <c r="F38" s="102" t="s">
        <v>8</v>
      </c>
      <c r="G38" s="103"/>
      <c r="H38" s="103"/>
      <c r="I38" s="103">
        <f>'Rider Rates'!D53</f>
        <v>1.8006999999999999E-3</v>
      </c>
      <c r="J38" s="103">
        <f>SUM(G38:I38)</f>
        <v>1.8006999999999999E-3</v>
      </c>
      <c r="K38" s="104" t="s">
        <v>42</v>
      </c>
      <c r="L38" s="105"/>
      <c r="M38" s="105"/>
      <c r="N38" s="105">
        <f>D38*J38</f>
        <v>0</v>
      </c>
      <c r="O38" s="105">
        <f t="shared" si="2"/>
        <v>0</v>
      </c>
      <c r="P38" s="245">
        <f>'Rider Rates'!E53</f>
        <v>45474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197</v>
      </c>
      <c r="B39" s="78"/>
      <c r="C39" s="78"/>
      <c r="D39" s="100">
        <f>IF($C$15&lt;0,0,$C$15)</f>
        <v>0</v>
      </c>
      <c r="E39" s="113" t="s">
        <v>41</v>
      </c>
      <c r="F39" s="102" t="s">
        <v>8</v>
      </c>
      <c r="G39" s="103"/>
      <c r="H39" s="103">
        <f>'Rider Rates'!$B$60</f>
        <v>2.3467399999999999E-2</v>
      </c>
      <c r="I39" s="103"/>
      <c r="J39" s="103">
        <f>SUM(G39:I39)</f>
        <v>2.3467399999999999E-2</v>
      </c>
      <c r="K39" s="104" t="s">
        <v>42</v>
      </c>
      <c r="L39" s="105"/>
      <c r="M39" s="105">
        <f>ROUND(D39*H39,2)</f>
        <v>0</v>
      </c>
      <c r="N39" s="205"/>
      <c r="O39" s="105">
        <f t="shared" si="2"/>
        <v>0</v>
      </c>
      <c r="P39" s="245">
        <f>'Rider Rates'!$D$60</f>
        <v>45383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95</v>
      </c>
      <c r="B40" s="78"/>
      <c r="C40" s="78"/>
      <c r="D40" s="100">
        <f>IF('Customer Info'!C35=TRUE,0,IF($C$15&lt;0,0,$C$15))</f>
        <v>0</v>
      </c>
      <c r="E40" s="101" t="s">
        <v>41</v>
      </c>
      <c r="F40" s="102" t="s">
        <v>8</v>
      </c>
      <c r="G40" s="103"/>
      <c r="H40" s="103"/>
      <c r="I40" s="103">
        <f>'Rider Rates'!$B$74+'Rider Rates'!$C$74</f>
        <v>0</v>
      </c>
      <c r="J40" s="103">
        <f t="shared" si="0"/>
        <v>0</v>
      </c>
      <c r="K40" s="104" t="s">
        <v>42</v>
      </c>
      <c r="L40" s="105"/>
      <c r="M40" s="105"/>
      <c r="N40" s="105">
        <f>ROUND($D$40*'Rider Rates'!$B$74,2)+ROUND($D$40*'Rider Rates'!$C$74,2)</f>
        <v>0</v>
      </c>
      <c r="O40" s="105">
        <f t="shared" si="2"/>
        <v>0</v>
      </c>
      <c r="P40" s="245">
        <f>'Rider Rates'!$D$74</f>
        <v>44531</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95</v>
      </c>
      <c r="B41" s="78"/>
      <c r="C41" s="78"/>
      <c r="D41" s="100"/>
      <c r="E41" s="101" t="s">
        <v>114</v>
      </c>
      <c r="F41" s="102"/>
      <c r="G41" s="103"/>
      <c r="H41" s="103"/>
      <c r="I41" s="196">
        <f>'Rider Rates'!$B$81</f>
        <v>0</v>
      </c>
      <c r="J41" s="196">
        <f>IF('Customer Info'!C35=TRUE,0,SUM(G41:I41))</f>
        <v>0</v>
      </c>
      <c r="K41" s="104"/>
      <c r="L41" s="105"/>
      <c r="M41" s="105"/>
      <c r="N41" s="105">
        <f>J41</f>
        <v>0</v>
      </c>
      <c r="O41" s="105">
        <f>SUM(L41:N41)</f>
        <v>0</v>
      </c>
      <c r="P41" s="245">
        <v>44531</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80</v>
      </c>
      <c r="B42" s="78"/>
      <c r="C42" s="78"/>
      <c r="D42" s="195">
        <f>$N$23</f>
        <v>9.4</v>
      </c>
      <c r="E42" s="101" t="s">
        <v>121</v>
      </c>
      <c r="F42" s="102" t="s">
        <v>8</v>
      </c>
      <c r="G42" s="111"/>
      <c r="H42" s="112"/>
      <c r="I42" s="120">
        <f>'Rider Rates'!$B$89</f>
        <v>4.94232E-2</v>
      </c>
      <c r="J42" s="120">
        <f t="shared" si="0"/>
        <v>4.94232E-2</v>
      </c>
      <c r="K42" s="104"/>
      <c r="L42" s="105"/>
      <c r="M42" s="105"/>
      <c r="N42" s="105">
        <f>ROUND(D42*I42,2)</f>
        <v>0.46</v>
      </c>
      <c r="O42" s="105">
        <f t="shared" si="2"/>
        <v>0.46</v>
      </c>
      <c r="P42" s="245">
        <f>'Rider Rates'!$D$89</f>
        <v>45562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81</v>
      </c>
      <c r="B43" s="78"/>
      <c r="C43" s="78"/>
      <c r="D43" s="195">
        <f>$N$23</f>
        <v>9.4</v>
      </c>
      <c r="E43" s="101" t="s">
        <v>121</v>
      </c>
      <c r="F43" s="102" t="s">
        <v>8</v>
      </c>
      <c r="G43" s="114"/>
      <c r="H43" s="115"/>
      <c r="I43" s="120">
        <f>'Rider Rates'!$B$91</f>
        <v>6.6985699999999995E-2</v>
      </c>
      <c r="J43" s="120">
        <f t="shared" si="0"/>
        <v>6.6985699999999995E-2</v>
      </c>
      <c r="K43" s="104"/>
      <c r="L43" s="105"/>
      <c r="M43" s="105"/>
      <c r="N43" s="105">
        <f>ROUND(D43*I43,2)</f>
        <v>0.63</v>
      </c>
      <c r="O43" s="105">
        <f t="shared" si="2"/>
        <v>0.63</v>
      </c>
      <c r="P43" s="245">
        <f>'Rider Rates'!$D$91</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214</v>
      </c>
      <c r="B44" s="78"/>
      <c r="C44" s="78"/>
      <c r="D44" s="195"/>
      <c r="E44" s="113" t="s">
        <v>114</v>
      </c>
      <c r="F44" s="106"/>
      <c r="G44" s="114"/>
      <c r="H44" s="115"/>
      <c r="I44" s="196">
        <f>'Rider Rates'!$B$95</f>
        <v>17.12</v>
      </c>
      <c r="J44" s="196">
        <f t="shared" si="0"/>
        <v>17.12</v>
      </c>
      <c r="K44" s="104"/>
      <c r="L44" s="105"/>
      <c r="M44" s="105"/>
      <c r="N44" s="105">
        <f>I44</f>
        <v>17.12</v>
      </c>
      <c r="O44" s="105">
        <f t="shared" si="2"/>
        <v>17.12</v>
      </c>
      <c r="P44" s="245">
        <f>'Rider Rates'!$D$95</f>
        <v>45562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247</v>
      </c>
      <c r="B45" s="78"/>
      <c r="C45" s="78"/>
      <c r="D45" s="100">
        <f>IF($C$15&lt;0,0,$C$15)</f>
        <v>0</v>
      </c>
      <c r="E45" s="101" t="s">
        <v>41</v>
      </c>
      <c r="F45" s="102" t="s">
        <v>8</v>
      </c>
      <c r="G45" s="103"/>
      <c r="H45" s="103"/>
      <c r="I45" s="103"/>
      <c r="J45" s="103">
        <f>'Rider Rates'!$B$99</f>
        <v>0</v>
      </c>
      <c r="K45" s="104" t="s">
        <v>42</v>
      </c>
      <c r="L45" s="105"/>
      <c r="M45" s="105"/>
      <c r="N45" s="105"/>
      <c r="O45" s="105">
        <f>ROUND($D45*('Rider Rates'!B$99),2)</f>
        <v>0</v>
      </c>
      <c r="P45" s="245">
        <f>'Rider Rates'!$D$99</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195">
        <f>$N$23</f>
        <v>9.4</v>
      </c>
      <c r="E46" s="101" t="s">
        <v>121</v>
      </c>
      <c r="F46" s="102" t="s">
        <v>8</v>
      </c>
      <c r="G46" s="114"/>
      <c r="H46" s="115"/>
      <c r="I46" s="120">
        <f>'Rider Rates'!$B$109</f>
        <v>0.211176</v>
      </c>
      <c r="J46" s="120">
        <f t="shared" si="0"/>
        <v>0.211176</v>
      </c>
      <c r="K46" s="104"/>
      <c r="L46" s="105"/>
      <c r="M46" s="105"/>
      <c r="N46" s="105">
        <f>ROUND(D46*I46,2)</f>
        <v>1.99</v>
      </c>
      <c r="O46" s="105">
        <f t="shared" si="2"/>
        <v>1.99</v>
      </c>
      <c r="P46" s="245">
        <f>'Rider Rates'!$D$109</f>
        <v>45532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217</v>
      </c>
      <c r="B47" s="78"/>
      <c r="C47" s="78"/>
      <c r="D47" s="195"/>
      <c r="E47" s="113" t="s">
        <v>114</v>
      </c>
      <c r="F47" s="106"/>
      <c r="G47" s="114"/>
      <c r="H47" s="115"/>
      <c r="I47" s="196">
        <f>'Rider Rates'!$B$113</f>
        <v>0</v>
      </c>
      <c r="J47" s="196">
        <f t="shared" si="0"/>
        <v>0</v>
      </c>
      <c r="K47" s="104"/>
      <c r="L47" s="105"/>
      <c r="M47" s="105"/>
      <c r="N47" s="105">
        <f>I47</f>
        <v>0</v>
      </c>
      <c r="O47" s="105">
        <f t="shared" si="2"/>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225</v>
      </c>
      <c r="B48" s="78"/>
      <c r="C48" s="78"/>
      <c r="D48" s="195"/>
      <c r="E48" s="113" t="s">
        <v>114</v>
      </c>
      <c r="F48" s="106"/>
      <c r="G48" s="114"/>
      <c r="H48" s="115"/>
      <c r="I48" s="258">
        <f>'Rider Rates'!B126</f>
        <v>4.84</v>
      </c>
      <c r="J48" s="196">
        <f t="shared" si="0"/>
        <v>4.84</v>
      </c>
      <c r="K48" s="104"/>
      <c r="L48" s="105"/>
      <c r="M48" s="105"/>
      <c r="N48" s="260">
        <f>I48</f>
        <v>4.84</v>
      </c>
      <c r="O48" s="105">
        <f t="shared" si="2"/>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99" t="s">
        <v>157</v>
      </c>
      <c r="B49" s="78"/>
      <c r="C49" s="78"/>
      <c r="D49" s="100">
        <f>C16+C17</f>
        <v>0</v>
      </c>
      <c r="E49" s="101" t="s">
        <v>41</v>
      </c>
      <c r="F49" s="102" t="s">
        <v>8</v>
      </c>
      <c r="G49" s="103">
        <f>'Rider Rates'!$B$116</f>
        <v>3.8972999999999998E-3</v>
      </c>
      <c r="H49" s="103"/>
      <c r="I49" s="120"/>
      <c r="J49" s="237">
        <f>SUM(G49:H49)</f>
        <v>3.8972999999999998E-3</v>
      </c>
      <c r="K49" s="104" t="s">
        <v>42</v>
      </c>
      <c r="L49" s="105">
        <f>ROUND(D49*G49,2)</f>
        <v>0</v>
      </c>
      <c r="M49" s="105"/>
      <c r="N49" s="105"/>
      <c r="O49" s="105">
        <f t="shared" si="2"/>
        <v>0</v>
      </c>
      <c r="P49" s="245">
        <f>'Rider Rates'!$D$116</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10" t="s">
        <v>216</v>
      </c>
      <c r="B50" s="78"/>
      <c r="C50" s="78"/>
      <c r="D50" s="100">
        <f>IF($C$15&lt;1,0,$C$15)</f>
        <v>0</v>
      </c>
      <c r="E50" s="101" t="s">
        <v>41</v>
      </c>
      <c r="F50" s="249" t="s">
        <v>8</v>
      </c>
      <c r="G50" s="165"/>
      <c r="H50" s="165"/>
      <c r="I50" s="251">
        <f>'Rider Rates'!B122</f>
        <v>-6.2E-4</v>
      </c>
      <c r="J50" s="251">
        <f>SUM(G50:I50)</f>
        <v>-6.2E-4</v>
      </c>
      <c r="K50" s="104" t="s">
        <v>42</v>
      </c>
      <c r="L50" s="105"/>
      <c r="M50" s="105"/>
      <c r="N50" s="105">
        <f>D50*J50</f>
        <v>0</v>
      </c>
      <c r="O50" s="105">
        <f>SUM(L50:N50)</f>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241</v>
      </c>
      <c r="B51" s="78"/>
      <c r="C51" s="78"/>
      <c r="D51" s="100">
        <f>IF(C15&lt;0,0,IF(C15&gt;833000,833000,C15))</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SUM(L51:N51)</f>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78" t="s">
        <v>242</v>
      </c>
      <c r="B52" s="78"/>
      <c r="C52" s="78"/>
      <c r="D52" s="123">
        <f>IF(C15&gt;833000,C15-833000,0)</f>
        <v>0</v>
      </c>
      <c r="E52" s="101" t="s">
        <v>41</v>
      </c>
      <c r="F52" s="102" t="s">
        <v>8</v>
      </c>
      <c r="G52" s="265"/>
      <c r="H52" s="265"/>
      <c r="I52" s="265">
        <f>'Rider Rates'!$B$131</f>
        <v>0</v>
      </c>
      <c r="J52" s="265">
        <f>SUM(G52:I52)</f>
        <v>0</v>
      </c>
      <c r="K52" s="104" t="s">
        <v>42</v>
      </c>
      <c r="L52" s="266"/>
      <c r="M52" s="266"/>
      <c r="N52" s="266">
        <f>D52*J52</f>
        <v>0</v>
      </c>
      <c r="O52" s="266">
        <f>SUM(L52:N52)</f>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250</v>
      </c>
      <c r="B53" s="78"/>
      <c r="C53" s="78"/>
      <c r="D53" s="100">
        <f>C15</f>
        <v>0</v>
      </c>
      <c r="E53" s="101" t="s">
        <v>41</v>
      </c>
      <c r="F53" s="249" t="s">
        <v>8</v>
      </c>
      <c r="G53" s="103"/>
      <c r="H53" s="103"/>
      <c r="I53" s="103">
        <f>'Rider Rates'!$B$135</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79" t="s">
        <v>70</v>
      </c>
      <c r="B56" s="148"/>
      <c r="C56" s="148"/>
      <c r="D56" s="180"/>
      <c r="E56" s="181"/>
      <c r="F56" s="182"/>
      <c r="G56" s="182"/>
      <c r="H56" s="182"/>
      <c r="I56" s="182"/>
      <c r="J56" s="182"/>
      <c r="K56" s="183"/>
      <c r="L56" s="169">
        <f>SUM(L27:L55)</f>
        <v>0</v>
      </c>
      <c r="M56" s="169">
        <f>SUM(M27:M55)</f>
        <v>0</v>
      </c>
      <c r="N56" s="169">
        <f>SUM(N27:N55)</f>
        <v>25.04</v>
      </c>
      <c r="O56" s="169">
        <f>SUM(O27:O55)</f>
        <v>25.04</v>
      </c>
      <c r="P56" s="18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78"/>
      <c r="B57" s="78"/>
      <c r="C57" s="78"/>
      <c r="D57" s="100"/>
      <c r="E57" s="113"/>
      <c r="F57" s="106"/>
      <c r="G57" s="106"/>
      <c r="H57" s="106"/>
      <c r="I57" s="106"/>
      <c r="J57" s="107"/>
      <c r="K57" s="104"/>
      <c r="L57" s="106"/>
      <c r="M57" s="106"/>
      <c r="N57" s="106"/>
      <c r="O57" s="106"/>
      <c r="P57" s="1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185" t="s">
        <v>93</v>
      </c>
      <c r="B58" s="170"/>
      <c r="C58" s="170"/>
      <c r="D58" s="170"/>
      <c r="E58" s="170"/>
      <c r="F58" s="170"/>
      <c r="G58" s="170"/>
      <c r="H58" s="170"/>
      <c r="I58" s="170"/>
      <c r="J58" s="170"/>
      <c r="K58" s="170"/>
      <c r="L58" s="186">
        <f>L23+L56</f>
        <v>0</v>
      </c>
      <c r="M58" s="186">
        <f>M23+M56</f>
        <v>0</v>
      </c>
      <c r="N58" s="186">
        <f>N23+N56</f>
        <v>34.44</v>
      </c>
      <c r="O58" s="187">
        <f>O23+O56</f>
        <v>34.44</v>
      </c>
      <c r="P58" s="187"/>
      <c r="Q58" s="106"/>
      <c r="R58" s="188"/>
      <c r="S58" s="108"/>
      <c r="T58" s="109"/>
      <c r="U58" s="78"/>
      <c r="V58" s="10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78"/>
      <c r="B60" s="78"/>
      <c r="C60" s="78"/>
      <c r="D60" s="78"/>
      <c r="E60" s="78"/>
      <c r="F60" s="78"/>
      <c r="G60" s="78"/>
      <c r="H60" s="78"/>
      <c r="I60" s="78"/>
      <c r="J60" s="78"/>
      <c r="K60" s="78"/>
      <c r="L60" s="78"/>
      <c r="M60" s="78"/>
      <c r="N60" s="151"/>
      <c r="O60" s="151"/>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66" t="s">
        <v>92</v>
      </c>
      <c r="B61" s="78"/>
      <c r="C61" s="78"/>
      <c r="D61" s="78"/>
      <c r="E61" s="78"/>
      <c r="F61" s="78"/>
      <c r="G61" s="78"/>
      <c r="H61" s="78"/>
      <c r="I61" s="78"/>
      <c r="J61" s="78"/>
      <c r="K61" s="78"/>
      <c r="L61" s="78"/>
      <c r="M61" s="78"/>
      <c r="N61" s="78"/>
      <c r="O61" s="109">
        <f>O21+O56</f>
        <v>34.44</v>
      </c>
      <c r="P61" s="151"/>
      <c r="Q61" s="166"/>
      <c r="R61" s="166"/>
      <c r="S61" s="166"/>
      <c r="T61" s="189"/>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66" t="s">
        <v>15</v>
      </c>
      <c r="B62" s="166"/>
      <c r="C62" s="166"/>
      <c r="D62" s="166"/>
      <c r="E62" s="166"/>
      <c r="F62" s="166"/>
      <c r="G62" s="166"/>
      <c r="H62" s="166"/>
      <c r="I62" s="78"/>
      <c r="J62" s="78"/>
      <c r="K62" s="78"/>
      <c r="L62" s="78"/>
      <c r="M62" s="78"/>
      <c r="N62" s="151"/>
      <c r="O62" s="151"/>
      <c r="P62" s="151"/>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5">
      <c r="A63" s="148" t="s">
        <v>116</v>
      </c>
      <c r="B63" s="151"/>
      <c r="C63" s="151"/>
      <c r="D63" s="151"/>
      <c r="E63" s="151"/>
      <c r="F63" s="151"/>
      <c r="G63" s="151"/>
      <c r="H63" s="151"/>
      <c r="I63" s="151"/>
      <c r="J63" s="151"/>
      <c r="K63" s="151"/>
      <c r="L63" s="151"/>
      <c r="M63" s="151"/>
      <c r="N63" s="151"/>
      <c r="O63" s="190">
        <f>IF($D$17&lt;0,O58,IF(O58&gt;O61,O58,O61))</f>
        <v>34.44</v>
      </c>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36" ht="15" customHeight="1" x14ac:dyDescent="0.25">
      <c r="A64" s="148"/>
      <c r="B64" s="151"/>
      <c r="C64" s="151"/>
      <c r="D64" s="151"/>
      <c r="E64" s="151"/>
      <c r="F64" s="151"/>
      <c r="G64" s="151"/>
      <c r="H64" s="151"/>
      <c r="I64" s="151"/>
      <c r="J64" s="151"/>
      <c r="K64" s="151"/>
      <c r="L64" s="151"/>
      <c r="M64" s="151"/>
      <c r="N64" s="151"/>
      <c r="O64" s="190"/>
      <c r="P64" s="160"/>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row>
    <row r="65" spans="1:222" x14ac:dyDescent="0.25">
      <c r="A65" s="148"/>
      <c r="B65" s="166"/>
      <c r="C65" s="166"/>
      <c r="D65" s="166"/>
      <c r="E65" s="166"/>
      <c r="F65" s="166"/>
      <c r="G65" s="166"/>
      <c r="H65" s="166"/>
      <c r="I65" s="166" t="s">
        <v>120</v>
      </c>
      <c r="J65" s="166"/>
      <c r="K65" s="166"/>
      <c r="L65" s="191"/>
      <c r="M65" s="191"/>
      <c r="N65" s="191"/>
      <c r="O65" s="191">
        <f>ROUND(IF($C$15&lt;1,0,O58/($C$15*100)*10000),2)</f>
        <v>0</v>
      </c>
      <c r="P65" s="37" t="s">
        <v>86</v>
      </c>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HE65" s="78"/>
      <c r="HF65" s="78"/>
      <c r="HG65" s="78"/>
      <c r="HH65" s="78"/>
      <c r="HI65" s="78"/>
      <c r="HJ65" s="78"/>
      <c r="HK65" s="78"/>
      <c r="HL65" s="78"/>
      <c r="HM65" s="78"/>
      <c r="HN65" s="78"/>
    </row>
    <row r="66" spans="1:222" x14ac:dyDescent="0.25">
      <c r="B66" s="78"/>
      <c r="C66" s="78"/>
      <c r="D66" s="78"/>
      <c r="E66" s="78"/>
      <c r="F66" s="78"/>
      <c r="G66" s="78"/>
      <c r="H66" s="192"/>
      <c r="I66" s="242" t="s">
        <v>198</v>
      </c>
      <c r="J66" s="78"/>
      <c r="K66" s="78"/>
      <c r="L66" s="78"/>
      <c r="M66" s="78"/>
      <c r="N66" s="78"/>
      <c r="O66" s="243">
        <f>ROUND(IF($C$15&lt;1,0,(L58)/($C$15*100)*10000),2)</f>
        <v>0</v>
      </c>
      <c r="P66" s="25" t="s">
        <v>86</v>
      </c>
      <c r="Q66" s="78"/>
      <c r="R66" s="78"/>
      <c r="S66" s="78"/>
      <c r="T66" s="78"/>
      <c r="U66" s="78"/>
      <c r="V66" s="78"/>
      <c r="W66" s="78"/>
      <c r="X66" s="78"/>
      <c r="Y66" s="78"/>
      <c r="Z66" s="78"/>
      <c r="AA66" s="78"/>
      <c r="AB66" s="78"/>
      <c r="AC66" s="78"/>
      <c r="AD66" s="78"/>
      <c r="AE66" s="78"/>
      <c r="AF66" s="78"/>
      <c r="AG66" s="78"/>
      <c r="AH66" s="78"/>
      <c r="AI66" s="78"/>
      <c r="AJ66" s="78"/>
      <c r="AK66" s="78"/>
    </row>
  </sheetData>
  <sheetProtection algorithmName="SHA-512" hashValue="i9WuypYmza54siqj+pZJEa9vR4cAeykzrUghQSBwNxeY47hZp/xGrp+4GGTf+resZUO9CISYpCgm7v/uu6PcnQ==" saltValue="xJxm7qBUh9ECihSoCTZMj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Button 1">
              <controlPr defaultSize="0" print="0" autoFill="0" autoPict="0" macro="[0]!Info">
                <anchor moveWithCells="1">
                  <from>
                    <xdr:col>0</xdr:col>
                    <xdr:colOff>38100</xdr:colOff>
                    <xdr:row>0</xdr:row>
                    <xdr:rowOff>30480</xdr:rowOff>
                  </from>
                  <to>
                    <xdr:col>0</xdr:col>
                    <xdr:colOff>381000</xdr:colOff>
                    <xdr:row>0</xdr:row>
                    <xdr:rowOff>160020</xdr:rowOff>
                  </to>
                </anchor>
              </controlPr>
            </control>
          </mc:Choice>
        </mc:AlternateContent>
        <mc:AlternateContent xmlns:mc="http://schemas.openxmlformats.org/markup-compatibility/2006">
          <mc:Choice Requires="x14">
            <control shapeId="168962" r:id="rId5" name="Button 2">
              <controlPr defaultSize="0" print="0" autoFill="0" autoPict="0" macro="[0]!Info">
                <anchor moveWithCells="1">
                  <from>
                    <xdr:col>15</xdr:col>
                    <xdr:colOff>190500</xdr:colOff>
                    <xdr:row>73</xdr:row>
                    <xdr:rowOff>45720</xdr:rowOff>
                  </from>
                  <to>
                    <xdr:col>15</xdr:col>
                    <xdr:colOff>541020</xdr:colOff>
                    <xdr:row>74</xdr:row>
                    <xdr:rowOff>106680</xdr:rowOff>
                  </to>
                </anchor>
              </controlPr>
            </control>
          </mc:Choice>
        </mc:AlternateContent>
        <mc:AlternateContent xmlns:mc="http://schemas.openxmlformats.org/markup-compatibility/2006">
          <mc:Choice Requires="x14">
            <control shapeId="168963" r:id="rId6" name="Button 3">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168964" r:id="rId7" name="Button 4">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168965" r:id="rId8" name="Button 5">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168966" r:id="rId9" name="Button 6">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IV88"/>
  <sheetViews>
    <sheetView showGridLines="0" topLeftCell="A24" zoomScale="80" zoomScaleNormal="80" workbookViewId="0">
      <selection activeCell="I52" sqref="I52"/>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s>
  <sheetData>
    <row r="1" spans="1:256" ht="21" x14ac:dyDescent="0.4">
      <c r="A1" s="567" t="s">
        <v>119</v>
      </c>
      <c r="B1" s="567"/>
      <c r="C1" s="567"/>
      <c r="D1" s="567"/>
      <c r="E1" s="567"/>
      <c r="F1" s="567"/>
      <c r="G1" s="567"/>
      <c r="H1" s="567"/>
      <c r="I1" s="567"/>
      <c r="J1" s="567"/>
      <c r="K1" s="567"/>
      <c r="L1" s="567"/>
      <c r="M1" s="567"/>
      <c r="N1" s="567"/>
      <c r="O1" s="567"/>
      <c r="P1" s="567"/>
    </row>
    <row r="2" spans="1:256" ht="21" x14ac:dyDescent="0.4">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7.399999999999999" x14ac:dyDescent="0.3">
      <c r="A3" s="568" t="s">
        <v>287</v>
      </c>
      <c r="B3" s="568"/>
      <c r="C3" s="568"/>
      <c r="D3" s="568"/>
      <c r="E3" s="568"/>
      <c r="F3" s="568"/>
      <c r="G3" s="568"/>
      <c r="H3" s="568"/>
      <c r="I3" s="568"/>
      <c r="J3" s="568"/>
      <c r="K3" s="568"/>
      <c r="L3" s="568"/>
      <c r="M3" s="568"/>
      <c r="N3" s="568"/>
      <c r="O3" s="568"/>
      <c r="P3" s="568"/>
    </row>
    <row r="4" spans="1:256"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5">
      <c r="A5" s="75"/>
      <c r="B5" s="75"/>
      <c r="C5" s="75"/>
      <c r="D5" s="75"/>
      <c r="E5" s="75"/>
      <c r="F5" s="75"/>
      <c r="G5" s="75"/>
      <c r="H5" s="75"/>
      <c r="I5" s="75"/>
      <c r="J5" s="75"/>
      <c r="K5" s="75"/>
    </row>
    <row r="6" spans="1:256" x14ac:dyDescent="0.25">
      <c r="A6" s="267">
        <f ca="1">TODAY()</f>
        <v>45588</v>
      </c>
      <c r="B6" s="210" t="s">
        <v>286</v>
      </c>
      <c r="C6" s="267"/>
      <c r="D6" s="267"/>
      <c r="E6" s="267"/>
      <c r="F6" s="267"/>
      <c r="G6" s="267"/>
      <c r="H6" s="267"/>
      <c r="I6" s="267"/>
    </row>
    <row r="7" spans="1:256" ht="24.6" x14ac:dyDescent="0.4">
      <c r="A7" s="569"/>
      <c r="B7" s="569"/>
      <c r="C7" s="569"/>
      <c r="D7" s="569"/>
      <c r="E7" s="569"/>
      <c r="F7" s="569"/>
      <c r="G7" s="569"/>
      <c r="H7" s="569"/>
      <c r="I7" s="569"/>
      <c r="J7" s="569"/>
      <c r="K7" s="569"/>
      <c r="L7" s="569"/>
      <c r="M7" s="569"/>
      <c r="N7" s="569"/>
      <c r="O7" s="569"/>
      <c r="P7" s="569"/>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11</v>
      </c>
      <c r="C10" s="194" t="str">
        <f>LOOKUP(B10,R10:AD10,R11:AD11)</f>
        <v>November</v>
      </c>
      <c r="D10" s="133">
        <f>'Customer Info'!C9</f>
        <v>2024</v>
      </c>
      <c r="S10">
        <v>1</v>
      </c>
      <c r="T10">
        <v>2</v>
      </c>
      <c r="U10">
        <v>3</v>
      </c>
      <c r="V10">
        <v>4</v>
      </c>
      <c r="W10">
        <v>5</v>
      </c>
      <c r="X10">
        <v>6</v>
      </c>
      <c r="Y10">
        <v>7</v>
      </c>
      <c r="Z10">
        <v>8</v>
      </c>
      <c r="AA10">
        <v>9</v>
      </c>
      <c r="AB10">
        <v>10</v>
      </c>
      <c r="AC10">
        <v>11</v>
      </c>
      <c r="AD10">
        <v>12</v>
      </c>
    </row>
    <row r="11" spans="1:256" ht="15" customHeight="1" x14ac:dyDescent="0.25">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5">
      <c r="A12" s="28" t="s">
        <v>27</v>
      </c>
      <c r="B12" s="22"/>
      <c r="C12" s="22"/>
      <c r="D12" s="22"/>
      <c r="E12" s="22"/>
      <c r="F12" s="22"/>
      <c r="G12" s="22"/>
      <c r="H12" s="22"/>
      <c r="I12" s="22"/>
      <c r="J12" s="22"/>
      <c r="K12" s="22"/>
      <c r="L12" s="22"/>
      <c r="M12" s="22"/>
      <c r="N12" s="22"/>
      <c r="O12" s="22"/>
      <c r="P12" s="22"/>
      <c r="R12" s="3" t="s">
        <v>195</v>
      </c>
      <c r="S12" s="207">
        <f>'Rider Rates'!$C$23</f>
        <v>7.0209999999999995E-2</v>
      </c>
      <c r="T12" s="207">
        <f>'Rider Rates'!$C$23</f>
        <v>7.0209999999999995E-2</v>
      </c>
      <c r="U12" s="207">
        <f>'Rider Rates'!$C$23</f>
        <v>7.0209999999999995E-2</v>
      </c>
      <c r="V12" s="207">
        <f>'Rider Rates'!$C$23</f>
        <v>7.0209999999999995E-2</v>
      </c>
      <c r="W12" s="207">
        <f>'Rider Rates'!$C$23</f>
        <v>7.0209999999999995E-2</v>
      </c>
      <c r="X12" s="207">
        <f>'Rider Rates'!$B$23</f>
        <v>7.0209999999999995E-2</v>
      </c>
      <c r="Y12" s="207">
        <f>'Rider Rates'!$B$23</f>
        <v>7.0209999999999995E-2</v>
      </c>
      <c r="Z12" s="207">
        <f>'Rider Rates'!$B$23</f>
        <v>7.0209999999999995E-2</v>
      </c>
      <c r="AA12" s="207">
        <f>'Rider Rates'!$B$23</f>
        <v>7.0209999999999995E-2</v>
      </c>
      <c r="AB12" s="207">
        <f>'Rider Rates'!$C$23</f>
        <v>7.0209999999999995E-2</v>
      </c>
      <c r="AC12" s="207">
        <f>'Rider Rates'!$C$23</f>
        <v>7.0209999999999995E-2</v>
      </c>
      <c r="AD12" s="207">
        <f>'Rider Rates'!$C$23</f>
        <v>7.0209999999999995E-2</v>
      </c>
    </row>
    <row r="13" spans="1:256" x14ac:dyDescent="0.25">
      <c r="A13" s="18"/>
      <c r="B13" s="18"/>
      <c r="C13" s="59" t="s">
        <v>54</v>
      </c>
      <c r="D13" s="59" t="s">
        <v>55</v>
      </c>
      <c r="E13" s="18"/>
      <c r="F13" s="18"/>
      <c r="G13" s="18"/>
      <c r="H13" s="18"/>
      <c r="I13" s="18"/>
      <c r="J13" s="18"/>
      <c r="K13" s="18"/>
      <c r="L13" s="18"/>
      <c r="M13" s="18"/>
      <c r="N13" s="18"/>
      <c r="O13" s="18"/>
    </row>
    <row r="14" spans="1:256" x14ac:dyDescent="0.25">
      <c r="A14" s="29" t="s">
        <v>28</v>
      </c>
      <c r="B14" s="29"/>
      <c r="C14" s="44">
        <f>'Customer Info'!B19</f>
        <v>0</v>
      </c>
      <c r="D14" s="44">
        <f>ROUND(C14*C17,1)</f>
        <v>0</v>
      </c>
      <c r="E14" s="29" t="s">
        <v>45</v>
      </c>
      <c r="F14" s="30"/>
      <c r="G14" s="29" t="s">
        <v>15</v>
      </c>
      <c r="I14" s="53" t="s">
        <v>15</v>
      </c>
      <c r="J14" s="29"/>
      <c r="K14" s="29"/>
      <c r="L14" s="29"/>
      <c r="M14" s="29"/>
      <c r="N14" s="29"/>
    </row>
    <row r="15" spans="1:256" x14ac:dyDescent="0.25">
      <c r="A15" s="31" t="s">
        <v>29</v>
      </c>
      <c r="B15" s="31"/>
      <c r="C15" s="44">
        <f>'Customer Info'!B20</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Info'!B22+'Customer Info'!B23-'Customer Info'!B24&lt;0,0,'Customer Info'!B22+'Customer Info'!B23-'Customer Info'!B24)</f>
        <v>0</v>
      </c>
      <c r="D16" s="32">
        <f>C16*C17</f>
        <v>0</v>
      </c>
      <c r="E16" s="31" t="s">
        <v>41</v>
      </c>
      <c r="F16" s="33"/>
      <c r="G16" s="31"/>
      <c r="H16" s="31"/>
      <c r="I16" s="31"/>
      <c r="J16" s="31"/>
      <c r="K16" s="31"/>
      <c r="L16" s="31"/>
      <c r="M16" s="31"/>
      <c r="N16" s="31"/>
      <c r="O16" s="31"/>
    </row>
    <row r="17" spans="1:30" x14ac:dyDescent="0.25">
      <c r="A17" s="31" t="s">
        <v>53</v>
      </c>
      <c r="B17" s="31"/>
      <c r="C17" s="58">
        <f>+'Customer Info'!E19</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5">
      <c r="A18" s="31" t="s">
        <v>15</v>
      </c>
      <c r="B18" s="31"/>
      <c r="C18" s="82" t="s">
        <v>15</v>
      </c>
      <c r="D18" s="571" t="s">
        <v>15</v>
      </c>
      <c r="E18" s="571"/>
      <c r="F18" s="571"/>
      <c r="G18" s="571"/>
      <c r="H18" s="571"/>
      <c r="K18" s="31"/>
      <c r="L18" s="31"/>
      <c r="M18" s="31"/>
      <c r="N18" s="31"/>
      <c r="O18" s="50"/>
    </row>
    <row r="19" spans="1:30" x14ac:dyDescent="0.25">
      <c r="A19" s="31" t="s">
        <v>15</v>
      </c>
      <c r="B19" s="31"/>
      <c r="C19" s="82" t="s">
        <v>15</v>
      </c>
      <c r="D19" s="571" t="s">
        <v>15</v>
      </c>
      <c r="E19" s="571"/>
      <c r="F19" s="571"/>
      <c r="G19" s="571"/>
      <c r="H19" s="571"/>
      <c r="I19" s="23"/>
      <c r="J19" s="23"/>
      <c r="K19" s="31"/>
      <c r="L19" s="31"/>
      <c r="M19" s="31"/>
      <c r="N19" s="31"/>
      <c r="O19" s="50"/>
    </row>
    <row r="20" spans="1:30" x14ac:dyDescent="0.25">
      <c r="A20" s="31"/>
      <c r="B20" s="31"/>
      <c r="C20" s="33"/>
      <c r="D20" s="33"/>
      <c r="E20" s="33"/>
      <c r="F20" s="33"/>
      <c r="G20" s="23"/>
      <c r="H20" s="23"/>
      <c r="I20" s="23"/>
      <c r="J20" s="23"/>
      <c r="K20" s="31"/>
      <c r="L20" s="31"/>
      <c r="M20" s="31"/>
      <c r="N20" s="31"/>
      <c r="O20" s="31"/>
    </row>
    <row r="21" spans="1:30" x14ac:dyDescent="0.25">
      <c r="A21" s="28" t="s">
        <v>31</v>
      </c>
      <c r="B21" s="22"/>
      <c r="C21" s="22"/>
      <c r="D21" s="22"/>
      <c r="E21" s="22"/>
      <c r="F21" s="22"/>
      <c r="G21" s="563" t="s">
        <v>67</v>
      </c>
      <c r="H21" s="564"/>
      <c r="I21" s="564"/>
      <c r="J21" s="565"/>
      <c r="K21" s="22"/>
      <c r="L21" s="566" t="s">
        <v>68</v>
      </c>
      <c r="M21" s="566"/>
      <c r="N21" s="566"/>
      <c r="O21" s="566"/>
    </row>
    <row r="22" spans="1:30" x14ac:dyDescent="0.25">
      <c r="A22" s="18"/>
      <c r="B22" s="18"/>
      <c r="C22" s="18"/>
      <c r="D22" s="18"/>
      <c r="E22" s="18"/>
      <c r="F22" s="18"/>
      <c r="G22" s="8" t="s">
        <v>64</v>
      </c>
      <c r="H22" s="8" t="s">
        <v>65</v>
      </c>
      <c r="I22" s="8" t="s">
        <v>66</v>
      </c>
      <c r="J22" s="112" t="s">
        <v>34</v>
      </c>
      <c r="K22" s="18"/>
      <c r="L22" s="268" t="s">
        <v>64</v>
      </c>
      <c r="M22" s="268" t="s">
        <v>65</v>
      </c>
      <c r="N22" s="268" t="s">
        <v>66</v>
      </c>
      <c r="O22" s="132" t="s">
        <v>34</v>
      </c>
      <c r="P22" s="43" t="s">
        <v>56</v>
      </c>
    </row>
    <row r="23" spans="1:30" x14ac:dyDescent="0.25">
      <c r="A23" t="s">
        <v>32</v>
      </c>
      <c r="G23" s="86"/>
      <c r="H23" s="86"/>
      <c r="I23" s="86">
        <v>9.4</v>
      </c>
      <c r="J23" s="86">
        <f>SUM(G23:I23)</f>
        <v>9.4</v>
      </c>
      <c r="L23" s="88"/>
      <c r="M23" s="88"/>
      <c r="N23" s="88">
        <f>I23</f>
        <v>9.4</v>
      </c>
      <c r="O23" s="209">
        <f>SUM(L23:N23)</f>
        <v>9.4</v>
      </c>
      <c r="P23" s="245">
        <v>44531</v>
      </c>
    </row>
    <row r="24" spans="1:30" x14ac:dyDescent="0.25">
      <c r="A24" t="s">
        <v>132</v>
      </c>
      <c r="D24" s="1">
        <f>D16</f>
        <v>0</v>
      </c>
      <c r="E24" s="101" t="s">
        <v>41</v>
      </c>
      <c r="F24" s="102" t="s">
        <v>8</v>
      </c>
      <c r="G24" s="84"/>
      <c r="H24" s="86"/>
      <c r="I24" s="277">
        <v>2.05802E-2</v>
      </c>
      <c r="J24" s="277">
        <f>SUM(G24:I24)</f>
        <v>2.05802E-2</v>
      </c>
      <c r="K24" s="104" t="s">
        <v>42</v>
      </c>
      <c r="L24" s="87"/>
      <c r="M24" s="88"/>
      <c r="N24" s="278">
        <f>D24*J24</f>
        <v>0</v>
      </c>
      <c r="O24" s="209">
        <f>N24</f>
        <v>0</v>
      </c>
      <c r="P24" s="245"/>
    </row>
    <row r="25" spans="1:30" x14ac:dyDescent="0.25">
      <c r="A25" s="37" t="s">
        <v>50</v>
      </c>
      <c r="B25" s="37"/>
      <c r="C25" s="37"/>
      <c r="D25" s="38"/>
      <c r="E25" s="38"/>
      <c r="F25" s="37"/>
      <c r="G25" s="37"/>
      <c r="H25" s="37"/>
      <c r="I25" s="37"/>
      <c r="J25" s="37"/>
      <c r="K25" s="39"/>
      <c r="L25" s="40"/>
      <c r="M25" s="40"/>
      <c r="N25" s="40">
        <f>SUM(N23:N24)</f>
        <v>9.4</v>
      </c>
      <c r="O25" s="40">
        <f>SUM(O23:O24)</f>
        <v>9.4</v>
      </c>
    </row>
    <row r="26" spans="1:30" x14ac:dyDescent="0.25">
      <c r="A26" s="89"/>
      <c r="B26" s="89"/>
      <c r="C26" s="90"/>
      <c r="D26" s="90"/>
      <c r="E26" s="90"/>
      <c r="F26" s="90"/>
      <c r="G26" s="91"/>
      <c r="H26" s="91"/>
      <c r="I26" s="91"/>
      <c r="J26" s="91"/>
      <c r="K26" s="89"/>
      <c r="L26" s="89"/>
      <c r="M26" s="89"/>
      <c r="N26" s="89"/>
      <c r="O26" s="89"/>
      <c r="P26" s="89"/>
    </row>
    <row r="27" spans="1:30" x14ac:dyDescent="0.25">
      <c r="A27" s="41" t="s">
        <v>69</v>
      </c>
      <c r="D27" s="1"/>
      <c r="E27" s="1"/>
      <c r="K27" s="36"/>
      <c r="L27" s="36"/>
      <c r="M27" s="36"/>
      <c r="N27" s="36"/>
      <c r="O27" s="34"/>
      <c r="P27" s="34"/>
    </row>
    <row r="28" spans="1:30" x14ac:dyDescent="0.25">
      <c r="A28" s="37"/>
      <c r="D28" s="1"/>
      <c r="E28" s="1"/>
      <c r="K28" s="36"/>
      <c r="L28" s="36"/>
      <c r="M28" s="36"/>
      <c r="N28" s="36"/>
      <c r="O28" s="34"/>
    </row>
    <row r="29" spans="1:30" x14ac:dyDescent="0.25">
      <c r="A29" s="78" t="s">
        <v>78</v>
      </c>
      <c r="D29" s="1">
        <f>IF($C$16&lt;0,0,IF($C$16&gt;833000,833000,$C$16))</f>
        <v>0</v>
      </c>
      <c r="E29" s="35" t="s">
        <v>41</v>
      </c>
      <c r="F29" s="4" t="s">
        <v>8</v>
      </c>
      <c r="G29" s="83"/>
      <c r="H29" s="84"/>
      <c r="I29" s="103">
        <f>'Rider Rates'!$B$4</f>
        <v>5.9216E-3</v>
      </c>
      <c r="J29" s="6">
        <f>SUM(G29:I29)</f>
        <v>5.9216E-3</v>
      </c>
      <c r="K29" s="36" t="s">
        <v>42</v>
      </c>
      <c r="L29" s="87"/>
      <c r="M29" s="87"/>
      <c r="N29" s="87">
        <f>ROUND($D29*I29,2)</f>
        <v>0</v>
      </c>
      <c r="O29" s="87">
        <f>SUM(L29:N29)</f>
        <v>0</v>
      </c>
      <c r="P29" s="245">
        <f>'Rider Rates'!$D$4</f>
        <v>45293</v>
      </c>
    </row>
    <row r="30" spans="1:30" x14ac:dyDescent="0.25">
      <c r="A30" s="78" t="s">
        <v>79</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45293</v>
      </c>
    </row>
    <row r="31" spans="1:30" x14ac:dyDescent="0.25">
      <c r="A31" s="78" t="s">
        <v>47</v>
      </c>
      <c r="B31" t="s">
        <v>15</v>
      </c>
      <c r="D31" s="1">
        <f>IF('Customer Info'!$C$33=TRUE,0,IF(C16&lt;0,0,IF(C16&gt;2000,2000,C16)))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5">
      <c r="A32" s="78" t="s">
        <v>48</v>
      </c>
      <c r="B32" t="s">
        <v>15</v>
      </c>
      <c r="D32" s="1">
        <f>IF('Customer Info'!$C$33=TRUE,0,IF(C16&gt;15000,13000,IF(C16&gt;2000,C16-2000,0)))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5">
      <c r="A33" s="78" t="s">
        <v>49</v>
      </c>
      <c r="B33" t="s">
        <v>15</v>
      </c>
      <c r="D33" s="1">
        <f>IF('Customer Info'!$C$33=TRUE,0,IF(C16-D31-D32&gt;0,C16-D31-D32,0))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5">
      <c r="A34" s="241" t="s">
        <v>245</v>
      </c>
      <c r="B34" s="78"/>
      <c r="C34" s="78"/>
      <c r="D34" s="208">
        <f>$N$25</f>
        <v>9.4</v>
      </c>
      <c r="E34" s="101" t="s">
        <v>121</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5">
      <c r="A35" s="210" t="s">
        <v>194</v>
      </c>
      <c r="B35" s="78"/>
      <c r="C35" s="78"/>
      <c r="D35" s="100">
        <f>'Customer Info'!$B$22+'Customer Info'!$B$23-'Customer Info'!$B$24</f>
        <v>0</v>
      </c>
      <c r="E35" s="101" t="s">
        <v>41</v>
      </c>
      <c r="F35" s="102" t="s">
        <v>8</v>
      </c>
      <c r="G35" s="103">
        <f>'Rider Rates'!B23</f>
        <v>7.0209999999999995E-2</v>
      </c>
      <c r="H35" s="103"/>
      <c r="I35" s="103"/>
      <c r="J35" s="237">
        <f>SUM(G35:H35)</f>
        <v>7.0209999999999995E-2</v>
      </c>
      <c r="K35" s="104" t="s">
        <v>42</v>
      </c>
      <c r="L35" s="105">
        <f>ROUND(D35*G35,2)</f>
        <v>0</v>
      </c>
      <c r="M35" s="105"/>
      <c r="N35" s="105"/>
      <c r="O35" s="105">
        <f t="shared" si="0"/>
        <v>0</v>
      </c>
      <c r="P35" s="245">
        <f>'Rider Rates'!$D$23</f>
        <v>45444</v>
      </c>
    </row>
    <row r="36" spans="1:221" x14ac:dyDescent="0.25">
      <c r="A36" s="241" t="s">
        <v>161</v>
      </c>
      <c r="B36" s="78"/>
      <c r="C36" s="78"/>
      <c r="D36" s="100">
        <f>'Customer Info'!$B$22+'Customer Info'!$B$23-'Customer Info'!$B$24</f>
        <v>0</v>
      </c>
      <c r="E36" s="101" t="s">
        <v>41</v>
      </c>
      <c r="F36" s="102" t="s">
        <v>8</v>
      </c>
      <c r="G36" s="103">
        <f>'Rider Rates'!B37</f>
        <v>2.65E-3</v>
      </c>
      <c r="H36" s="103"/>
      <c r="I36" s="103"/>
      <c r="J36" s="237">
        <f>SUM(G36:H36)</f>
        <v>2.65E-3</v>
      </c>
      <c r="K36" s="104" t="s">
        <v>42</v>
      </c>
      <c r="L36" s="105">
        <f>ROUND(D36*G36,2)</f>
        <v>0</v>
      </c>
      <c r="M36" s="105"/>
      <c r="N36" s="105"/>
      <c r="O36" s="105">
        <f t="shared" si="0"/>
        <v>0</v>
      </c>
      <c r="P36" s="245">
        <f>'Rider Rates'!$D$37</f>
        <v>45444</v>
      </c>
    </row>
    <row r="37" spans="1:221" x14ac:dyDescent="0.25">
      <c r="A37" s="210" t="s">
        <v>201</v>
      </c>
      <c r="B37" s="78"/>
      <c r="C37" s="78"/>
      <c r="D37" s="100">
        <f>'Customer Info'!$B$22+'Customer Info'!$B$23-'Customer Info'!$B$24</f>
        <v>0</v>
      </c>
      <c r="E37" s="101" t="s">
        <v>41</v>
      </c>
      <c r="F37" s="102" t="s">
        <v>8</v>
      </c>
      <c r="G37" s="103">
        <f>'Rider Rates'!$B$49</f>
        <v>-1.2408E-3</v>
      </c>
      <c r="H37" s="103"/>
      <c r="I37" s="103"/>
      <c r="J37" s="237">
        <f>SUM(G37:H37)</f>
        <v>-1.2408E-3</v>
      </c>
      <c r="K37" s="104" t="s">
        <v>42</v>
      </c>
      <c r="L37" s="105">
        <f>ROUND(D37*G37,2)</f>
        <v>0</v>
      </c>
      <c r="M37" s="105"/>
      <c r="N37" s="105"/>
      <c r="O37" s="105">
        <f t="shared" si="0"/>
        <v>0</v>
      </c>
      <c r="P37" s="245">
        <f>'Rider Rates'!$D$49</f>
        <v>45562</v>
      </c>
    </row>
    <row r="38" spans="1:221" x14ac:dyDescent="0.25">
      <c r="A38" s="241" t="s">
        <v>218</v>
      </c>
      <c r="B38" s="78"/>
      <c r="C38" s="78"/>
      <c r="D38" s="1">
        <f>IF($C$16&lt;0,0,IF($C$16&gt;833000,833000,$C$16))</f>
        <v>0</v>
      </c>
      <c r="E38" s="101" t="s">
        <v>41</v>
      </c>
      <c r="F38" s="102" t="s">
        <v>8</v>
      </c>
      <c r="G38" s="103"/>
      <c r="H38" s="103"/>
      <c r="I38" s="103">
        <f>'Rider Rates'!D53</f>
        <v>1.8006999999999999E-3</v>
      </c>
      <c r="J38" s="103">
        <f>SUM(G38:I38)</f>
        <v>1.8006999999999999E-3</v>
      </c>
      <c r="K38" s="104" t="s">
        <v>42</v>
      </c>
      <c r="L38" s="105"/>
      <c r="M38" s="105"/>
      <c r="N38" s="87">
        <f>D38*J38</f>
        <v>0</v>
      </c>
      <c r="O38" s="105">
        <f t="shared" si="0"/>
        <v>0</v>
      </c>
      <c r="P38" s="245">
        <f>'Rider Rates'!E53</f>
        <v>45474</v>
      </c>
    </row>
    <row r="39" spans="1:221" x14ac:dyDescent="0.25">
      <c r="A39" s="210" t="s">
        <v>197</v>
      </c>
      <c r="B39" s="78"/>
      <c r="C39" s="78"/>
      <c r="D39" s="1">
        <f>IF($C$16&lt;0,0,$C$16)</f>
        <v>0</v>
      </c>
      <c r="E39" s="113" t="s">
        <v>41</v>
      </c>
      <c r="F39" s="102" t="s">
        <v>8</v>
      </c>
      <c r="G39" s="103"/>
      <c r="H39" s="103">
        <f>'Rider Rates'!G59</f>
        <v>2.3467399999999999E-2</v>
      </c>
      <c r="I39" s="103"/>
      <c r="J39" s="103">
        <f>SUM(G39:I39)</f>
        <v>2.3467399999999999E-2</v>
      </c>
      <c r="K39" s="104" t="s">
        <v>42</v>
      </c>
      <c r="L39" s="105"/>
      <c r="M39" s="105">
        <f>ROUND(D39*H39,2)</f>
        <v>0</v>
      </c>
      <c r="N39" s="205"/>
      <c r="O39" s="105">
        <f t="shared" si="0"/>
        <v>0</v>
      </c>
      <c r="P39" s="245">
        <f>'Rider Rates'!H59</f>
        <v>45383</v>
      </c>
    </row>
    <row r="40" spans="1:221" x14ac:dyDescent="0.25">
      <c r="A40" s="99" t="s">
        <v>82</v>
      </c>
      <c r="B40" s="78"/>
      <c r="C40" s="78"/>
      <c r="D40" s="1">
        <f>IF('Customer Info'!C35=TRUE,0,IF($C$16&lt;0,0,$C$16))</f>
        <v>0</v>
      </c>
      <c r="E40" s="101" t="s">
        <v>41</v>
      </c>
      <c r="F40" s="102" t="s">
        <v>8</v>
      </c>
      <c r="G40" s="103"/>
      <c r="H40" s="103"/>
      <c r="I40" s="103">
        <f>'Rider Rates'!$B$75+'Rider Rates'!$C$75</f>
        <v>0</v>
      </c>
      <c r="J40" s="103">
        <f>SUM(G40:I40)</f>
        <v>0</v>
      </c>
      <c r="K40" s="104" t="s">
        <v>42</v>
      </c>
      <c r="L40" s="105"/>
      <c r="M40" s="105"/>
      <c r="N40" s="87">
        <f>ROUND($D$40*'Rider Rates'!$B$75,2)+ROUND($D$40*'Rider Rates'!$C$75,2)</f>
        <v>0</v>
      </c>
      <c r="O40" s="209">
        <f t="shared" si="0"/>
        <v>0</v>
      </c>
      <c r="P40" s="245">
        <f>'Rider Rates'!$D$75</f>
        <v>44531</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5">
      <c r="A41" s="99" t="s">
        <v>80</v>
      </c>
      <c r="B41" s="78"/>
      <c r="C41" s="78"/>
      <c r="D41" s="208">
        <f>$N$25</f>
        <v>9.4</v>
      </c>
      <c r="E41" s="101" t="s">
        <v>121</v>
      </c>
      <c r="F41" s="102" t="s">
        <v>8</v>
      </c>
      <c r="G41" s="111"/>
      <c r="H41" s="112"/>
      <c r="I41" s="120">
        <f>'Rider Rates'!$B$89</f>
        <v>4.94232E-2</v>
      </c>
      <c r="J41" s="120">
        <f>SUM(H41:I41)</f>
        <v>4.94232E-2</v>
      </c>
      <c r="K41" s="104"/>
      <c r="L41" s="105"/>
      <c r="M41" s="105"/>
      <c r="N41" s="105">
        <f>ROUND(N$25*I41,2)</f>
        <v>0.46</v>
      </c>
      <c r="O41" s="209">
        <f t="shared" si="0"/>
        <v>0.46</v>
      </c>
      <c r="P41" s="245">
        <f>'Rider Rates'!$D$89</f>
        <v>45562</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5">
      <c r="A42" s="99" t="s">
        <v>81</v>
      </c>
      <c r="B42" s="78"/>
      <c r="C42" s="78"/>
      <c r="D42" s="208">
        <f>$N$25</f>
        <v>9.4</v>
      </c>
      <c r="E42" s="101" t="s">
        <v>121</v>
      </c>
      <c r="F42" s="102" t="s">
        <v>8</v>
      </c>
      <c r="G42" s="114"/>
      <c r="H42" s="115"/>
      <c r="I42" s="120">
        <f>'Rider Rates'!$B$91</f>
        <v>6.6985699999999995E-2</v>
      </c>
      <c r="J42" s="120">
        <f>SUM(H42:I42)</f>
        <v>6.6985699999999995E-2</v>
      </c>
      <c r="K42" s="104"/>
      <c r="L42" s="105"/>
      <c r="M42" s="105"/>
      <c r="N42" s="105">
        <f>ROUND(N$25*I42,2)</f>
        <v>0.63</v>
      </c>
      <c r="O42" s="209">
        <f t="shared" si="0"/>
        <v>0.63</v>
      </c>
      <c r="P42" s="245">
        <f>'Rider Rates'!$D$91</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5">
      <c r="A43" s="210" t="s">
        <v>214</v>
      </c>
      <c r="B43" s="78"/>
      <c r="C43" s="78"/>
      <c r="D43" s="195"/>
      <c r="E43" s="113" t="s">
        <v>114</v>
      </c>
      <c r="F43" s="106"/>
      <c r="G43" s="114"/>
      <c r="H43" s="115"/>
      <c r="I43" s="196">
        <f>'Rider Rates'!$B$95</f>
        <v>17.12</v>
      </c>
      <c r="J43" s="196">
        <f>SUM(G43:I43)</f>
        <v>17.12</v>
      </c>
      <c r="K43" s="104"/>
      <c r="L43" s="105"/>
      <c r="M43" s="105"/>
      <c r="N43" s="105">
        <f>I43</f>
        <v>17.12</v>
      </c>
      <c r="O43" s="105">
        <f>SUM(L43:N43)</f>
        <v>17.12</v>
      </c>
      <c r="P43" s="245">
        <f>'Rider Rates'!$D$95</f>
        <v>45562</v>
      </c>
    </row>
    <row r="44" spans="1:221" x14ac:dyDescent="0.25">
      <c r="A44" s="241" t="s">
        <v>261</v>
      </c>
      <c r="B44" s="78"/>
      <c r="C44" s="78"/>
      <c r="D44" s="1">
        <f>$D$29</f>
        <v>0</v>
      </c>
      <c r="E44" s="101" t="s">
        <v>41</v>
      </c>
      <c r="F44" s="102" t="s">
        <v>8</v>
      </c>
      <c r="G44" s="103"/>
      <c r="H44" s="103"/>
      <c r="I44" s="103"/>
      <c r="J44" s="103">
        <f>'Rider Rates'!$B$100</f>
        <v>0</v>
      </c>
      <c r="K44" s="104" t="s">
        <v>42</v>
      </c>
      <c r="L44" s="105"/>
      <c r="M44" s="105"/>
      <c r="N44" s="87"/>
      <c r="O44" s="105">
        <f>ROUND($D44*('Rider Rates'!B$100),2)</f>
        <v>0</v>
      </c>
      <c r="P44" s="245">
        <f>'Rider Rates'!$D$100</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41" t="s">
        <v>262</v>
      </c>
      <c r="B45" s="78"/>
      <c r="C45" s="78"/>
      <c r="D45" s="1">
        <f>$D$30</f>
        <v>0</v>
      </c>
      <c r="E45" s="101" t="s">
        <v>41</v>
      </c>
      <c r="F45" s="102" t="s">
        <v>8</v>
      </c>
      <c r="G45" s="103"/>
      <c r="H45" s="103"/>
      <c r="I45" s="103"/>
      <c r="J45" s="103">
        <f>'Rider Rates'!$B$101</f>
        <v>0</v>
      </c>
      <c r="K45" s="104" t="s">
        <v>42</v>
      </c>
      <c r="L45" s="105"/>
      <c r="M45" s="105"/>
      <c r="N45" s="87"/>
      <c r="O45" s="105">
        <f>ROUND($D45*('Rider Rates'!B$101),2)</f>
        <v>0</v>
      </c>
      <c r="P45" s="245">
        <f>'Rider Rates'!$D$101</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208">
        <f>$N$25</f>
        <v>9.4</v>
      </c>
      <c r="E46" s="101" t="s">
        <v>121</v>
      </c>
      <c r="F46" s="102" t="s">
        <v>8</v>
      </c>
      <c r="G46" s="114"/>
      <c r="H46" s="115"/>
      <c r="I46" s="120">
        <f>'Rider Rates'!$B$109</f>
        <v>0.211176</v>
      </c>
      <c r="J46" s="120">
        <f>SUM(H46:I46)</f>
        <v>0.211176</v>
      </c>
      <c r="K46" s="104"/>
      <c r="L46" s="105"/>
      <c r="M46" s="105"/>
      <c r="N46" s="105">
        <f>ROUND(N$25*I46,2)</f>
        <v>1.99</v>
      </c>
      <c r="O46" s="105">
        <f t="shared" si="0"/>
        <v>1.99</v>
      </c>
      <c r="P46" s="245">
        <f>'Rider Rates'!$D$109</f>
        <v>45532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217</v>
      </c>
      <c r="B47" s="78"/>
      <c r="C47" s="78"/>
      <c r="D47" s="195"/>
      <c r="E47" s="113" t="s">
        <v>114</v>
      </c>
      <c r="F47" s="106"/>
      <c r="G47" s="114"/>
      <c r="H47" s="115"/>
      <c r="I47" s="196">
        <f>'Rider Rates'!$B$113</f>
        <v>0</v>
      </c>
      <c r="J47" s="196">
        <f>SUM(G47:I47)</f>
        <v>0</v>
      </c>
      <c r="K47" s="104"/>
      <c r="L47" s="105"/>
      <c r="M47" s="105"/>
      <c r="N47" s="105">
        <f>I47</f>
        <v>0</v>
      </c>
      <c r="O47" s="105">
        <f t="shared" ref="O47:O52" si="1">SUM(L47:N47)</f>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225</v>
      </c>
      <c r="B48" s="78"/>
      <c r="C48" s="78"/>
      <c r="D48" s="195"/>
      <c r="E48" s="113" t="s">
        <v>114</v>
      </c>
      <c r="F48" s="106"/>
      <c r="G48" s="114"/>
      <c r="H48" s="115"/>
      <c r="I48" s="258">
        <f>'Rider Rates'!B126</f>
        <v>4.84</v>
      </c>
      <c r="J48" s="196">
        <f>SUM(G48:I48)</f>
        <v>4.84</v>
      </c>
      <c r="K48" s="104"/>
      <c r="L48" s="105"/>
      <c r="M48" s="105"/>
      <c r="N48" s="260">
        <f>I48</f>
        <v>4.84</v>
      </c>
      <c r="O48" s="105">
        <f t="shared" si="1"/>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99" t="s">
        <v>157</v>
      </c>
      <c r="B49" s="78"/>
      <c r="C49" s="78"/>
      <c r="D49" s="100">
        <f>'Customer Info'!$B$22+'Customer Info'!$B$23-'Customer Info'!$B$24</f>
        <v>0</v>
      </c>
      <c r="E49" s="101" t="s">
        <v>41</v>
      </c>
      <c r="F49" s="102" t="s">
        <v>8</v>
      </c>
      <c r="G49" s="103">
        <f>'Rider Rates'!$B$116</f>
        <v>3.8972999999999998E-3</v>
      </c>
      <c r="H49" s="103"/>
      <c r="I49" s="120"/>
      <c r="J49" s="237">
        <f>SUM(G49:H49)</f>
        <v>3.8972999999999998E-3</v>
      </c>
      <c r="K49" s="104" t="s">
        <v>42</v>
      </c>
      <c r="L49" s="105">
        <f>ROUND(D49*G49,2)</f>
        <v>0</v>
      </c>
      <c r="M49" s="105"/>
      <c r="N49" s="105"/>
      <c r="O49" s="105">
        <f t="shared" si="1"/>
        <v>0</v>
      </c>
      <c r="P49" s="245">
        <f>'Rider Rates'!$D$116</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216</v>
      </c>
      <c r="B50" s="78"/>
      <c r="C50" s="78"/>
      <c r="D50" s="1">
        <f>IF($C$16&lt;1,0,$C$16)</f>
        <v>0</v>
      </c>
      <c r="E50" s="101" t="s">
        <v>41</v>
      </c>
      <c r="F50" s="249" t="s">
        <v>8</v>
      </c>
      <c r="G50" s="165"/>
      <c r="H50" s="165"/>
      <c r="I50" s="251">
        <f>'Rider Rates'!B122</f>
        <v>-6.2E-4</v>
      </c>
      <c r="J50" s="251">
        <f>SUM(G50:I50)</f>
        <v>-6.2E-4</v>
      </c>
      <c r="K50" s="104" t="s">
        <v>42</v>
      </c>
      <c r="L50" s="105"/>
      <c r="M50" s="105"/>
      <c r="N50" s="105">
        <f>D50*I50</f>
        <v>0</v>
      </c>
      <c r="O50" s="105">
        <f t="shared" si="1"/>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241</v>
      </c>
      <c r="B51" s="78"/>
      <c r="C51" s="78"/>
      <c r="D51" s="100">
        <f>IF(C16&lt;0,0,IF(C16&gt;833000,833000,C16))</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 t="shared" si="1"/>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242</v>
      </c>
      <c r="B52" s="78"/>
      <c r="C52" s="78"/>
      <c r="D52" s="123">
        <f>IF(C16&gt;833000,C16-833000,0)</f>
        <v>0</v>
      </c>
      <c r="E52" s="101" t="s">
        <v>41</v>
      </c>
      <c r="F52" s="102" t="s">
        <v>8</v>
      </c>
      <c r="G52" s="265"/>
      <c r="H52" s="265"/>
      <c r="I52" s="265">
        <f>'Rider Rates'!$B$131</f>
        <v>0</v>
      </c>
      <c r="J52" s="265">
        <f>SUM(G52:I52)</f>
        <v>0</v>
      </c>
      <c r="K52" s="104" t="s">
        <v>42</v>
      </c>
      <c r="L52" s="266"/>
      <c r="M52" s="266"/>
      <c r="N52" s="266">
        <f>D52*J52</f>
        <v>0</v>
      </c>
      <c r="O52" s="266">
        <f t="shared" si="1"/>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250</v>
      </c>
      <c r="B53" s="78"/>
      <c r="C53" s="78"/>
      <c r="D53" s="100">
        <f>D16</f>
        <v>0</v>
      </c>
      <c r="E53" s="101" t="s">
        <v>41</v>
      </c>
      <c r="F53" s="249" t="s">
        <v>8</v>
      </c>
      <c r="G53" s="103"/>
      <c r="H53" s="103"/>
      <c r="I53" s="103">
        <f>'Rider Rates'!$B$135</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179" t="s">
        <v>70</v>
      </c>
      <c r="B56" s="148"/>
      <c r="C56" s="148"/>
      <c r="D56" s="180"/>
      <c r="E56" s="181"/>
      <c r="F56" s="182"/>
      <c r="G56" s="182"/>
      <c r="H56" s="182"/>
      <c r="I56" s="182"/>
      <c r="J56" s="182"/>
      <c r="K56" s="183"/>
      <c r="L56" s="169">
        <f>SUM(L29:L55)</f>
        <v>0</v>
      </c>
      <c r="M56" s="169">
        <f>SUM(M29:M55)</f>
        <v>0</v>
      </c>
      <c r="N56" s="169">
        <f>SUM(N29:N55)</f>
        <v>25.04</v>
      </c>
      <c r="O56" s="169">
        <f>SUM(O29:O55)</f>
        <v>25.04</v>
      </c>
      <c r="P56" s="184"/>
    </row>
    <row r="57" spans="1:221" x14ac:dyDescent="0.25">
      <c r="A57" s="37"/>
      <c r="D57" s="1"/>
      <c r="E57" s="35"/>
      <c r="F57" s="4"/>
      <c r="G57" s="42"/>
      <c r="H57" s="42"/>
      <c r="I57" s="42"/>
      <c r="J57" s="42"/>
      <c r="K57" s="36"/>
      <c r="L57" s="36"/>
      <c r="M57" s="36"/>
      <c r="N57" s="36"/>
      <c r="O57" s="34"/>
      <c r="P57" s="36"/>
    </row>
    <row r="58" spans="1:221" x14ac:dyDescent="0.25">
      <c r="A58" s="269" t="s">
        <v>71</v>
      </c>
      <c r="B58" s="92"/>
      <c r="C58" s="92"/>
      <c r="D58" s="92"/>
      <c r="E58" s="92"/>
      <c r="F58" s="92"/>
      <c r="G58" s="92"/>
      <c r="H58" s="92"/>
      <c r="I58" s="92"/>
      <c r="J58" s="92"/>
      <c r="K58" s="92"/>
      <c r="L58" s="98">
        <f>L25+L56</f>
        <v>0</v>
      </c>
      <c r="M58" s="98">
        <f>M25+M56</f>
        <v>0</v>
      </c>
      <c r="N58" s="98">
        <f>N25+N56</f>
        <v>34.44</v>
      </c>
      <c r="O58" s="98">
        <f>O25+O56</f>
        <v>34.44</v>
      </c>
      <c r="P58" s="98"/>
    </row>
    <row r="59" spans="1:221" x14ac:dyDescent="0.25">
      <c r="A59" s="37"/>
      <c r="B59" s="37"/>
      <c r="C59" s="37"/>
      <c r="D59" s="37"/>
      <c r="E59" s="37"/>
      <c r="F59" s="37"/>
      <c r="G59" s="37"/>
      <c r="H59" s="37"/>
      <c r="I59" s="37"/>
      <c r="J59" s="37"/>
      <c r="K59" s="37"/>
      <c r="L59" s="37"/>
      <c r="M59" s="37"/>
      <c r="N59" s="37"/>
      <c r="O59" s="40"/>
      <c r="P59" s="40"/>
    </row>
    <row r="60" spans="1:221" x14ac:dyDescent="0.25">
      <c r="A60" s="37" t="s">
        <v>37</v>
      </c>
      <c r="B60" s="37"/>
      <c r="C60" s="37"/>
      <c r="D60" s="37"/>
      <c r="E60" s="37"/>
      <c r="F60" s="37"/>
      <c r="G60" s="37"/>
      <c r="H60" s="37"/>
      <c r="I60" s="37"/>
      <c r="J60" s="37"/>
      <c r="K60" s="37"/>
      <c r="L60" s="37"/>
      <c r="M60" s="37"/>
      <c r="N60" s="37"/>
      <c r="O60" s="45">
        <f>O23+O56</f>
        <v>34.44</v>
      </c>
      <c r="P60" s="245">
        <v>40967</v>
      </c>
    </row>
    <row r="61" spans="1:221" x14ac:dyDescent="0.25">
      <c r="A61" s="37"/>
      <c r="B61" s="37"/>
      <c r="C61" s="37"/>
      <c r="D61" s="37"/>
      <c r="E61" s="37"/>
      <c r="F61" s="37"/>
      <c r="G61" s="46"/>
      <c r="H61" s="46"/>
      <c r="I61" s="46"/>
      <c r="J61" s="46"/>
      <c r="K61" s="36"/>
      <c r="L61" s="36"/>
      <c r="M61" s="36"/>
      <c r="N61" s="36"/>
      <c r="O61" s="40"/>
    </row>
    <row r="62" spans="1:221" x14ac:dyDescent="0.25">
      <c r="A62" s="41" t="s">
        <v>116</v>
      </c>
      <c r="B62" s="37"/>
      <c r="C62" s="37"/>
      <c r="D62" s="37"/>
      <c r="E62" s="37"/>
      <c r="F62" s="37"/>
      <c r="G62" s="46"/>
      <c r="H62" s="46"/>
      <c r="I62" s="46"/>
      <c r="J62" s="46"/>
      <c r="K62" s="36"/>
      <c r="L62" s="36"/>
      <c r="M62" s="36"/>
      <c r="N62" s="36"/>
      <c r="O62" s="138">
        <f>MAX($O$58,$O$60)</f>
        <v>34.44</v>
      </c>
    </row>
    <row r="63" spans="1:221" x14ac:dyDescent="0.25">
      <c r="A63" s="37"/>
      <c r="B63" s="37"/>
      <c r="C63" s="37"/>
      <c r="D63" s="37"/>
      <c r="E63" s="37"/>
      <c r="F63" s="37"/>
      <c r="G63" s="46"/>
      <c r="H63" s="46"/>
      <c r="I63" s="46"/>
      <c r="J63" s="46"/>
      <c r="K63" s="36"/>
      <c r="L63" s="36"/>
      <c r="M63" s="36"/>
      <c r="N63" s="36"/>
      <c r="O63" s="40"/>
    </row>
    <row r="64" spans="1:221" x14ac:dyDescent="0.25">
      <c r="A64" s="37"/>
      <c r="B64" s="37"/>
      <c r="C64" s="37"/>
      <c r="D64" s="37"/>
      <c r="E64" s="37"/>
      <c r="F64" s="37"/>
      <c r="G64" s="96" t="s">
        <v>85</v>
      </c>
      <c r="H64" s="46"/>
      <c r="I64" s="37"/>
      <c r="J64" s="46"/>
      <c r="K64" s="36"/>
      <c r="L64" s="191"/>
      <c r="M64" s="191"/>
      <c r="N64" s="191"/>
      <c r="O64" s="191">
        <f>ROUND(IF($C$16&lt;1,0,$O$62/($C$16*100)*10000),2)</f>
        <v>0</v>
      </c>
      <c r="P64" s="37" t="s">
        <v>86</v>
      </c>
    </row>
    <row r="65" spans="1:16" x14ac:dyDescent="0.25">
      <c r="A65" s="37"/>
      <c r="B65" s="37"/>
      <c r="C65" s="37"/>
      <c r="D65" s="37"/>
      <c r="E65" s="37"/>
      <c r="F65" s="37"/>
      <c r="G65" s="242" t="s">
        <v>198</v>
      </c>
      <c r="H65" s="136"/>
      <c r="I65" s="133"/>
      <c r="J65" s="136"/>
      <c r="K65" s="137"/>
      <c r="L65" s="78"/>
      <c r="M65" s="78"/>
      <c r="N65" s="78"/>
      <c r="O65" s="243">
        <f>ROUND(IF($C$16&lt;1,0,(L58)/($C$16*100)*10000),2)</f>
        <v>0</v>
      </c>
      <c r="P65" s="25" t="s">
        <v>86</v>
      </c>
    </row>
    <row r="66" spans="1:16" x14ac:dyDescent="0.25">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Info'!$C$33=TRUE,"Notice: Billing Charge does not include Self Assessed KWH Tax"," ")</f>
        <v xml:space="preserve"> </v>
      </c>
      <c r="E67" s="3"/>
      <c r="F67" s="4"/>
      <c r="G67" s="121"/>
      <c r="H67" s="55"/>
      <c r="I67" s="34"/>
      <c r="J67" s="55"/>
      <c r="K67" s="37"/>
      <c r="L67" s="37"/>
      <c r="M67" s="37"/>
      <c r="N67" s="34"/>
    </row>
    <row r="68" spans="1:16" x14ac:dyDescent="0.25">
      <c r="A68" s="37"/>
      <c r="B68" s="37"/>
      <c r="C68" s="37"/>
      <c r="D68" s="54"/>
      <c r="E68" s="3"/>
      <c r="F68" s="4"/>
      <c r="G68" s="55"/>
      <c r="H68" s="55"/>
      <c r="I68" s="93"/>
      <c r="J68" s="55"/>
      <c r="K68" s="37"/>
      <c r="L68" s="37"/>
      <c r="M68" s="37"/>
      <c r="N68" s="37"/>
      <c r="O68" s="40"/>
    </row>
    <row r="69" spans="1:16" x14ac:dyDescent="0.25">
      <c r="A69" s="37"/>
      <c r="B69" s="37"/>
      <c r="C69" s="37"/>
      <c r="D69" s="54"/>
      <c r="E69" s="3"/>
      <c r="F69" s="4"/>
      <c r="G69" s="55"/>
      <c r="H69" s="55"/>
      <c r="I69" s="55"/>
      <c r="J69" s="55"/>
      <c r="K69" s="37"/>
      <c r="L69" s="37"/>
      <c r="M69" s="37"/>
      <c r="N69" s="37"/>
      <c r="O69" s="40"/>
    </row>
    <row r="70" spans="1:16" x14ac:dyDescent="0.25">
      <c r="A70" s="41"/>
      <c r="B70" s="37"/>
      <c r="C70" s="37"/>
      <c r="D70" s="37"/>
      <c r="E70" s="37"/>
      <c r="F70" s="37"/>
      <c r="G70" s="37"/>
      <c r="H70" s="37"/>
      <c r="J70" s="37"/>
      <c r="K70" s="37"/>
      <c r="L70" s="40"/>
      <c r="M70" s="40"/>
      <c r="N70" s="40"/>
      <c r="O70" s="138"/>
    </row>
    <row r="71" spans="1:16" x14ac:dyDescent="0.25">
      <c r="B71" s="37"/>
      <c r="C71" s="37"/>
      <c r="D71" s="37"/>
      <c r="E71" s="37"/>
      <c r="F71" s="37"/>
      <c r="G71" s="96"/>
      <c r="H71" s="37"/>
      <c r="I71" s="37"/>
      <c r="J71" s="37"/>
      <c r="K71" s="37"/>
      <c r="L71" s="60"/>
      <c r="M71" s="60"/>
      <c r="N71" s="60"/>
      <c r="O71" s="130"/>
      <c r="P71" s="37"/>
    </row>
    <row r="72" spans="1:16" x14ac:dyDescent="0.25">
      <c r="G72" s="133"/>
      <c r="H72" s="56"/>
      <c r="I72" s="133"/>
      <c r="J72" s="56"/>
      <c r="K72" s="56"/>
      <c r="L72" s="134"/>
      <c r="M72" s="134"/>
      <c r="N72" s="134"/>
      <c r="O72" s="135"/>
      <c r="P72" s="25"/>
    </row>
    <row r="74" spans="1:16" x14ac:dyDescent="0.25">
      <c r="A74" s="550"/>
    </row>
    <row r="75" spans="1:16" x14ac:dyDescent="0.25">
      <c r="A75" s="550"/>
    </row>
    <row r="76" spans="1:16" x14ac:dyDescent="0.25">
      <c r="A76" s="550"/>
    </row>
    <row r="77" spans="1:16" x14ac:dyDescent="0.25">
      <c r="A77" s="550"/>
    </row>
    <row r="78" spans="1:16" x14ac:dyDescent="0.25">
      <c r="A78" s="550"/>
    </row>
    <row r="79" spans="1:16" x14ac:dyDescent="0.25">
      <c r="A79" s="550"/>
    </row>
    <row r="80" spans="1:1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sheetData>
  <sheetProtection algorithmName="SHA-512" hashValue="CteShjg+4VIfj6A4MhscPbxKlpNS/MgyBFk2mr2TuyVHllmbwsBrjUfxgsJXAk0NbnqhYQKAoa39e+fPNJS8kQ==" saltValue="abLXxkYmBYsG5KZczGUTE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Button 1">
              <controlPr defaultSize="0" print="0" autoFill="0" autoPict="0" macro="[0]!Info">
                <anchor moveWithCells="1">
                  <from>
                    <xdr:col>0</xdr:col>
                    <xdr:colOff>30480</xdr:colOff>
                    <xdr:row>0</xdr:row>
                    <xdr:rowOff>30480</xdr:rowOff>
                  </from>
                  <to>
                    <xdr:col>0</xdr:col>
                    <xdr:colOff>373380</xdr:colOff>
                    <xdr:row>1</xdr:row>
                    <xdr:rowOff>30480</xdr:rowOff>
                  </to>
                </anchor>
              </controlPr>
            </control>
          </mc:Choice>
        </mc:AlternateContent>
        <mc:AlternateContent xmlns:mc="http://schemas.openxmlformats.org/markup-compatibility/2006">
          <mc:Choice Requires="x14">
            <control shapeId="93186" r:id="rId5" name="Button 2">
              <controlPr defaultSize="0" print="0" autoFill="0" autoPict="0" macro="[0]!Info">
                <anchor moveWithCells="1">
                  <from>
                    <xdr:col>15</xdr:col>
                    <xdr:colOff>274320</xdr:colOff>
                    <xdr:row>82</xdr:row>
                    <xdr:rowOff>45720</xdr:rowOff>
                  </from>
                  <to>
                    <xdr:col>16</xdr:col>
                    <xdr:colOff>30480</xdr:colOff>
                    <xdr:row>83</xdr:row>
                    <xdr:rowOff>83820</xdr:rowOff>
                  </to>
                </anchor>
              </controlPr>
            </control>
          </mc:Choice>
        </mc:AlternateContent>
        <mc:AlternateContent xmlns:mc="http://schemas.openxmlformats.org/markup-compatibility/2006">
          <mc:Choice Requires="x14">
            <control shapeId="93187"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93188"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93189" r:id="rId8" name="Button 5">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93190" r:id="rId9" name="Button 6">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93191" r:id="rId10" name="Button 7">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93192" r:id="rId11" name="Button 8">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93193" r:id="rId12" name="Button 9">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93194" r:id="rId13" name="Button 10">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93195" r:id="rId14" name="Button 11">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93196" r:id="rId15" name="Button 12">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93197" r:id="rId16" name="Button 13">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93198" r:id="rId17" name="Button 14">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93199" r:id="rId18" name="Button 15">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93200" r:id="rId19" name="Button 16">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93201" r:id="rId20" name="Button 17">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93202" r:id="rId21" name="Button 18">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93203" r:id="rId22" name="Button 19">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93204" r:id="rId23" name="Button 20">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93205" r:id="rId24" name="Button 21">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93206" r:id="rId25" name="Button 22">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93207" r:id="rId26" name="Button 23">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93208" r:id="rId27" name="Button 24">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93209" r:id="rId28" name="Button 25">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93210" r:id="rId29" name="Button 26">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93211" r:id="rId30" name="Button 27">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93212" r:id="rId31" name="Button 28">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93213" r:id="rId32" name="Button 29">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93214" r:id="rId33" name="Button 30">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93215" r:id="rId34" name="Button 31">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93216" r:id="rId35" name="Button 32">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93217" r:id="rId36" name="Button 33">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93218" r:id="rId37" name="Button 34">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93219" r:id="rId38" name="Button 35">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93220" r:id="rId39" name="Button 36">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93221" r:id="rId40" name="Button 37">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93222" r:id="rId41" name="Button 38">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93223" r:id="rId42" name="Button 39">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93224" r:id="rId43" name="Button 40">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93225" r:id="rId44" name="Button 41">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93226" r:id="rId45" name="Button 42">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93227" r:id="rId46" name="Button 43">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93228" r:id="rId47" name="Button 44">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93229" r:id="rId48" name="Button 45">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93230" r:id="rId49" name="Button 46">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93231" r:id="rId50" name="Button 47">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93232" r:id="rId51" name="Button 48">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93233" r:id="rId52" name="Button 49">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93234" r:id="rId53" name="Button 50">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93235" r:id="rId54" name="Button 51">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93236" r:id="rId55" name="Button 52">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93237" r:id="rId56" name="Button 53">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93238" r:id="rId57" name="Button 54">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93239" r:id="rId58" name="Button 55">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93240" r:id="rId59" name="Button 56">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93241" r:id="rId60" name="Button 57">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93242" r:id="rId61" name="Button 58">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IV88"/>
  <sheetViews>
    <sheetView showGridLines="0" topLeftCell="A19" zoomScale="80" zoomScaleNormal="80" workbookViewId="0">
      <selection activeCell="J41" sqref="J41"/>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0" hidden="1" customWidth="1"/>
  </cols>
  <sheetData>
    <row r="1" spans="1:256" ht="21" x14ac:dyDescent="0.4">
      <c r="A1" s="567" t="s">
        <v>119</v>
      </c>
      <c r="B1" s="567"/>
      <c r="C1" s="567"/>
      <c r="D1" s="567"/>
      <c r="E1" s="567"/>
      <c r="F1" s="567"/>
      <c r="G1" s="567"/>
      <c r="H1" s="567"/>
      <c r="I1" s="567"/>
      <c r="J1" s="567"/>
      <c r="K1" s="567"/>
      <c r="L1" s="567"/>
      <c r="M1" s="567"/>
      <c r="N1" s="567"/>
      <c r="O1" s="567"/>
      <c r="P1" s="567"/>
    </row>
    <row r="2" spans="1:256" ht="21" x14ac:dyDescent="0.4">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7.399999999999999" x14ac:dyDescent="0.3">
      <c r="A3" s="568" t="s">
        <v>272</v>
      </c>
      <c r="B3" s="568"/>
      <c r="C3" s="568"/>
      <c r="D3" s="568"/>
      <c r="E3" s="568"/>
      <c r="F3" s="568"/>
      <c r="G3" s="568"/>
      <c r="H3" s="568"/>
      <c r="I3" s="568"/>
      <c r="J3" s="568"/>
      <c r="K3" s="568"/>
      <c r="L3" s="568"/>
      <c r="M3" s="568"/>
      <c r="N3" s="568"/>
      <c r="O3" s="568"/>
      <c r="P3" s="568"/>
    </row>
    <row r="4" spans="1:256"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5">
      <c r="A5" s="75"/>
      <c r="B5" s="75"/>
      <c r="C5" s="75"/>
      <c r="D5" s="75"/>
      <c r="E5" s="75"/>
      <c r="F5" s="75"/>
      <c r="G5" s="75"/>
      <c r="H5" s="75"/>
      <c r="I5" s="75"/>
      <c r="J5" s="75"/>
      <c r="K5" s="75"/>
    </row>
    <row r="6" spans="1:256" x14ac:dyDescent="0.25">
      <c r="A6" s="267">
        <f ca="1">TODAY()</f>
        <v>45588</v>
      </c>
      <c r="B6" s="210" t="s">
        <v>271</v>
      </c>
      <c r="C6" s="274"/>
      <c r="D6" s="274"/>
      <c r="E6" s="274"/>
      <c r="F6" s="274"/>
      <c r="G6" s="274"/>
      <c r="H6" s="274"/>
      <c r="I6" s="274"/>
      <c r="J6" s="274"/>
      <c r="K6" s="274"/>
    </row>
    <row r="7" spans="1:256" ht="24.6" x14ac:dyDescent="0.4">
      <c r="A7" s="569"/>
      <c r="B7" s="569"/>
      <c r="C7" s="569"/>
      <c r="D7" s="569"/>
      <c r="E7" s="569"/>
      <c r="F7" s="569"/>
      <c r="G7" s="569"/>
      <c r="H7" s="569"/>
      <c r="I7" s="569"/>
      <c r="J7" s="569"/>
      <c r="K7" s="569"/>
      <c r="L7" s="569"/>
      <c r="M7" s="569"/>
      <c r="N7" s="569"/>
      <c r="O7" s="569"/>
      <c r="P7" s="569"/>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11</v>
      </c>
      <c r="C10" s="194" t="str">
        <f>LOOKUP(B10,R10:AD10,R11:AD11)</f>
        <v>November</v>
      </c>
      <c r="D10" s="133">
        <f>'Customer Info'!C9</f>
        <v>2024</v>
      </c>
      <c r="S10">
        <v>1</v>
      </c>
      <c r="T10">
        <v>2</v>
      </c>
      <c r="U10">
        <v>3</v>
      </c>
      <c r="V10">
        <v>4</v>
      </c>
      <c r="W10">
        <v>5</v>
      </c>
      <c r="X10">
        <v>6</v>
      </c>
      <c r="Y10">
        <v>7</v>
      </c>
      <c r="Z10">
        <v>8</v>
      </c>
      <c r="AA10">
        <v>9</v>
      </c>
      <c r="AB10">
        <v>10</v>
      </c>
      <c r="AC10">
        <v>11</v>
      </c>
      <c r="AD10">
        <v>12</v>
      </c>
    </row>
    <row r="11" spans="1:256" ht="15" customHeight="1" x14ac:dyDescent="0.25">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5">
      <c r="A12" s="28" t="s">
        <v>27</v>
      </c>
      <c r="B12" s="22"/>
      <c r="C12" s="22"/>
      <c r="D12" s="22"/>
      <c r="E12" s="22"/>
      <c r="F12" s="22"/>
      <c r="G12" s="22"/>
      <c r="H12" s="22"/>
      <c r="I12" s="22"/>
      <c r="J12" s="22"/>
      <c r="K12" s="22"/>
      <c r="L12" s="22"/>
      <c r="M12" s="22"/>
      <c r="N12" s="22"/>
      <c r="O12" s="22"/>
      <c r="P12" s="22"/>
      <c r="R12" s="3" t="s">
        <v>195</v>
      </c>
      <c r="S12" s="207">
        <f>'Rider Rates'!$C$24</f>
        <v>6.7849999999999994E-2</v>
      </c>
      <c r="T12" s="207">
        <f>'Rider Rates'!$C$24</f>
        <v>6.7849999999999994E-2</v>
      </c>
      <c r="U12" s="207">
        <f>'Rider Rates'!$C$24</f>
        <v>6.7849999999999994E-2</v>
      </c>
      <c r="V12" s="207">
        <f>'Rider Rates'!$C$24</f>
        <v>6.7849999999999994E-2</v>
      </c>
      <c r="W12" s="207">
        <f>'Rider Rates'!$C$24</f>
        <v>6.7849999999999994E-2</v>
      </c>
      <c r="X12" s="207">
        <f>'Rider Rates'!$B$24</f>
        <v>6.7849999999999994E-2</v>
      </c>
      <c r="Y12" s="207">
        <f>'Rider Rates'!$B$24</f>
        <v>6.7849999999999994E-2</v>
      </c>
      <c r="Z12" s="207">
        <f>'Rider Rates'!$B$24</f>
        <v>6.7849999999999994E-2</v>
      </c>
      <c r="AA12" s="207">
        <f>'Rider Rates'!$B$24</f>
        <v>6.7849999999999994E-2</v>
      </c>
      <c r="AB12" s="207">
        <f>'Rider Rates'!$C$24</f>
        <v>6.7849999999999994E-2</v>
      </c>
      <c r="AC12" s="207">
        <f>'Rider Rates'!$C$24</f>
        <v>6.7849999999999994E-2</v>
      </c>
      <c r="AD12" s="207">
        <f>'Rider Rates'!$C$24</f>
        <v>6.7849999999999994E-2</v>
      </c>
      <c r="AE12" s="207"/>
      <c r="AF12" s="207"/>
    </row>
    <row r="13" spans="1:256" x14ac:dyDescent="0.25">
      <c r="A13" s="18"/>
      <c r="B13" s="18"/>
      <c r="C13" s="59" t="s">
        <v>54</v>
      </c>
      <c r="D13" s="59" t="s">
        <v>55</v>
      </c>
      <c r="E13" s="18"/>
      <c r="F13" s="18"/>
      <c r="G13" s="18"/>
      <c r="H13" s="18"/>
      <c r="I13" s="18"/>
      <c r="J13" s="18"/>
      <c r="K13" s="18"/>
      <c r="L13" s="18"/>
      <c r="M13" s="18"/>
      <c r="N13" s="18"/>
      <c r="O13" s="18"/>
    </row>
    <row r="14" spans="1:256" x14ac:dyDescent="0.25">
      <c r="A14" s="29" t="s">
        <v>28</v>
      </c>
      <c r="B14" s="29"/>
      <c r="C14" s="44">
        <f>'Customer Info'!B19</f>
        <v>0</v>
      </c>
      <c r="D14" s="44">
        <f>ROUND(C14*C17,1)</f>
        <v>0</v>
      </c>
      <c r="E14" s="29" t="s">
        <v>45</v>
      </c>
      <c r="F14" s="30"/>
      <c r="G14" s="29" t="s">
        <v>15</v>
      </c>
      <c r="I14" s="53" t="s">
        <v>15</v>
      </c>
      <c r="J14" s="29"/>
      <c r="K14" s="29"/>
      <c r="L14" s="29"/>
      <c r="M14" s="29"/>
      <c r="N14" s="29"/>
    </row>
    <row r="15" spans="1:256" x14ac:dyDescent="0.25">
      <c r="A15" s="31" t="s">
        <v>29</v>
      </c>
      <c r="B15" s="31"/>
      <c r="C15" s="44">
        <f>'Customer Info'!B20</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Info'!B22+'Customer Info'!B23-'Customer Info'!B24&lt;0,0,'Customer Info'!B22+'Customer Info'!B23-'Customer Info'!B24)</f>
        <v>0</v>
      </c>
      <c r="D16" s="32">
        <f>C16*C17</f>
        <v>0</v>
      </c>
      <c r="E16" s="31" t="s">
        <v>41</v>
      </c>
      <c r="F16" s="33"/>
      <c r="G16" s="31"/>
      <c r="H16" s="31"/>
      <c r="I16" s="31"/>
      <c r="J16" s="31"/>
      <c r="K16" s="31"/>
      <c r="L16" s="31"/>
      <c r="M16" s="31"/>
      <c r="N16" s="31"/>
      <c r="O16" s="31"/>
    </row>
    <row r="17" spans="1:30" x14ac:dyDescent="0.25">
      <c r="A17" s="31" t="s">
        <v>53</v>
      </c>
      <c r="B17" s="31"/>
      <c r="C17" s="58">
        <f>+'Customer Info'!E19</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5">
      <c r="A18" s="31" t="s">
        <v>15</v>
      </c>
      <c r="B18" s="31"/>
      <c r="C18" s="82" t="s">
        <v>15</v>
      </c>
      <c r="D18" s="571" t="s">
        <v>15</v>
      </c>
      <c r="E18" s="571"/>
      <c r="F18" s="571"/>
      <c r="G18" s="571"/>
      <c r="H18" s="571"/>
      <c r="K18" s="31"/>
      <c r="L18" s="31"/>
      <c r="M18" s="31"/>
      <c r="N18" s="31"/>
      <c r="O18" s="50"/>
    </row>
    <row r="19" spans="1:30" x14ac:dyDescent="0.25">
      <c r="A19" s="31" t="s">
        <v>15</v>
      </c>
      <c r="B19" s="31"/>
      <c r="C19" s="82" t="s">
        <v>15</v>
      </c>
      <c r="D19" s="571" t="s">
        <v>15</v>
      </c>
      <c r="E19" s="571"/>
      <c r="F19" s="571"/>
      <c r="G19" s="571"/>
      <c r="H19" s="571"/>
      <c r="I19" s="23"/>
      <c r="J19" s="23"/>
      <c r="K19" s="31"/>
      <c r="L19" s="31"/>
      <c r="M19" s="31"/>
      <c r="N19" s="31"/>
      <c r="O19" s="50"/>
    </row>
    <row r="20" spans="1:30" x14ac:dyDescent="0.25">
      <c r="A20" s="31"/>
      <c r="B20" s="31"/>
      <c r="C20" s="33"/>
      <c r="D20" s="33"/>
      <c r="E20" s="33"/>
      <c r="F20" s="33"/>
      <c r="G20" s="23"/>
      <c r="H20" s="23"/>
      <c r="I20" s="23"/>
      <c r="J20" s="23"/>
      <c r="K20" s="31"/>
      <c r="L20" s="31"/>
      <c r="M20" s="31"/>
      <c r="N20" s="31"/>
      <c r="O20" s="31"/>
    </row>
    <row r="21" spans="1:30" x14ac:dyDescent="0.25">
      <c r="A21" s="28" t="s">
        <v>31</v>
      </c>
      <c r="B21" s="22"/>
      <c r="C21" s="22"/>
      <c r="D21" s="22"/>
      <c r="E21" s="22"/>
      <c r="F21" s="22"/>
      <c r="G21" s="563" t="s">
        <v>67</v>
      </c>
      <c r="H21" s="564"/>
      <c r="I21" s="564"/>
      <c r="J21" s="565"/>
      <c r="K21" s="22"/>
      <c r="L21" s="566" t="s">
        <v>68</v>
      </c>
      <c r="M21" s="566"/>
      <c r="N21" s="566"/>
      <c r="O21" s="566"/>
    </row>
    <row r="22" spans="1:30" x14ac:dyDescent="0.25">
      <c r="A22" s="18"/>
      <c r="B22" s="18"/>
      <c r="C22" s="18"/>
      <c r="D22" s="18"/>
      <c r="E22" s="18"/>
      <c r="F22" s="18"/>
      <c r="G22" s="8" t="s">
        <v>64</v>
      </c>
      <c r="H22" s="8" t="s">
        <v>65</v>
      </c>
      <c r="I22" s="8" t="s">
        <v>66</v>
      </c>
      <c r="J22" s="112" t="s">
        <v>34</v>
      </c>
      <c r="K22" s="18"/>
      <c r="L22" s="268" t="s">
        <v>64</v>
      </c>
      <c r="M22" s="268" t="s">
        <v>65</v>
      </c>
      <c r="N22" s="268" t="s">
        <v>66</v>
      </c>
      <c r="O22" s="132" t="s">
        <v>34</v>
      </c>
      <c r="P22" s="43" t="s">
        <v>56</v>
      </c>
    </row>
    <row r="23" spans="1:30" x14ac:dyDescent="0.25">
      <c r="A23" t="s">
        <v>32</v>
      </c>
      <c r="G23" s="86"/>
      <c r="H23" s="86"/>
      <c r="I23" s="86">
        <v>138.5</v>
      </c>
      <c r="J23" s="86">
        <f>SUM(G23:I23)</f>
        <v>138.5</v>
      </c>
      <c r="L23" s="88"/>
      <c r="M23" s="88"/>
      <c r="N23" s="88">
        <f>I23</f>
        <v>138.5</v>
      </c>
      <c r="O23" s="209">
        <f>SUM(L23:N23)</f>
        <v>138.5</v>
      </c>
      <c r="P23" s="245">
        <v>44531</v>
      </c>
    </row>
    <row r="24" spans="1:30" x14ac:dyDescent="0.25">
      <c r="A24" t="s">
        <v>132</v>
      </c>
      <c r="D24" s="1">
        <f>D16</f>
        <v>0</v>
      </c>
      <c r="E24" s="101" t="s">
        <v>41</v>
      </c>
      <c r="F24" s="102" t="s">
        <v>8</v>
      </c>
      <c r="G24" s="84"/>
      <c r="H24" s="86"/>
      <c r="I24" s="84">
        <v>1.37173E-2</v>
      </c>
      <c r="J24" s="84">
        <f>I24</f>
        <v>1.37173E-2</v>
      </c>
      <c r="K24" s="104" t="s">
        <v>42</v>
      </c>
      <c r="L24" s="87"/>
      <c r="M24" s="88"/>
      <c r="N24" s="87">
        <f>D24*J24</f>
        <v>0</v>
      </c>
      <c r="O24" s="209">
        <f>SUM(L24:N24)</f>
        <v>0</v>
      </c>
      <c r="P24" s="245"/>
    </row>
    <row r="25" spans="1:30" x14ac:dyDescent="0.25">
      <c r="A25" s="37" t="s">
        <v>50</v>
      </c>
      <c r="B25" s="37"/>
      <c r="C25" s="37"/>
      <c r="D25" s="38"/>
      <c r="E25" s="38"/>
      <c r="F25" s="37"/>
      <c r="G25" s="37"/>
      <c r="H25" s="37"/>
      <c r="I25" s="37"/>
      <c r="J25" s="37"/>
      <c r="K25" s="39"/>
      <c r="L25" s="40"/>
      <c r="M25" s="40"/>
      <c r="N25" s="40">
        <f>SUM(N23:N24)</f>
        <v>138.5</v>
      </c>
      <c r="O25" s="40">
        <f>SUM(O23:O24)</f>
        <v>138.5</v>
      </c>
    </row>
    <row r="26" spans="1:30" x14ac:dyDescent="0.25">
      <c r="A26" s="89"/>
      <c r="B26" s="89"/>
      <c r="C26" s="90"/>
      <c r="D26" s="90"/>
      <c r="E26" s="90"/>
      <c r="F26" s="90"/>
      <c r="G26" s="91"/>
      <c r="H26" s="91"/>
      <c r="I26" s="91"/>
      <c r="J26" s="91"/>
      <c r="K26" s="89"/>
      <c r="L26" s="89"/>
      <c r="M26" s="89"/>
      <c r="N26" s="89"/>
      <c r="O26" s="89"/>
      <c r="P26" s="89"/>
    </row>
    <row r="27" spans="1:30" x14ac:dyDescent="0.25">
      <c r="A27" s="41" t="s">
        <v>69</v>
      </c>
      <c r="D27" s="1"/>
      <c r="E27" s="1"/>
      <c r="K27" s="36"/>
      <c r="L27" s="36"/>
      <c r="M27" s="36"/>
      <c r="N27" s="36"/>
      <c r="O27" s="34"/>
      <c r="P27" s="34"/>
    </row>
    <row r="28" spans="1:30" x14ac:dyDescent="0.25">
      <c r="A28" s="37"/>
      <c r="D28" s="1"/>
      <c r="E28" s="1"/>
      <c r="K28" s="36"/>
      <c r="L28" s="36"/>
      <c r="M28" s="36"/>
      <c r="N28" s="36"/>
      <c r="O28" s="34"/>
    </row>
    <row r="29" spans="1:30" x14ac:dyDescent="0.25">
      <c r="A29" s="78" t="s">
        <v>78</v>
      </c>
      <c r="D29" s="1">
        <f>IF($C$16&lt;0,0,IF($C$16&gt;833000,833000,$C$16))</f>
        <v>0</v>
      </c>
      <c r="E29" s="35" t="s">
        <v>41</v>
      </c>
      <c r="F29" s="4" t="s">
        <v>8</v>
      </c>
      <c r="G29" s="83"/>
      <c r="H29" s="84"/>
      <c r="I29" s="103">
        <f>'Rider Rates'!$B$4</f>
        <v>5.9216E-3</v>
      </c>
      <c r="J29" s="6">
        <f>SUM(G29:I29)</f>
        <v>5.9216E-3</v>
      </c>
      <c r="K29" s="36" t="s">
        <v>42</v>
      </c>
      <c r="L29" s="87"/>
      <c r="M29" s="87"/>
      <c r="N29" s="87">
        <f>ROUND($D29*I29,2)</f>
        <v>0</v>
      </c>
      <c r="O29" s="87">
        <f>SUM(L29:N29)</f>
        <v>0</v>
      </c>
      <c r="P29" s="245">
        <f>'Rider Rates'!$D$4</f>
        <v>45293</v>
      </c>
    </row>
    <row r="30" spans="1:30" x14ac:dyDescent="0.25">
      <c r="A30" s="78" t="s">
        <v>79</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45293</v>
      </c>
    </row>
    <row r="31" spans="1:30" x14ac:dyDescent="0.25">
      <c r="A31" s="78" t="s">
        <v>47</v>
      </c>
      <c r="B31" t="s">
        <v>15</v>
      </c>
      <c r="D31" s="1">
        <f>IF('Customer Info'!$C$33=TRUE,0,IF(C16&lt;0,0,IF(C16&gt;2000,2000,C16)))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5">
      <c r="A32" s="78" t="s">
        <v>48</v>
      </c>
      <c r="B32" t="s">
        <v>15</v>
      </c>
      <c r="D32" s="1">
        <f>IF('Customer Info'!$C$33=TRUE,0,IF(C16&gt;15000,13000,IF(C16&gt;2000,C16-2000,0)))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5">
      <c r="A33" s="78" t="s">
        <v>49</v>
      </c>
      <c r="B33" t="s">
        <v>15</v>
      </c>
      <c r="D33" s="1">
        <f>IF('Customer Info'!$C$33=TRUE,0,IF(C16-D31-D32&gt;0,C16-D31-D32,0))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5">
      <c r="A34" s="241" t="s">
        <v>245</v>
      </c>
      <c r="B34" s="78"/>
      <c r="C34" s="78"/>
      <c r="D34" s="208">
        <f>$N$25</f>
        <v>138.5</v>
      </c>
      <c r="E34" s="101" t="s">
        <v>121</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5">
      <c r="A35" s="210" t="s">
        <v>194</v>
      </c>
      <c r="B35" s="78"/>
      <c r="C35" s="78"/>
      <c r="D35" s="100">
        <f>'Customer Info'!$B$22+'Customer Info'!$B$23-'Customer Info'!$B$24</f>
        <v>0</v>
      </c>
      <c r="E35" s="101" t="s">
        <v>41</v>
      </c>
      <c r="F35" s="102" t="s">
        <v>8</v>
      </c>
      <c r="G35" s="103">
        <f>'Rider Rates'!B24</f>
        <v>6.7849999999999994E-2</v>
      </c>
      <c r="H35" s="103"/>
      <c r="I35" s="103"/>
      <c r="J35" s="237">
        <f>SUM(G35:H35)</f>
        <v>6.7849999999999994E-2</v>
      </c>
      <c r="K35" s="104" t="s">
        <v>42</v>
      </c>
      <c r="L35" s="105">
        <f>ROUND(D35*G35,2)</f>
        <v>0</v>
      </c>
      <c r="M35" s="105"/>
      <c r="N35" s="105"/>
      <c r="O35" s="105">
        <f t="shared" si="0"/>
        <v>0</v>
      </c>
      <c r="P35" s="245">
        <f>'Rider Rates'!$D$23</f>
        <v>45444</v>
      </c>
    </row>
    <row r="36" spans="1:221" x14ac:dyDescent="0.25">
      <c r="A36" s="241" t="s">
        <v>161</v>
      </c>
      <c r="B36" s="78"/>
      <c r="C36" s="78"/>
      <c r="D36" s="100">
        <f>'Customer Info'!$B$22+'Customer Info'!$B$23-'Customer Info'!$B$24</f>
        <v>0</v>
      </c>
      <c r="E36" s="101" t="s">
        <v>41</v>
      </c>
      <c r="F36" s="102" t="s">
        <v>8</v>
      </c>
      <c r="G36" s="103">
        <f>'Rider Rates'!$B$42</f>
        <v>2.14E-3</v>
      </c>
      <c r="H36" s="103"/>
      <c r="I36" s="103"/>
      <c r="J36" s="237">
        <f>SUM(G36:H36)</f>
        <v>2.14E-3</v>
      </c>
      <c r="K36" s="104" t="s">
        <v>42</v>
      </c>
      <c r="L36" s="105">
        <f>ROUND(D36*G36,2)</f>
        <v>0</v>
      </c>
      <c r="M36" s="105"/>
      <c r="N36" s="105"/>
      <c r="O36" s="105">
        <f t="shared" si="0"/>
        <v>0</v>
      </c>
      <c r="P36" s="245">
        <f>'Rider Rates'!$D$42</f>
        <v>45444</v>
      </c>
    </row>
    <row r="37" spans="1:221" x14ac:dyDescent="0.25">
      <c r="A37" s="210" t="s">
        <v>201</v>
      </c>
      <c r="B37" s="78"/>
      <c r="C37" s="78"/>
      <c r="D37" s="100">
        <f>'Customer Info'!$B$22+'Customer Info'!$B$23-'Customer Info'!$B$24</f>
        <v>0</v>
      </c>
      <c r="E37" s="101" t="s">
        <v>41</v>
      </c>
      <c r="F37" s="102" t="s">
        <v>8</v>
      </c>
      <c r="G37" s="103">
        <f>'Rider Rates'!$B$49</f>
        <v>-1.2408E-3</v>
      </c>
      <c r="H37" s="103"/>
      <c r="I37" s="103"/>
      <c r="J37" s="237">
        <f>SUM(G37:H37)</f>
        <v>-1.2408E-3</v>
      </c>
      <c r="K37" s="104" t="s">
        <v>42</v>
      </c>
      <c r="L37" s="105">
        <f>ROUND(D37*G37,2)</f>
        <v>0</v>
      </c>
      <c r="M37" s="105"/>
      <c r="N37" s="105"/>
      <c r="O37" s="105">
        <f t="shared" si="0"/>
        <v>0</v>
      </c>
      <c r="P37" s="245">
        <f>'Rider Rates'!$D$49</f>
        <v>45562</v>
      </c>
    </row>
    <row r="38" spans="1:221" x14ac:dyDescent="0.25">
      <c r="A38" s="241" t="s">
        <v>218</v>
      </c>
      <c r="B38" s="78"/>
      <c r="C38" s="78"/>
      <c r="D38" s="1">
        <f>IF($C$16&lt;0,0,IF($C$16&gt;833000,833000,$C$16))</f>
        <v>0</v>
      </c>
      <c r="E38" s="101" t="s">
        <v>41</v>
      </c>
      <c r="F38" s="102" t="s">
        <v>8</v>
      </c>
      <c r="G38" s="103"/>
      <c r="H38" s="103"/>
      <c r="I38" s="103">
        <f>'Rider Rates'!D53</f>
        <v>1.8006999999999999E-3</v>
      </c>
      <c r="J38" s="103">
        <f>SUM(G38:I38)</f>
        <v>1.8006999999999999E-3</v>
      </c>
      <c r="K38" s="104" t="s">
        <v>42</v>
      </c>
      <c r="L38" s="105"/>
      <c r="M38" s="105"/>
      <c r="N38" s="87">
        <f>D38*J38</f>
        <v>0</v>
      </c>
      <c r="O38" s="105">
        <f t="shared" si="0"/>
        <v>0</v>
      </c>
      <c r="P38" s="245">
        <f>'Rider Rates'!E53</f>
        <v>45474</v>
      </c>
    </row>
    <row r="39" spans="1:221" x14ac:dyDescent="0.25">
      <c r="A39" s="210" t="s">
        <v>197</v>
      </c>
      <c r="B39" s="78"/>
      <c r="C39" s="78"/>
      <c r="D39" s="1">
        <f>IF($C$16&lt;0,0,$C$16)</f>
        <v>0</v>
      </c>
      <c r="E39" s="113" t="s">
        <v>41</v>
      </c>
      <c r="F39" s="102" t="s">
        <v>8</v>
      </c>
      <c r="G39" s="103"/>
      <c r="H39" s="103">
        <f>'Rider Rates'!G60</f>
        <v>3.2698999999999999E-2</v>
      </c>
      <c r="I39" s="103"/>
      <c r="J39" s="103">
        <f>SUM(G39:I39)</f>
        <v>3.2698999999999999E-2</v>
      </c>
      <c r="K39" s="104" t="s">
        <v>42</v>
      </c>
      <c r="L39" s="105"/>
      <c r="M39" s="105">
        <f>ROUND(D39*H39,2)</f>
        <v>0</v>
      </c>
      <c r="N39" s="205"/>
      <c r="O39" s="105">
        <f t="shared" si="0"/>
        <v>0</v>
      </c>
      <c r="P39" s="245">
        <f>'Rider Rates'!H60</f>
        <v>45383</v>
      </c>
    </row>
    <row r="40" spans="1:221" x14ac:dyDescent="0.25">
      <c r="A40" s="99" t="s">
        <v>82</v>
      </c>
      <c r="B40" s="78"/>
      <c r="C40" s="78"/>
      <c r="D40" s="1">
        <f>IF('Customer Info'!C35=TRUE,0,IF($C$16&lt;0,0,$C$16))</f>
        <v>0</v>
      </c>
      <c r="E40" s="101" t="s">
        <v>41</v>
      </c>
      <c r="F40" s="102" t="s">
        <v>8</v>
      </c>
      <c r="G40" s="103"/>
      <c r="H40" s="103"/>
      <c r="I40" s="103">
        <f>'Rider Rates'!$B$75+'Rider Rates'!$C$75</f>
        <v>0</v>
      </c>
      <c r="J40" s="103">
        <f>SUM(G40:I40)</f>
        <v>0</v>
      </c>
      <c r="K40" s="104" t="s">
        <v>42</v>
      </c>
      <c r="L40" s="105"/>
      <c r="M40" s="105"/>
      <c r="N40" s="87">
        <f>ROUND($D$40*'Rider Rates'!$B$75,2)+ROUND($D$40*'Rider Rates'!$C$75,2)</f>
        <v>0</v>
      </c>
      <c r="O40" s="209">
        <f t="shared" si="0"/>
        <v>0</v>
      </c>
      <c r="P40" s="245">
        <f>'Rider Rates'!$D$75</f>
        <v>44531</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5">
      <c r="A41" s="99" t="s">
        <v>80</v>
      </c>
      <c r="B41" s="78"/>
      <c r="C41" s="78"/>
      <c r="D41" s="208">
        <f>$N$25</f>
        <v>138.5</v>
      </c>
      <c r="E41" s="101" t="s">
        <v>121</v>
      </c>
      <c r="F41" s="102" t="s">
        <v>8</v>
      </c>
      <c r="G41" s="111"/>
      <c r="H41" s="112"/>
      <c r="I41" s="120">
        <f>'Rider Rates'!$B$89</f>
        <v>4.94232E-2</v>
      </c>
      <c r="J41" s="120">
        <f>SUM(H41:I41)</f>
        <v>4.94232E-2</v>
      </c>
      <c r="K41" s="104"/>
      <c r="L41" s="105"/>
      <c r="M41" s="105"/>
      <c r="N41" s="105">
        <f>ROUND(N$25*I41,2)</f>
        <v>6.85</v>
      </c>
      <c r="O41" s="209">
        <f t="shared" si="0"/>
        <v>6.85</v>
      </c>
      <c r="P41" s="245">
        <f>'Rider Rates'!$D$89</f>
        <v>45562</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5">
      <c r="A42" s="99" t="s">
        <v>81</v>
      </c>
      <c r="B42" s="78"/>
      <c r="C42" s="78"/>
      <c r="D42" s="208">
        <f>$N$25</f>
        <v>138.5</v>
      </c>
      <c r="E42" s="101" t="s">
        <v>121</v>
      </c>
      <c r="F42" s="102" t="s">
        <v>8</v>
      </c>
      <c r="G42" s="114"/>
      <c r="H42" s="115"/>
      <c r="I42" s="120">
        <f>'Rider Rates'!$B$91</f>
        <v>6.6985699999999995E-2</v>
      </c>
      <c r="J42" s="120">
        <f>SUM(H42:I42)</f>
        <v>6.6985699999999995E-2</v>
      </c>
      <c r="K42" s="104"/>
      <c r="L42" s="105"/>
      <c r="M42" s="105"/>
      <c r="N42" s="105">
        <f>ROUND(N$25*I42,2)</f>
        <v>9.2799999999999994</v>
      </c>
      <c r="O42" s="209">
        <f t="shared" si="0"/>
        <v>9.2799999999999994</v>
      </c>
      <c r="P42" s="245">
        <f>'Rider Rates'!$D$91</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5">
      <c r="A43" s="210" t="s">
        <v>214</v>
      </c>
      <c r="B43" s="78"/>
      <c r="C43" s="78"/>
      <c r="D43" s="195"/>
      <c r="E43" s="113" t="s">
        <v>114</v>
      </c>
      <c r="F43" s="106"/>
      <c r="G43" s="114"/>
      <c r="H43" s="115"/>
      <c r="I43" s="196">
        <f>'Rider Rates'!$B$95</f>
        <v>17.12</v>
      </c>
      <c r="J43" s="196">
        <f>SUM(G43:I43)</f>
        <v>17.12</v>
      </c>
      <c r="K43" s="104"/>
      <c r="L43" s="105"/>
      <c r="M43" s="105"/>
      <c r="N43" s="105">
        <f>I43</f>
        <v>17.12</v>
      </c>
      <c r="O43" s="105">
        <f>SUM(L43:N43)</f>
        <v>17.12</v>
      </c>
      <c r="P43" s="245">
        <f>'Rider Rates'!$D$95</f>
        <v>45562</v>
      </c>
    </row>
    <row r="44" spans="1:221" x14ac:dyDescent="0.25">
      <c r="A44" s="241" t="s">
        <v>261</v>
      </c>
      <c r="B44" s="78"/>
      <c r="C44" s="78"/>
      <c r="D44" s="1">
        <f>$D$29</f>
        <v>0</v>
      </c>
      <c r="E44" s="101" t="s">
        <v>41</v>
      </c>
      <c r="F44" s="102" t="s">
        <v>8</v>
      </c>
      <c r="G44" s="103"/>
      <c r="H44" s="103"/>
      <c r="I44" s="103"/>
      <c r="J44" s="103">
        <f>'Rider Rates'!$B$100</f>
        <v>0</v>
      </c>
      <c r="K44" s="104" t="s">
        <v>42</v>
      </c>
      <c r="L44" s="105"/>
      <c r="M44" s="105"/>
      <c r="N44" s="87"/>
      <c r="O44" s="105">
        <f>ROUND($D44*('Rider Rates'!B$100),2)</f>
        <v>0</v>
      </c>
      <c r="P44" s="245">
        <f>'Rider Rates'!$D$100</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41" t="s">
        <v>262</v>
      </c>
      <c r="B45" s="78"/>
      <c r="C45" s="78"/>
      <c r="D45" s="1">
        <f>$D$30</f>
        <v>0</v>
      </c>
      <c r="E45" s="101" t="s">
        <v>41</v>
      </c>
      <c r="F45" s="102" t="s">
        <v>8</v>
      </c>
      <c r="G45" s="103"/>
      <c r="H45" s="103"/>
      <c r="I45" s="103"/>
      <c r="J45" s="103">
        <f>'Rider Rates'!$B$101</f>
        <v>0</v>
      </c>
      <c r="K45" s="104" t="s">
        <v>42</v>
      </c>
      <c r="L45" s="105"/>
      <c r="M45" s="105"/>
      <c r="N45" s="87"/>
      <c r="O45" s="105">
        <f>ROUND($D45*('Rider Rates'!B$101),2)</f>
        <v>0</v>
      </c>
      <c r="P45" s="245">
        <f>'Rider Rates'!$D$101</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208">
        <f>$N$25</f>
        <v>138.5</v>
      </c>
      <c r="E46" s="101" t="s">
        <v>121</v>
      </c>
      <c r="F46" s="102" t="s">
        <v>8</v>
      </c>
      <c r="G46" s="114"/>
      <c r="H46" s="115"/>
      <c r="I46" s="120">
        <f>'Rider Rates'!$B$109</f>
        <v>0.211176</v>
      </c>
      <c r="J46" s="120">
        <f>SUM(H46:I46)</f>
        <v>0.211176</v>
      </c>
      <c r="K46" s="104"/>
      <c r="L46" s="105"/>
      <c r="M46" s="105"/>
      <c r="N46" s="105">
        <f>ROUND(N$25*I46,2)</f>
        <v>29.25</v>
      </c>
      <c r="O46" s="105">
        <f t="shared" si="0"/>
        <v>29.25</v>
      </c>
      <c r="P46" s="245">
        <f>'Rider Rates'!$D$109</f>
        <v>45532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217</v>
      </c>
      <c r="B47" s="78"/>
      <c r="C47" s="78"/>
      <c r="D47" s="195"/>
      <c r="E47" s="113" t="s">
        <v>114</v>
      </c>
      <c r="F47" s="106"/>
      <c r="G47" s="114"/>
      <c r="H47" s="115"/>
      <c r="I47" s="196">
        <f>'Rider Rates'!$B$113</f>
        <v>0</v>
      </c>
      <c r="J47" s="196">
        <f>SUM(G47:I47)</f>
        <v>0</v>
      </c>
      <c r="K47" s="104"/>
      <c r="L47" s="105"/>
      <c r="M47" s="105"/>
      <c r="N47" s="105">
        <f>I47</f>
        <v>0</v>
      </c>
      <c r="O47" s="105">
        <f t="shared" ref="O47:O52" si="1">SUM(L47:N47)</f>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225</v>
      </c>
      <c r="B48" s="78"/>
      <c r="C48" s="78"/>
      <c r="D48" s="195"/>
      <c r="E48" s="113" t="s">
        <v>114</v>
      </c>
      <c r="F48" s="106"/>
      <c r="G48" s="114"/>
      <c r="H48" s="115"/>
      <c r="I48" s="258">
        <f>'Rider Rates'!B126</f>
        <v>4.84</v>
      </c>
      <c r="J48" s="196">
        <f>SUM(G48:I48)</f>
        <v>4.84</v>
      </c>
      <c r="K48" s="104"/>
      <c r="L48" s="105"/>
      <c r="M48" s="105"/>
      <c r="N48" s="260">
        <f>I48</f>
        <v>4.84</v>
      </c>
      <c r="O48" s="105">
        <f t="shared" si="1"/>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99" t="s">
        <v>157</v>
      </c>
      <c r="B49" s="78"/>
      <c r="C49" s="78"/>
      <c r="D49" s="100">
        <f>'Customer Info'!$B$22+'Customer Info'!$B$23-'Customer Info'!$B$24</f>
        <v>0</v>
      </c>
      <c r="E49" s="101" t="s">
        <v>41</v>
      </c>
      <c r="F49" s="102" t="s">
        <v>8</v>
      </c>
      <c r="G49" s="103">
        <f>'Rider Rates'!$B$117</f>
        <v>3.7618E-3</v>
      </c>
      <c r="H49" s="103"/>
      <c r="I49" s="120"/>
      <c r="J49" s="237">
        <f>SUM(G49:H49)</f>
        <v>3.7618E-3</v>
      </c>
      <c r="K49" s="104" t="s">
        <v>42</v>
      </c>
      <c r="L49" s="105">
        <f>ROUND(D49*G49,2)</f>
        <v>0</v>
      </c>
      <c r="M49" s="105"/>
      <c r="N49" s="105"/>
      <c r="O49" s="105">
        <f t="shared" si="1"/>
        <v>0</v>
      </c>
      <c r="P49" s="245">
        <f>'Rider Rates'!$D$117</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216</v>
      </c>
      <c r="B50" s="78"/>
      <c r="C50" s="78"/>
      <c r="D50" s="1">
        <f>IF($C$16&lt;1,0,$C$16)</f>
        <v>0</v>
      </c>
      <c r="E50" s="101" t="s">
        <v>41</v>
      </c>
      <c r="F50" s="249" t="s">
        <v>8</v>
      </c>
      <c r="G50" s="165"/>
      <c r="H50" s="165"/>
      <c r="I50" s="251">
        <f>'Rider Rates'!B122</f>
        <v>-6.2E-4</v>
      </c>
      <c r="J50" s="251">
        <f>SUM(G50:I50)</f>
        <v>-6.2E-4</v>
      </c>
      <c r="K50" s="104" t="s">
        <v>42</v>
      </c>
      <c r="L50" s="105"/>
      <c r="M50" s="105"/>
      <c r="N50" s="105">
        <f>D50*I50</f>
        <v>0</v>
      </c>
      <c r="O50" s="105">
        <f t="shared" si="1"/>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241</v>
      </c>
      <c r="B51" s="78"/>
      <c r="C51" s="78"/>
      <c r="D51" s="100">
        <f>IF(C16&lt;0,0,IF(C16&gt;833000,833000,C16))</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 t="shared" si="1"/>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242</v>
      </c>
      <c r="B52" s="78"/>
      <c r="C52" s="78"/>
      <c r="D52" s="123">
        <f>IF(C16&gt;833000,C16-833000,0)</f>
        <v>0</v>
      </c>
      <c r="E52" s="101" t="s">
        <v>41</v>
      </c>
      <c r="F52" s="102" t="s">
        <v>8</v>
      </c>
      <c r="G52" s="265"/>
      <c r="H52" s="265"/>
      <c r="I52" s="265">
        <f>'Rider Rates'!$B$131</f>
        <v>0</v>
      </c>
      <c r="J52" s="265">
        <f>SUM(G52:I52)</f>
        <v>0</v>
      </c>
      <c r="K52" s="104" t="s">
        <v>42</v>
      </c>
      <c r="L52" s="266"/>
      <c r="M52" s="266"/>
      <c r="N52" s="266">
        <f>D52*J52</f>
        <v>0</v>
      </c>
      <c r="O52" s="266">
        <f t="shared" si="1"/>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250</v>
      </c>
      <c r="B53" s="78"/>
      <c r="C53" s="78"/>
      <c r="D53" s="100">
        <f>D16</f>
        <v>0</v>
      </c>
      <c r="E53" s="101" t="s">
        <v>41</v>
      </c>
      <c r="F53" s="249" t="s">
        <v>8</v>
      </c>
      <c r="G53" s="103"/>
      <c r="H53" s="103"/>
      <c r="I53" s="103">
        <f>'Rider Rates'!$B$137</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179" t="s">
        <v>70</v>
      </c>
      <c r="B56" s="148"/>
      <c r="C56" s="148"/>
      <c r="D56" s="180"/>
      <c r="E56" s="181"/>
      <c r="F56" s="182"/>
      <c r="G56" s="182"/>
      <c r="H56" s="182"/>
      <c r="I56" s="182"/>
      <c r="J56" s="182"/>
      <c r="K56" s="183"/>
      <c r="L56" s="169">
        <f>SUM(L29:L55)</f>
        <v>0</v>
      </c>
      <c r="M56" s="169">
        <f>SUM(M29:M55)</f>
        <v>0</v>
      </c>
      <c r="N56" s="169">
        <f>SUM(N29:N55)</f>
        <v>67.34</v>
      </c>
      <c r="O56" s="169">
        <f>SUM(O29:O55)</f>
        <v>67.34</v>
      </c>
      <c r="P56" s="184"/>
    </row>
    <row r="57" spans="1:221" x14ac:dyDescent="0.25">
      <c r="A57" s="37"/>
      <c r="D57" s="1"/>
      <c r="E57" s="35"/>
      <c r="F57" s="4"/>
      <c r="G57" s="42"/>
      <c r="H57" s="42"/>
      <c r="I57" s="42"/>
      <c r="J57" s="42"/>
      <c r="K57" s="36"/>
      <c r="L57" s="36"/>
      <c r="M57" s="36"/>
      <c r="N57" s="36"/>
      <c r="O57" s="34"/>
      <c r="P57" s="36"/>
    </row>
    <row r="58" spans="1:221" x14ac:dyDescent="0.25">
      <c r="A58" s="269" t="s">
        <v>71</v>
      </c>
      <c r="B58" s="92"/>
      <c r="C58" s="92"/>
      <c r="D58" s="92"/>
      <c r="E58" s="92"/>
      <c r="F58" s="92"/>
      <c r="G58" s="92"/>
      <c r="H58" s="92"/>
      <c r="I58" s="92"/>
      <c r="J58" s="92"/>
      <c r="K58" s="92"/>
      <c r="L58" s="98">
        <f>L25+L56</f>
        <v>0</v>
      </c>
      <c r="M58" s="98">
        <f>M25+M56</f>
        <v>0</v>
      </c>
      <c r="N58" s="98">
        <f>N25+N56</f>
        <v>205.84</v>
      </c>
      <c r="O58" s="98">
        <f>O25+O56</f>
        <v>205.84</v>
      </c>
      <c r="P58" s="98"/>
    </row>
    <row r="59" spans="1:221" x14ac:dyDescent="0.25">
      <c r="A59" s="37"/>
      <c r="B59" s="37"/>
      <c r="C59" s="37"/>
      <c r="D59" s="37"/>
      <c r="E59" s="37"/>
      <c r="F59" s="37"/>
      <c r="G59" s="37"/>
      <c r="H59" s="37"/>
      <c r="I59" s="37"/>
      <c r="J59" s="37"/>
      <c r="K59" s="37"/>
      <c r="L59" s="37"/>
      <c r="M59" s="37"/>
      <c r="N59" s="37"/>
      <c r="O59" s="40"/>
      <c r="P59" s="40"/>
    </row>
    <row r="60" spans="1:221" x14ac:dyDescent="0.25">
      <c r="A60" s="37" t="s">
        <v>37</v>
      </c>
      <c r="B60" s="37"/>
      <c r="C60" s="37"/>
      <c r="D60" s="37"/>
      <c r="E60" s="37"/>
      <c r="F60" s="37"/>
      <c r="G60" s="37"/>
      <c r="H60" s="37"/>
      <c r="I60" s="37"/>
      <c r="J60" s="37"/>
      <c r="K60" s="37"/>
      <c r="L60" s="37"/>
      <c r="M60" s="37"/>
      <c r="N60" s="37"/>
      <c r="O60" s="45">
        <f>O23+O56</f>
        <v>205.84</v>
      </c>
      <c r="P60" s="245">
        <v>40967</v>
      </c>
    </row>
    <row r="61" spans="1:221" x14ac:dyDescent="0.25">
      <c r="A61" s="37"/>
      <c r="B61" s="37"/>
      <c r="C61" s="37"/>
      <c r="D61" s="37"/>
      <c r="E61" s="37"/>
      <c r="F61" s="37"/>
      <c r="G61" s="46"/>
      <c r="H61" s="46"/>
      <c r="I61" s="46"/>
      <c r="J61" s="46"/>
      <c r="K61" s="36"/>
      <c r="L61" s="36"/>
      <c r="M61" s="36"/>
      <c r="N61" s="36"/>
      <c r="O61" s="40"/>
    </row>
    <row r="62" spans="1:221" x14ac:dyDescent="0.25">
      <c r="A62" s="41" t="s">
        <v>116</v>
      </c>
      <c r="B62" s="37"/>
      <c r="C62" s="37"/>
      <c r="D62" s="37"/>
      <c r="E62" s="37"/>
      <c r="F62" s="37"/>
      <c r="G62" s="46"/>
      <c r="H62" s="46"/>
      <c r="I62" s="46"/>
      <c r="J62" s="46"/>
      <c r="K62" s="36"/>
      <c r="L62" s="36"/>
      <c r="M62" s="36"/>
      <c r="N62" s="36"/>
      <c r="O62" s="138">
        <f>MAX($O$58,$O$60)</f>
        <v>205.84</v>
      </c>
    </row>
    <row r="63" spans="1:221" x14ac:dyDescent="0.25">
      <c r="A63" s="37"/>
      <c r="B63" s="37"/>
      <c r="C63" s="37"/>
      <c r="D63" s="37"/>
      <c r="E63" s="37"/>
      <c r="F63" s="37"/>
      <c r="G63" s="46"/>
      <c r="H63" s="46"/>
      <c r="I63" s="46"/>
      <c r="J63" s="46"/>
      <c r="K63" s="36"/>
      <c r="L63" s="36"/>
      <c r="M63" s="36"/>
      <c r="N63" s="36"/>
      <c r="O63" s="40"/>
    </row>
    <row r="64" spans="1:221" x14ac:dyDescent="0.25">
      <c r="A64" s="37"/>
      <c r="B64" s="37"/>
      <c r="C64" s="37"/>
      <c r="D64" s="37"/>
      <c r="E64" s="37"/>
      <c r="F64" s="37"/>
      <c r="G64" s="96" t="s">
        <v>85</v>
      </c>
      <c r="H64" s="46"/>
      <c r="I64" s="37"/>
      <c r="J64" s="46"/>
      <c r="K64" s="36"/>
      <c r="L64" s="191"/>
      <c r="M64" s="191"/>
      <c r="N64" s="191"/>
      <c r="O64" s="191">
        <f>ROUND(IF($C$16&lt;1,0,$O$62/($C$16*100)*10000),2)</f>
        <v>0</v>
      </c>
      <c r="P64" s="37" t="s">
        <v>86</v>
      </c>
    </row>
    <row r="65" spans="1:16" x14ac:dyDescent="0.25">
      <c r="A65" s="37"/>
      <c r="B65" s="37"/>
      <c r="C65" s="37"/>
      <c r="D65" s="37"/>
      <c r="E65" s="37"/>
      <c r="F65" s="37"/>
      <c r="G65" s="242" t="s">
        <v>198</v>
      </c>
      <c r="H65" s="136"/>
      <c r="I65" s="133"/>
      <c r="J65" s="136"/>
      <c r="K65" s="137"/>
      <c r="L65" s="78"/>
      <c r="M65" s="78"/>
      <c r="N65" s="78"/>
      <c r="O65" s="243">
        <f>ROUND(IF($C$16&lt;1,0,(L58)/($C$16*100)*10000),2)</f>
        <v>0</v>
      </c>
      <c r="P65" s="25" t="s">
        <v>86</v>
      </c>
    </row>
    <row r="66" spans="1:16" x14ac:dyDescent="0.25">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Info'!$C$33=TRUE,"Notice: Billing Charge does not include Self Assessed KWH Tax"," ")</f>
        <v xml:space="preserve"> </v>
      </c>
      <c r="E67" s="3"/>
      <c r="F67" s="4"/>
      <c r="G67" s="121"/>
      <c r="H67" s="55"/>
      <c r="I67" s="34"/>
      <c r="J67" s="55"/>
      <c r="K67" s="37"/>
      <c r="L67" s="37"/>
      <c r="M67" s="37"/>
      <c r="N67" s="34"/>
    </row>
    <row r="68" spans="1:16" x14ac:dyDescent="0.25">
      <c r="A68" s="37"/>
      <c r="B68" s="37"/>
      <c r="C68" s="37"/>
      <c r="D68" s="54"/>
      <c r="E68" s="3"/>
      <c r="F68" s="4"/>
      <c r="G68" s="55"/>
      <c r="H68" s="55"/>
      <c r="I68" s="93"/>
      <c r="J68" s="55"/>
      <c r="K68" s="37"/>
      <c r="L68" s="37"/>
      <c r="M68" s="37"/>
      <c r="N68" s="37"/>
      <c r="O68" s="40"/>
    </row>
    <row r="69" spans="1:16" x14ac:dyDescent="0.25">
      <c r="A69" s="37"/>
      <c r="B69" s="37"/>
      <c r="C69" s="37"/>
      <c r="D69" s="54"/>
      <c r="E69" s="3"/>
      <c r="F69" s="4"/>
      <c r="G69" s="55"/>
      <c r="H69" s="55"/>
      <c r="I69" s="55"/>
      <c r="J69" s="55"/>
      <c r="K69" s="37"/>
      <c r="L69" s="37"/>
      <c r="M69" s="37"/>
      <c r="N69" s="37"/>
      <c r="O69" s="40"/>
    </row>
    <row r="70" spans="1:16" x14ac:dyDescent="0.25">
      <c r="A70" s="41"/>
      <c r="B70" s="37"/>
      <c r="C70" s="37"/>
      <c r="D70" s="37"/>
      <c r="E70" s="37"/>
      <c r="F70" s="37"/>
      <c r="G70" s="37"/>
      <c r="H70" s="37"/>
      <c r="J70" s="37"/>
      <c r="K70" s="37"/>
      <c r="L70" s="40"/>
      <c r="M70" s="40"/>
      <c r="N70" s="40"/>
      <c r="O70" s="138"/>
    </row>
    <row r="71" spans="1:16" x14ac:dyDescent="0.25">
      <c r="B71" s="37"/>
      <c r="C71" s="37"/>
      <c r="D71" s="37"/>
      <c r="E71" s="37"/>
      <c r="F71" s="37"/>
      <c r="G71" s="96"/>
      <c r="H71" s="37"/>
      <c r="I71" s="37"/>
      <c r="J71" s="37"/>
      <c r="K71" s="37"/>
      <c r="L71" s="60"/>
      <c r="M71" s="60"/>
      <c r="N71" s="60"/>
      <c r="O71" s="130"/>
      <c r="P71" s="37"/>
    </row>
    <row r="72" spans="1:16" x14ac:dyDescent="0.25">
      <c r="G72" s="133"/>
      <c r="H72" s="56"/>
      <c r="I72" s="133"/>
      <c r="J72" s="56"/>
      <c r="K72" s="56"/>
      <c r="L72" s="134"/>
      <c r="M72" s="134"/>
      <c r="N72" s="134"/>
      <c r="O72" s="135"/>
      <c r="P72" s="25"/>
    </row>
    <row r="74" spans="1:16" x14ac:dyDescent="0.25">
      <c r="A74" s="550"/>
    </row>
    <row r="75" spans="1:16" x14ac:dyDescent="0.25">
      <c r="A75" s="550"/>
    </row>
    <row r="76" spans="1:16" x14ac:dyDescent="0.25">
      <c r="A76" s="550"/>
    </row>
    <row r="77" spans="1:16" x14ac:dyDescent="0.25">
      <c r="A77" s="550"/>
    </row>
    <row r="78" spans="1:16" x14ac:dyDescent="0.25">
      <c r="A78" s="550"/>
    </row>
    <row r="79" spans="1:16" x14ac:dyDescent="0.25">
      <c r="A79" s="550"/>
    </row>
    <row r="80" spans="1:1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sheetData>
  <sheetProtection password="D7E1"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Button 1">
              <controlPr defaultSize="0" print="0" autoFill="0" autoPict="0" macro="[0]!Info">
                <anchor moveWithCells="1">
                  <from>
                    <xdr:col>0</xdr:col>
                    <xdr:colOff>30480</xdr:colOff>
                    <xdr:row>0</xdr:row>
                    <xdr:rowOff>30480</xdr:rowOff>
                  </from>
                  <to>
                    <xdr:col>0</xdr:col>
                    <xdr:colOff>373380</xdr:colOff>
                    <xdr:row>1</xdr:row>
                    <xdr:rowOff>30480</xdr:rowOff>
                  </to>
                </anchor>
              </controlPr>
            </control>
          </mc:Choice>
        </mc:AlternateContent>
        <mc:AlternateContent xmlns:mc="http://schemas.openxmlformats.org/markup-compatibility/2006">
          <mc:Choice Requires="x14">
            <control shapeId="94210" r:id="rId5" name="Button 2">
              <controlPr defaultSize="0" print="0" autoFill="0" autoPict="0" macro="[0]!Info">
                <anchor moveWithCells="1">
                  <from>
                    <xdr:col>15</xdr:col>
                    <xdr:colOff>274320</xdr:colOff>
                    <xdr:row>82</xdr:row>
                    <xdr:rowOff>45720</xdr:rowOff>
                  </from>
                  <to>
                    <xdr:col>16</xdr:col>
                    <xdr:colOff>30480</xdr:colOff>
                    <xdr:row>83</xdr:row>
                    <xdr:rowOff>83820</xdr:rowOff>
                  </to>
                </anchor>
              </controlPr>
            </control>
          </mc:Choice>
        </mc:AlternateContent>
        <mc:AlternateContent xmlns:mc="http://schemas.openxmlformats.org/markup-compatibility/2006">
          <mc:Choice Requires="x14">
            <control shapeId="94211"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94212"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94213" r:id="rId8" name="Button 5">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94214" r:id="rId9" name="Button 6">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94215" r:id="rId10" name="Button 7">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94216" r:id="rId11" name="Button 8">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94217" r:id="rId12" name="Button 9">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94218" r:id="rId13" name="Button 10">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94219" r:id="rId14" name="Button 11">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94220" r:id="rId15" name="Button 12">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94221" r:id="rId16" name="Button 13">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94222" r:id="rId17" name="Button 14">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94223" r:id="rId18" name="Button 15">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94224" r:id="rId19" name="Button 16">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94225" r:id="rId20" name="Button 17">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94226" r:id="rId21" name="Button 18">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94227" r:id="rId22" name="Button 19">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94228" r:id="rId23" name="Button 20">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94229" r:id="rId24" name="Button 21">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94230" r:id="rId25" name="Button 22">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94231" r:id="rId26" name="Button 23">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94232" r:id="rId27" name="Button 24">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94233" r:id="rId28" name="Button 25">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94234" r:id="rId29" name="Button 26">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94235" r:id="rId30" name="Button 27">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94236" r:id="rId31" name="Button 28">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94237" r:id="rId32" name="Button 29">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94238" r:id="rId33" name="Button 30">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94239" r:id="rId34" name="Button 31">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94240" r:id="rId35" name="Button 32">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94241" r:id="rId36" name="Button 33">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94242" r:id="rId37" name="Button 34">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94243" r:id="rId38" name="Button 35">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94244" r:id="rId39" name="Button 36">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94245" r:id="rId40" name="Button 37">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94246" r:id="rId41" name="Button 38">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94247" r:id="rId42" name="Button 39">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94248" r:id="rId43" name="Button 40">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94249" r:id="rId44" name="Button 41">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94250" r:id="rId45" name="Button 42">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94251" r:id="rId46" name="Button 43">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94252" r:id="rId47" name="Button 44">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94253" r:id="rId48" name="Button 45">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94254" r:id="rId49" name="Button 46">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94255" r:id="rId50" name="Button 47">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94256" r:id="rId51" name="Button 48">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94257" r:id="rId52" name="Button 49">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94258" r:id="rId53" name="Button 50">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94259" r:id="rId54" name="Button 51">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94260" r:id="rId55" name="Button 52">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94261" r:id="rId56" name="Button 53">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94262" r:id="rId57" name="Button 54">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94263" r:id="rId58" name="Button 55">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94264" r:id="rId59" name="Button 56">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94265" r:id="rId60" name="Button 57">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94266" r:id="rId61" name="Button 58">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3C7D-4994-41C9-94A3-ACBE6074D38D}">
  <sheetPr codeName="Sheet11"/>
  <dimension ref="A1:IB66"/>
  <sheetViews>
    <sheetView topLeftCell="A23" zoomScale="85" zoomScaleNormal="85" workbookViewId="0">
      <selection activeCell="J62" sqref="J62"/>
    </sheetView>
  </sheetViews>
  <sheetFormatPr defaultColWidth="8.5546875" defaultRowHeight="13.2" x14ac:dyDescent="0.25"/>
  <cols>
    <col min="1" max="1" width="31" style="426" customWidth="1"/>
    <col min="2" max="2" width="2.109375" style="426" customWidth="1"/>
    <col min="3" max="3" width="21.109375" style="426" customWidth="1"/>
    <col min="4" max="4" width="15.44140625" style="426" customWidth="1"/>
    <col min="5" max="5" width="10.109375" style="426" customWidth="1"/>
    <col min="6" max="6" width="5.5546875" style="426" customWidth="1"/>
    <col min="7" max="8" width="13.44140625" style="426" customWidth="1"/>
    <col min="9" max="9" width="14.5546875" style="426" customWidth="1"/>
    <col min="10" max="10" width="13.44140625" style="426" customWidth="1"/>
    <col min="11" max="11" width="7" style="426" customWidth="1"/>
    <col min="12" max="12" width="15.109375" style="426" customWidth="1"/>
    <col min="13" max="13" width="17.44140625" style="426" bestFit="1" customWidth="1"/>
    <col min="14" max="14" width="16.5546875" style="426" customWidth="1"/>
    <col min="15" max="15" width="19.109375" style="426" bestFit="1" customWidth="1"/>
    <col min="16" max="16" width="12.88671875" style="426" bestFit="1" customWidth="1"/>
    <col min="17" max="17" width="8.5546875" style="426"/>
    <col min="18" max="18" width="9.109375" style="426" hidden="1" customWidth="1"/>
    <col min="19" max="26" width="10.44140625" style="426" hidden="1" customWidth="1"/>
    <col min="27" max="27" width="10.5546875" style="426" hidden="1" customWidth="1"/>
    <col min="28" max="30" width="10.44140625" style="426" hidden="1" customWidth="1"/>
    <col min="31" max="16384" width="8.5546875" style="426"/>
  </cols>
  <sheetData>
    <row r="1" spans="1:30" ht="21" x14ac:dyDescent="0.4">
      <c r="A1" s="576" t="s">
        <v>119</v>
      </c>
      <c r="B1" s="576"/>
      <c r="C1" s="576"/>
      <c r="D1" s="576"/>
      <c r="E1" s="576"/>
      <c r="F1" s="576"/>
      <c r="G1" s="576"/>
      <c r="H1" s="576"/>
      <c r="I1" s="576"/>
      <c r="J1" s="576"/>
      <c r="K1" s="576"/>
      <c r="L1" s="576"/>
      <c r="M1" s="576"/>
      <c r="N1" s="576"/>
      <c r="O1" s="576"/>
      <c r="P1" s="576"/>
    </row>
    <row r="2" spans="1:30" ht="21" x14ac:dyDescent="0.4">
      <c r="A2" s="576" t="s">
        <v>122</v>
      </c>
      <c r="B2" s="576"/>
      <c r="C2" s="576"/>
      <c r="D2" s="576"/>
      <c r="E2" s="576"/>
      <c r="F2" s="576"/>
      <c r="G2" s="576"/>
      <c r="H2" s="576"/>
      <c r="I2" s="576"/>
      <c r="J2" s="576"/>
      <c r="K2" s="576"/>
      <c r="L2" s="576"/>
      <c r="M2" s="576"/>
      <c r="N2" s="576"/>
      <c r="O2" s="576"/>
      <c r="P2" s="576"/>
    </row>
    <row r="3" spans="1:30" ht="17.399999999999999" x14ac:dyDescent="0.3">
      <c r="A3" s="577" t="s">
        <v>332</v>
      </c>
      <c r="B3" s="577"/>
      <c r="C3" s="577"/>
      <c r="D3" s="577"/>
      <c r="E3" s="577"/>
      <c r="F3" s="577"/>
      <c r="G3" s="577"/>
      <c r="H3" s="577"/>
      <c r="I3" s="577"/>
      <c r="J3" s="577"/>
      <c r="K3" s="577"/>
      <c r="L3" s="577"/>
      <c r="M3" s="577"/>
      <c r="N3" s="577"/>
      <c r="O3" s="577"/>
      <c r="P3" s="577"/>
    </row>
    <row r="4" spans="1:30" ht="15.6" x14ac:dyDescent="0.3">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5">
      <c r="A5" s="425"/>
      <c r="B5" s="425"/>
      <c r="C5" s="425"/>
      <c r="D5" s="425"/>
      <c r="E5" s="425"/>
      <c r="F5" s="425"/>
      <c r="G5" s="425"/>
      <c r="H5" s="425" t="s">
        <v>335</v>
      </c>
      <c r="I5" s="425"/>
      <c r="J5" s="425"/>
      <c r="K5" s="425"/>
    </row>
    <row r="6" spans="1:30" x14ac:dyDescent="0.25">
      <c r="A6" s="427">
        <f ca="1">TODAY()</f>
        <v>45588</v>
      </c>
      <c r="B6" s="428"/>
      <c r="C6" s="427"/>
      <c r="D6" s="427"/>
      <c r="E6" s="427"/>
      <c r="F6" s="427"/>
      <c r="G6" s="427"/>
      <c r="H6" s="427"/>
      <c r="I6" s="427"/>
    </row>
    <row r="7" spans="1:30" ht="24.6" x14ac:dyDescent="0.4">
      <c r="A7" s="579"/>
      <c r="B7" s="579"/>
      <c r="C7" s="579"/>
      <c r="D7" s="579"/>
      <c r="E7" s="579"/>
      <c r="F7" s="579"/>
      <c r="G7" s="579"/>
      <c r="H7" s="579"/>
      <c r="I7" s="579"/>
      <c r="J7" s="579"/>
      <c r="K7" s="579"/>
      <c r="L7" s="579"/>
      <c r="M7" s="579"/>
      <c r="N7" s="579"/>
      <c r="O7" s="579"/>
      <c r="P7" s="579"/>
    </row>
    <row r="8" spans="1:30" x14ac:dyDescent="0.25">
      <c r="C8" s="429"/>
      <c r="D8" s="429"/>
      <c r="E8" s="429"/>
      <c r="F8" s="429"/>
      <c r="G8" s="429"/>
      <c r="H8" s="429"/>
      <c r="I8" s="429"/>
      <c r="J8" s="429"/>
      <c r="K8" s="429"/>
    </row>
    <row r="9" spans="1:30" ht="15" x14ac:dyDescent="0.25">
      <c r="A9" s="430" t="s">
        <v>2</v>
      </c>
      <c r="B9" s="431"/>
      <c r="C9" s="432">
        <f>'Customer Info'!B7</f>
        <v>0</v>
      </c>
      <c r="I9" s="433"/>
    </row>
    <row r="10" spans="1:30" ht="15" x14ac:dyDescent="0.25">
      <c r="A10" s="434" t="s">
        <v>26</v>
      </c>
      <c r="B10" s="431"/>
      <c r="C10" s="432">
        <f>'Customer Info'!B8</f>
        <v>0</v>
      </c>
    </row>
    <row r="11" spans="1:30" x14ac:dyDescent="0.25">
      <c r="A11" s="430" t="s">
        <v>3</v>
      </c>
      <c r="B11" s="435">
        <f>'Customer Info'!B9</f>
        <v>11</v>
      </c>
      <c r="C11" s="436" t="str">
        <f>LOOKUP(B11,R11:AD11,R12:AD12)</f>
        <v>November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5">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5">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5">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5">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5">
      <c r="A16" s="442" t="s">
        <v>233</v>
      </c>
      <c r="B16" s="442"/>
      <c r="C16" s="443">
        <f>'Customer Info'!B22</f>
        <v>0</v>
      </c>
      <c r="D16" s="442" t="s">
        <v>41</v>
      </c>
      <c r="E16" s="442"/>
      <c r="F16" s="444"/>
      <c r="G16" s="430" t="s">
        <v>15</v>
      </c>
      <c r="H16" s="442"/>
    </row>
    <row r="17" spans="1:221" x14ac:dyDescent="0.25">
      <c r="A17" s="442" t="s">
        <v>234</v>
      </c>
      <c r="B17" s="442"/>
      <c r="C17" s="443">
        <f>'Customer Info'!B23</f>
        <v>0</v>
      </c>
      <c r="D17" s="445" t="s">
        <v>41</v>
      </c>
      <c r="E17" s="444"/>
      <c r="F17" s="444"/>
      <c r="G17" s="430" t="s">
        <v>15</v>
      </c>
      <c r="H17" s="442"/>
      <c r="I17" s="446" t="s">
        <v>15</v>
      </c>
    </row>
    <row r="19" spans="1:221" x14ac:dyDescent="0.25">
      <c r="A19" s="440" t="s">
        <v>31</v>
      </c>
      <c r="B19" s="441"/>
      <c r="C19" s="441"/>
      <c r="D19" s="441"/>
      <c r="E19" s="441"/>
      <c r="F19" s="441"/>
      <c r="G19" s="572" t="s">
        <v>67</v>
      </c>
      <c r="H19" s="573"/>
      <c r="I19" s="573"/>
      <c r="J19" s="574"/>
      <c r="K19" s="441"/>
      <c r="L19" s="575" t="s">
        <v>68</v>
      </c>
      <c r="M19" s="575"/>
      <c r="N19" s="575"/>
      <c r="O19" s="575"/>
    </row>
    <row r="20" spans="1:221" x14ac:dyDescent="0.25">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5">
      <c r="A21" s="426" t="s">
        <v>32</v>
      </c>
      <c r="G21" s="451"/>
      <c r="H21" s="451"/>
      <c r="I21" s="451">
        <f>'Rider Rates'!B148</f>
        <v>9.4</v>
      </c>
      <c r="J21" s="451">
        <f>SUM(G21:I21)</f>
        <v>9.4</v>
      </c>
      <c r="L21" s="452"/>
      <c r="M21" s="452"/>
      <c r="N21" s="452">
        <f>I21</f>
        <v>9.4</v>
      </c>
      <c r="O21" s="453">
        <f>SUM(L21:N21)</f>
        <v>9.4</v>
      </c>
      <c r="P21" s="454">
        <v>44531</v>
      </c>
    </row>
    <row r="22" spans="1:221" x14ac:dyDescent="0.25">
      <c r="A22" s="455" t="s">
        <v>302</v>
      </c>
      <c r="D22" s="456">
        <f>C15</f>
        <v>0</v>
      </c>
      <c r="E22" s="457" t="s">
        <v>41</v>
      </c>
      <c r="F22" s="458" t="s">
        <v>8</v>
      </c>
      <c r="G22" s="459"/>
      <c r="H22" s="459"/>
      <c r="I22" s="459">
        <f>'Rider Rates'!C148</f>
        <v>2.0634799999999998E-2</v>
      </c>
      <c r="J22" s="459">
        <f>SUM(G22:I22)</f>
        <v>2.0634799999999998E-2</v>
      </c>
      <c r="K22" s="460" t="s">
        <v>42</v>
      </c>
      <c r="L22" s="453"/>
      <c r="M22" s="453"/>
      <c r="N22" s="453">
        <f>IF(C15&lt;0,0,ROUND($D22*I22,2))</f>
        <v>0</v>
      </c>
      <c r="O22" s="453">
        <f>SUM(L22:N22)</f>
        <v>0</v>
      </c>
      <c r="P22" s="454">
        <f>'Rider Rates'!H148</f>
        <v>45444</v>
      </c>
    </row>
    <row r="23" spans="1:221" x14ac:dyDescent="0.25">
      <c r="A23" s="461" t="s">
        <v>50</v>
      </c>
      <c r="B23" s="461"/>
      <c r="C23" s="461"/>
      <c r="D23" s="462"/>
      <c r="E23" s="462"/>
      <c r="F23" s="461"/>
      <c r="G23" s="461"/>
      <c r="H23" s="461"/>
      <c r="I23" s="461"/>
      <c r="J23" s="461"/>
      <c r="K23" s="463"/>
      <c r="L23" s="464"/>
      <c r="M23" s="464"/>
      <c r="N23" s="464">
        <f>SUM(N21:N22)</f>
        <v>9.4</v>
      </c>
      <c r="O23" s="464">
        <f>SUM(O21:O22)</f>
        <v>9.4</v>
      </c>
    </row>
    <row r="24" spans="1:221" x14ac:dyDescent="0.25">
      <c r="A24" s="465"/>
      <c r="B24" s="465"/>
      <c r="C24" s="466"/>
      <c r="D24" s="466"/>
      <c r="E24" s="466"/>
      <c r="F24" s="466"/>
      <c r="G24" s="467"/>
      <c r="H24" s="467"/>
      <c r="I24" s="467"/>
      <c r="J24" s="467"/>
      <c r="K24" s="465"/>
      <c r="L24" s="465"/>
      <c r="M24" s="465"/>
      <c r="N24" s="465"/>
      <c r="O24" s="465"/>
      <c r="P24" s="465"/>
    </row>
    <row r="25" spans="1:221" x14ac:dyDescent="0.25">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5">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5">
      <c r="A27" s="473" t="s">
        <v>78</v>
      </c>
      <c r="B27" s="474"/>
      <c r="C27" s="474"/>
      <c r="D27" s="423">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5">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5">
      <c r="A29" s="473" t="s">
        <v>96</v>
      </c>
      <c r="B29" s="429"/>
      <c r="C29" s="429"/>
      <c r="D29" s="423">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5">
      <c r="A30" s="473" t="s">
        <v>97</v>
      </c>
      <c r="B30" s="429"/>
      <c r="C30" s="429"/>
      <c r="D30" s="423">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5">
      <c r="A31" s="473" t="s">
        <v>98</v>
      </c>
      <c r="B31" s="429"/>
      <c r="C31" s="429"/>
      <c r="D31" s="423">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5">
      <c r="A32" s="428" t="s">
        <v>159</v>
      </c>
      <c r="B32" s="429"/>
      <c r="C32" s="429"/>
      <c r="D32" s="423">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5">
      <c r="A33" s="428" t="s">
        <v>245</v>
      </c>
      <c r="B33" s="429"/>
      <c r="C33" s="429"/>
      <c r="D33" s="424">
        <f>$N$23</f>
        <v>9.4</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5">
      <c r="A34" s="428" t="s">
        <v>194</v>
      </c>
      <c r="B34" s="429"/>
      <c r="C34" s="429"/>
      <c r="D34" s="456">
        <f>'Customer Info'!$B$22+'Customer Info'!$B$23-'Customer Info'!$B$24</f>
        <v>0</v>
      </c>
      <c r="E34" s="457" t="s">
        <v>41</v>
      </c>
      <c r="F34" s="458" t="s">
        <v>8</v>
      </c>
      <c r="G34" s="475">
        <f>'Rider Rates'!B22</f>
        <v>7.0209999999999995E-2</v>
      </c>
      <c r="H34" s="475"/>
      <c r="I34" s="475"/>
      <c r="J34" s="478">
        <f>SUM(G34:H34)</f>
        <v>7.0209999999999995E-2</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5">
      <c r="A35" s="428" t="s">
        <v>164</v>
      </c>
      <c r="B35" s="429"/>
      <c r="C35" s="429"/>
      <c r="D35" s="423">
        <f>$C$16</f>
        <v>0</v>
      </c>
      <c r="E35" s="457" t="s">
        <v>41</v>
      </c>
      <c r="F35" s="458" t="s">
        <v>8</v>
      </c>
      <c r="G35" s="475">
        <f>'Rider Rates'!$B$44</f>
        <v>3.0709000000000001E-3</v>
      </c>
      <c r="H35" s="475"/>
      <c r="I35" s="475"/>
      <c r="J35" s="478">
        <f>SUM(G35:H35)</f>
        <v>3.0709000000000001E-3</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5">
      <c r="A36" s="428" t="s">
        <v>227</v>
      </c>
      <c r="B36" s="429"/>
      <c r="C36" s="429"/>
      <c r="D36" s="423">
        <f>$C$17</f>
        <v>0</v>
      </c>
      <c r="E36" s="457" t="s">
        <v>41</v>
      </c>
      <c r="F36" s="450" t="s">
        <v>8</v>
      </c>
      <c r="G36" s="475">
        <f>'Rider Rates'!$C$44</f>
        <v>1.325E-3</v>
      </c>
      <c r="H36" s="475"/>
      <c r="I36" s="475"/>
      <c r="J36" s="478">
        <f>SUM(G36:H36)</f>
        <v>1.325E-3</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5">
      <c r="A37" s="428" t="s">
        <v>201</v>
      </c>
      <c r="B37" s="429"/>
      <c r="C37" s="429"/>
      <c r="D37" s="423">
        <f>C16+C17</f>
        <v>0</v>
      </c>
      <c r="E37" s="457" t="s">
        <v>41</v>
      </c>
      <c r="F37" s="458" t="s">
        <v>8</v>
      </c>
      <c r="G37" s="475">
        <f>'Rider Rates'!$B$49</f>
        <v>-1.2408E-3</v>
      </c>
      <c r="H37" s="475"/>
      <c r="I37" s="475"/>
      <c r="J37" s="478">
        <f>SUM(G37:H37)</f>
        <v>-1.2408E-3</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5">
      <c r="A38" s="479" t="s">
        <v>218</v>
      </c>
      <c r="B38" s="429"/>
      <c r="C38" s="429"/>
      <c r="D38" s="423">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5">
      <c r="A39" s="428" t="s">
        <v>197</v>
      </c>
      <c r="B39" s="429"/>
      <c r="C39" s="429"/>
      <c r="D39" s="423">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5">
      <c r="A40" s="473" t="s">
        <v>95</v>
      </c>
      <c r="B40" s="429"/>
      <c r="C40" s="429"/>
      <c r="D40" s="423">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5">
      <c r="A41" s="473" t="s">
        <v>95</v>
      </c>
      <c r="B41" s="429"/>
      <c r="C41" s="429"/>
      <c r="D41" s="423"/>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5">
      <c r="A42" s="473" t="s">
        <v>80</v>
      </c>
      <c r="B42" s="429"/>
      <c r="C42" s="429"/>
      <c r="D42" s="424">
        <f>$N$23</f>
        <v>9.4</v>
      </c>
      <c r="E42" s="457" t="s">
        <v>121</v>
      </c>
      <c r="F42" s="458" t="s">
        <v>8</v>
      </c>
      <c r="G42" s="483"/>
      <c r="H42" s="448"/>
      <c r="I42" s="484">
        <f>'Rider Rates'!$B$89</f>
        <v>4.94232E-2</v>
      </c>
      <c r="J42" s="484">
        <f t="shared" si="0"/>
        <v>4.94232E-2</v>
      </c>
      <c r="K42" s="460"/>
      <c r="L42" s="250"/>
      <c r="M42" s="250"/>
      <c r="N42" s="250">
        <f>ROUND(D42*I42,2)</f>
        <v>0.46</v>
      </c>
      <c r="O42" s="250">
        <f t="shared" si="2"/>
        <v>0.46</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5">
      <c r="A43" s="473" t="s">
        <v>81</v>
      </c>
      <c r="B43" s="429"/>
      <c r="C43" s="429"/>
      <c r="D43" s="424">
        <f>$N$23</f>
        <v>9.4</v>
      </c>
      <c r="E43" s="457" t="s">
        <v>121</v>
      </c>
      <c r="F43" s="458" t="s">
        <v>8</v>
      </c>
      <c r="G43" s="485"/>
      <c r="H43" s="448"/>
      <c r="I43" s="484">
        <f>'Rider Rates'!$B$91</f>
        <v>6.6985699999999995E-2</v>
      </c>
      <c r="J43" s="484">
        <f t="shared" si="0"/>
        <v>6.6985699999999995E-2</v>
      </c>
      <c r="K43" s="460"/>
      <c r="L43" s="250"/>
      <c r="M43" s="250"/>
      <c r="N43" s="250">
        <f>ROUND(D43*I43,2)</f>
        <v>0.63</v>
      </c>
      <c r="O43" s="250">
        <f t="shared" si="2"/>
        <v>0.63</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5">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5">
      <c r="A45" s="428" t="s">
        <v>247</v>
      </c>
      <c r="B45" s="429"/>
      <c r="C45" s="429"/>
      <c r="D45" s="423">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5">
      <c r="A46" s="473" t="s">
        <v>156</v>
      </c>
      <c r="B46" s="429"/>
      <c r="C46" s="429"/>
      <c r="D46" s="424">
        <f>$N$23</f>
        <v>9.4</v>
      </c>
      <c r="E46" s="457" t="s">
        <v>121</v>
      </c>
      <c r="F46" s="458" t="s">
        <v>8</v>
      </c>
      <c r="G46" s="485"/>
      <c r="H46" s="448"/>
      <c r="I46" s="484">
        <f>'Rider Rates'!$B$109</f>
        <v>0.211176</v>
      </c>
      <c r="J46" s="484">
        <f t="shared" si="0"/>
        <v>0.211176</v>
      </c>
      <c r="K46" s="460"/>
      <c r="L46" s="250"/>
      <c r="M46" s="250"/>
      <c r="N46" s="250">
        <f>ROUND(D46*I46,2)</f>
        <v>1.99</v>
      </c>
      <c r="O46" s="250">
        <f t="shared" si="2"/>
        <v>1.99</v>
      </c>
      <c r="P46" s="454">
        <f>'Rider Rates'!$D$109</f>
        <v>45532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5">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5">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5">
      <c r="A49" s="473" t="s">
        <v>157</v>
      </c>
      <c r="B49" s="429"/>
      <c r="C49" s="429"/>
      <c r="D49" s="423">
        <f>C16+C17</f>
        <v>0</v>
      </c>
      <c r="E49" s="457" t="s">
        <v>41</v>
      </c>
      <c r="F49" s="458" t="s">
        <v>8</v>
      </c>
      <c r="G49" s="475">
        <f>'Rider Rates'!$B$116</f>
        <v>3.8972999999999998E-3</v>
      </c>
      <c r="H49" s="475"/>
      <c r="I49" s="484"/>
      <c r="J49" s="478">
        <f>SUM(G49:H49)</f>
        <v>3.8972999999999998E-3</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5">
      <c r="A50" s="428" t="s">
        <v>216</v>
      </c>
      <c r="B50" s="429"/>
      <c r="C50" s="429"/>
      <c r="D50" s="423">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5">
      <c r="A51" s="429" t="s">
        <v>241</v>
      </c>
      <c r="B51" s="429"/>
      <c r="C51" s="429"/>
      <c r="D51" s="423">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5">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5">
      <c r="A53" s="479" t="s">
        <v>250</v>
      </c>
      <c r="B53" s="429"/>
      <c r="C53" s="429"/>
      <c r="D53" s="423">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5">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5">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5">
      <c r="A56" s="494" t="s">
        <v>70</v>
      </c>
      <c r="B56" s="468"/>
      <c r="C56" s="468"/>
      <c r="D56" s="495"/>
      <c r="E56" s="496"/>
      <c r="F56" s="497"/>
      <c r="G56" s="497"/>
      <c r="H56" s="497"/>
      <c r="I56" s="497"/>
      <c r="J56" s="497"/>
      <c r="K56" s="498"/>
      <c r="L56" s="499">
        <f>SUM(L27:L55)</f>
        <v>0</v>
      </c>
      <c r="M56" s="499">
        <f>SUM(M27:M55)</f>
        <v>0</v>
      </c>
      <c r="N56" s="499">
        <f>SUM(N27:N55)</f>
        <v>25.04</v>
      </c>
      <c r="O56" s="499">
        <f>SUM(O27:O55)</f>
        <v>25.04</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5">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5">
      <c r="A58" s="503" t="s">
        <v>93</v>
      </c>
      <c r="B58" s="438"/>
      <c r="C58" s="438"/>
      <c r="D58" s="438"/>
      <c r="E58" s="438"/>
      <c r="F58" s="438"/>
      <c r="G58" s="438"/>
      <c r="H58" s="438"/>
      <c r="I58" s="438"/>
      <c r="J58" s="438"/>
      <c r="K58" s="438"/>
      <c r="L58" s="504">
        <f>L23+L56</f>
        <v>0</v>
      </c>
      <c r="M58" s="504">
        <f>M23+M56</f>
        <v>0</v>
      </c>
      <c r="N58" s="504">
        <f>N23+N56</f>
        <v>34.44</v>
      </c>
      <c r="O58" s="505">
        <f>O23+O56</f>
        <v>34.44</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5">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5">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5">
      <c r="A61" s="469" t="s">
        <v>92</v>
      </c>
      <c r="B61" s="429"/>
      <c r="C61" s="429"/>
      <c r="D61" s="429"/>
      <c r="E61" s="429"/>
      <c r="F61" s="429"/>
      <c r="G61" s="429"/>
      <c r="H61" s="429"/>
      <c r="I61" s="429"/>
      <c r="J61" s="429"/>
      <c r="K61" s="429"/>
      <c r="L61" s="429"/>
      <c r="M61" s="429"/>
      <c r="N61" s="429"/>
      <c r="O61" s="506">
        <f>O21+O56</f>
        <v>34.44</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5">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5">
      <c r="A63" s="468" t="s">
        <v>116</v>
      </c>
      <c r="O63" s="507">
        <f>IF($D$17&lt;0,O58,IF(O58&gt;O61,O58,O61))</f>
        <v>34.44</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5">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5">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5">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HSvwRdQBoqcH57IBdA7Ttxdq9YKMZm7dWiFYk9n8gxZtWLLLfAk1i89qaOthowtiri35v/kJK4AaYtMCa1kB1Q==" saltValue="X9HTrIHF1ay9ZKJSajaRf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6369" r:id="rId3" name="Button 1">
              <controlPr defaultSize="0" print="0" autoFill="0" autoPict="0" macro="[0]!Info">
                <anchor moveWithCells="1">
                  <from>
                    <xdr:col>0</xdr:col>
                    <xdr:colOff>38100</xdr:colOff>
                    <xdr:row>0</xdr:row>
                    <xdr:rowOff>30480</xdr:rowOff>
                  </from>
                  <to>
                    <xdr:col>0</xdr:col>
                    <xdr:colOff>381000</xdr:colOff>
                    <xdr:row>1</xdr:row>
                    <xdr:rowOff>0</xdr:rowOff>
                  </to>
                </anchor>
              </controlPr>
            </control>
          </mc:Choice>
        </mc:AlternateContent>
        <mc:AlternateContent xmlns:mc="http://schemas.openxmlformats.org/markup-compatibility/2006">
          <mc:Choice Requires="x14">
            <control shapeId="186370" r:id="rId4" name="Button 2">
              <controlPr defaultSize="0" print="0" autoFill="0" autoPict="0" macro="[0]!Info">
                <anchor moveWithCells="1">
                  <from>
                    <xdr:col>15</xdr:col>
                    <xdr:colOff>190500</xdr:colOff>
                    <xdr:row>73</xdr:row>
                    <xdr:rowOff>45720</xdr:rowOff>
                  </from>
                  <to>
                    <xdr:col>15</xdr:col>
                    <xdr:colOff>541020</xdr:colOff>
                    <xdr:row>74</xdr:row>
                    <xdr:rowOff>106680</xdr:rowOff>
                  </to>
                </anchor>
              </controlPr>
            </control>
          </mc:Choice>
        </mc:AlternateContent>
        <mc:AlternateContent xmlns:mc="http://schemas.openxmlformats.org/markup-compatibility/2006">
          <mc:Choice Requires="x14">
            <control shapeId="186371" r:id="rId5" name="Button 3">
              <controlPr defaultSize="0" print="0" autoFill="0" autoPict="0" macro="[0]!Info">
                <anchor moveWithCells="1">
                  <from>
                    <xdr:col>0</xdr:col>
                    <xdr:colOff>45720</xdr:colOff>
                    <xdr:row>0</xdr:row>
                    <xdr:rowOff>45720</xdr:rowOff>
                  </from>
                  <to>
                    <xdr:col>0</xdr:col>
                    <xdr:colOff>388620</xdr:colOff>
                    <xdr:row>1</xdr:row>
                    <xdr:rowOff>144780</xdr:rowOff>
                  </to>
                </anchor>
              </controlPr>
            </control>
          </mc:Choice>
        </mc:AlternateContent>
        <mc:AlternateContent xmlns:mc="http://schemas.openxmlformats.org/markup-compatibility/2006">
          <mc:Choice Requires="x14">
            <control shapeId="186372" r:id="rId6" name="Button 4">
              <controlPr defaultSize="0" print="0" autoFill="0" autoPict="0" macro="[0]!Info">
                <anchor moveWithCells="1">
                  <from>
                    <xdr:col>0</xdr:col>
                    <xdr:colOff>45720</xdr:colOff>
                    <xdr:row>0</xdr:row>
                    <xdr:rowOff>45720</xdr:rowOff>
                  </from>
                  <to>
                    <xdr:col>0</xdr:col>
                    <xdr:colOff>388620</xdr:colOff>
                    <xdr:row>1</xdr:row>
                    <xdr:rowOff>144780</xdr:rowOff>
                  </to>
                </anchor>
              </controlPr>
            </control>
          </mc:Choice>
        </mc:AlternateContent>
        <mc:AlternateContent xmlns:mc="http://schemas.openxmlformats.org/markup-compatibility/2006">
          <mc:Choice Requires="x14">
            <control shapeId="186373" r:id="rId7" name="Button 5">
              <controlPr defaultSize="0" print="0" autoFill="0" autoPict="0" macro="[0]!Info">
                <anchor moveWithCells="1">
                  <from>
                    <xdr:col>0</xdr:col>
                    <xdr:colOff>45720</xdr:colOff>
                    <xdr:row>0</xdr:row>
                    <xdr:rowOff>45720</xdr:rowOff>
                  </from>
                  <to>
                    <xdr:col>0</xdr:col>
                    <xdr:colOff>388620</xdr:colOff>
                    <xdr:row>1</xdr:row>
                    <xdr:rowOff>144780</xdr:rowOff>
                  </to>
                </anchor>
              </controlPr>
            </control>
          </mc:Choice>
        </mc:AlternateContent>
        <mc:AlternateContent xmlns:mc="http://schemas.openxmlformats.org/markup-compatibility/2006">
          <mc:Choice Requires="x14">
            <control shapeId="186374" r:id="rId8" name="Button 6">
              <controlPr defaultSize="0" print="0" autoFill="0" autoPict="0" macro="[0]!Info">
                <anchor moveWithCells="1">
                  <from>
                    <xdr:col>0</xdr:col>
                    <xdr:colOff>45720</xdr:colOff>
                    <xdr:row>0</xdr:row>
                    <xdr:rowOff>45720</xdr:rowOff>
                  </from>
                  <to>
                    <xdr:col>0</xdr:col>
                    <xdr:colOff>388620</xdr:colOff>
                    <xdr:row>1</xdr:row>
                    <xdr:rowOff>144780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66A7-CFA8-4BF5-9963-5EDBC7BF04D1}">
  <sheetPr codeName="Sheet12"/>
  <dimension ref="A1:IB66"/>
  <sheetViews>
    <sheetView topLeftCell="A29" zoomScale="80" zoomScaleNormal="80" workbookViewId="0">
      <selection activeCell="AF52" sqref="AF52"/>
    </sheetView>
  </sheetViews>
  <sheetFormatPr defaultColWidth="8.5546875" defaultRowHeight="13.2" x14ac:dyDescent="0.25"/>
  <cols>
    <col min="1" max="1" width="31" style="426" customWidth="1"/>
    <col min="2" max="2" width="2.109375" style="426" customWidth="1"/>
    <col min="3" max="3" width="21.109375" style="426" customWidth="1"/>
    <col min="4" max="4" width="15.44140625" style="426" customWidth="1"/>
    <col min="5" max="5" width="10.109375" style="426" customWidth="1"/>
    <col min="6" max="6" width="5.5546875" style="426" customWidth="1"/>
    <col min="7" max="8" width="13.44140625" style="426" customWidth="1"/>
    <col min="9" max="9" width="14.5546875" style="426" customWidth="1"/>
    <col min="10" max="10" width="13.44140625" style="426" customWidth="1"/>
    <col min="11" max="11" width="7" style="426" customWidth="1"/>
    <col min="12" max="12" width="15.109375" style="426" customWidth="1"/>
    <col min="13" max="13" width="17.44140625" style="426" bestFit="1" customWidth="1"/>
    <col min="14" max="14" width="16.5546875" style="426" customWidth="1"/>
    <col min="15" max="15" width="19.109375" style="426" bestFit="1" customWidth="1"/>
    <col min="16" max="16" width="12.88671875" style="426" bestFit="1" customWidth="1"/>
    <col min="17" max="17" width="8.5546875" style="426"/>
    <col min="18" max="18" width="9.109375" style="426" hidden="1" customWidth="1"/>
    <col min="19" max="26" width="10.44140625" style="426" hidden="1" customWidth="1"/>
    <col min="27" max="27" width="10.5546875" style="426" hidden="1" customWidth="1"/>
    <col min="28" max="30" width="10.44140625" style="426" hidden="1" customWidth="1"/>
    <col min="31" max="16384" width="8.5546875" style="426"/>
  </cols>
  <sheetData>
    <row r="1" spans="1:30" ht="21" x14ac:dyDescent="0.4">
      <c r="A1" s="576" t="s">
        <v>119</v>
      </c>
      <c r="B1" s="576"/>
      <c r="C1" s="576"/>
      <c r="D1" s="576"/>
      <c r="E1" s="576"/>
      <c r="F1" s="576"/>
      <c r="G1" s="576"/>
      <c r="H1" s="576"/>
      <c r="I1" s="576"/>
      <c r="J1" s="576"/>
      <c r="K1" s="576"/>
      <c r="L1" s="576"/>
      <c r="M1" s="576"/>
      <c r="N1" s="576"/>
      <c r="O1" s="576"/>
      <c r="P1" s="576"/>
    </row>
    <row r="2" spans="1:30" ht="21" x14ac:dyDescent="0.4">
      <c r="A2" s="576" t="s">
        <v>122</v>
      </c>
      <c r="B2" s="576"/>
      <c r="C2" s="576"/>
      <c r="D2" s="576"/>
      <c r="E2" s="576"/>
      <c r="F2" s="576"/>
      <c r="G2" s="576"/>
      <c r="H2" s="576"/>
      <c r="I2" s="576"/>
      <c r="J2" s="576"/>
      <c r="K2" s="576"/>
      <c r="L2" s="576"/>
      <c r="M2" s="576"/>
      <c r="N2" s="576"/>
      <c r="O2" s="576"/>
      <c r="P2" s="576"/>
    </row>
    <row r="3" spans="1:30" ht="17.399999999999999" x14ac:dyDescent="0.3">
      <c r="A3" s="577" t="s">
        <v>334</v>
      </c>
      <c r="B3" s="577"/>
      <c r="C3" s="577"/>
      <c r="D3" s="577"/>
      <c r="E3" s="577"/>
      <c r="F3" s="577"/>
      <c r="G3" s="577"/>
      <c r="H3" s="577"/>
      <c r="I3" s="577"/>
      <c r="J3" s="577"/>
      <c r="K3" s="577"/>
      <c r="L3" s="577"/>
      <c r="M3" s="577"/>
      <c r="N3" s="577"/>
      <c r="O3" s="577"/>
      <c r="P3" s="577"/>
    </row>
    <row r="4" spans="1:30" ht="15.6" x14ac:dyDescent="0.3">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5">
      <c r="A5" s="425"/>
      <c r="B5" s="425"/>
      <c r="C5" s="425"/>
      <c r="D5" s="425"/>
      <c r="E5" s="425"/>
      <c r="F5" s="425"/>
      <c r="G5" s="425"/>
      <c r="H5" s="425" t="s">
        <v>337</v>
      </c>
      <c r="I5" s="425"/>
      <c r="J5" s="425"/>
      <c r="K5" s="425"/>
    </row>
    <row r="6" spans="1:30" x14ac:dyDescent="0.25">
      <c r="A6" s="427">
        <f ca="1">TODAY()</f>
        <v>45588</v>
      </c>
      <c r="B6" s="428"/>
      <c r="C6" s="427"/>
      <c r="D6" s="427"/>
      <c r="E6" s="427"/>
      <c r="F6" s="427"/>
      <c r="G6" s="427"/>
      <c r="H6" s="427"/>
      <c r="I6" s="427"/>
    </row>
    <row r="7" spans="1:30" ht="24.6" x14ac:dyDescent="0.4">
      <c r="A7" s="579"/>
      <c r="B7" s="579"/>
      <c r="C7" s="579"/>
      <c r="D7" s="579"/>
      <c r="E7" s="579"/>
      <c r="F7" s="579"/>
      <c r="G7" s="579"/>
      <c r="H7" s="579"/>
      <c r="I7" s="579"/>
      <c r="J7" s="579"/>
      <c r="K7" s="579"/>
      <c r="L7" s="579"/>
      <c r="M7" s="579"/>
      <c r="N7" s="579"/>
      <c r="O7" s="579"/>
      <c r="P7" s="579"/>
    </row>
    <row r="8" spans="1:30" x14ac:dyDescent="0.25">
      <c r="C8" s="429"/>
      <c r="D8" s="429"/>
      <c r="E8" s="429"/>
      <c r="F8" s="429"/>
      <c r="G8" s="429"/>
      <c r="H8" s="429"/>
      <c r="I8" s="429"/>
      <c r="J8" s="429"/>
      <c r="K8" s="429"/>
    </row>
    <row r="9" spans="1:30" ht="15" x14ac:dyDescent="0.25">
      <c r="A9" s="430" t="s">
        <v>2</v>
      </c>
      <c r="B9" s="431"/>
      <c r="C9" s="432">
        <f>'Customer Info'!B7</f>
        <v>0</v>
      </c>
      <c r="I9" s="433"/>
    </row>
    <row r="10" spans="1:30" ht="15" x14ac:dyDescent="0.25">
      <c r="A10" s="434" t="s">
        <v>26</v>
      </c>
      <c r="B10" s="431"/>
      <c r="C10" s="432">
        <f>'Customer Info'!B8</f>
        <v>0</v>
      </c>
    </row>
    <row r="11" spans="1:30" x14ac:dyDescent="0.25">
      <c r="A11" s="430" t="s">
        <v>3</v>
      </c>
      <c r="B11" s="435">
        <f>'Customer Info'!B9</f>
        <v>11</v>
      </c>
      <c r="C11" s="436" t="str">
        <f>LOOKUP(B11,R11:AD11,R12:AD12)</f>
        <v>November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5">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5">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5">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5">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5">
      <c r="A16" s="442" t="s">
        <v>233</v>
      </c>
      <c r="B16" s="442"/>
      <c r="C16" s="443">
        <f>'Customer Info'!B22</f>
        <v>0</v>
      </c>
      <c r="D16" s="442" t="s">
        <v>41</v>
      </c>
      <c r="E16" s="442"/>
      <c r="F16" s="444"/>
      <c r="G16" s="430" t="s">
        <v>15</v>
      </c>
      <c r="H16" s="442"/>
    </row>
    <row r="17" spans="1:221" x14ac:dyDescent="0.25">
      <c r="A17" s="442" t="s">
        <v>234</v>
      </c>
      <c r="B17" s="442"/>
      <c r="C17" s="443">
        <f>'Customer Info'!B23</f>
        <v>0</v>
      </c>
      <c r="D17" s="445" t="s">
        <v>41</v>
      </c>
      <c r="E17" s="444"/>
      <c r="F17" s="444"/>
      <c r="G17" s="430" t="s">
        <v>15</v>
      </c>
      <c r="H17" s="442"/>
      <c r="I17" s="446" t="s">
        <v>15</v>
      </c>
    </row>
    <row r="19" spans="1:221" x14ac:dyDescent="0.25">
      <c r="A19" s="440" t="s">
        <v>31</v>
      </c>
      <c r="B19" s="441"/>
      <c r="C19" s="441"/>
      <c r="D19" s="441"/>
      <c r="E19" s="441"/>
      <c r="F19" s="441"/>
      <c r="G19" s="572" t="s">
        <v>67</v>
      </c>
      <c r="H19" s="573"/>
      <c r="I19" s="573"/>
      <c r="J19" s="574"/>
      <c r="K19" s="441"/>
      <c r="L19" s="575" t="s">
        <v>68</v>
      </c>
      <c r="M19" s="575"/>
      <c r="N19" s="575"/>
      <c r="O19" s="575"/>
    </row>
    <row r="20" spans="1:221" x14ac:dyDescent="0.25">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5">
      <c r="A21" s="426" t="s">
        <v>32</v>
      </c>
      <c r="G21" s="451"/>
      <c r="H21" s="451"/>
      <c r="I21" s="451">
        <f>'Rider Rates'!B149</f>
        <v>138.5</v>
      </c>
      <c r="J21" s="451">
        <f>SUM(G21:I21)</f>
        <v>138.5</v>
      </c>
      <c r="L21" s="452"/>
      <c r="M21" s="452"/>
      <c r="N21" s="452">
        <f>I21</f>
        <v>138.5</v>
      </c>
      <c r="O21" s="453">
        <f>SUM(L21:N21)</f>
        <v>138.5</v>
      </c>
      <c r="P21" s="454">
        <v>44531</v>
      </c>
    </row>
    <row r="22" spans="1:221" x14ac:dyDescent="0.25">
      <c r="A22" s="455" t="s">
        <v>302</v>
      </c>
      <c r="D22" s="456">
        <f>C15</f>
        <v>0</v>
      </c>
      <c r="E22" s="457" t="s">
        <v>41</v>
      </c>
      <c r="F22" s="458" t="s">
        <v>8</v>
      </c>
      <c r="G22" s="459"/>
      <c r="H22" s="459"/>
      <c r="I22" s="459">
        <f>'Rider Rates'!C149</f>
        <v>1.3832199999999999E-2</v>
      </c>
      <c r="J22" s="459">
        <f>SUM(G22:I22)</f>
        <v>1.3832199999999999E-2</v>
      </c>
      <c r="K22" s="460" t="s">
        <v>42</v>
      </c>
      <c r="L22" s="453"/>
      <c r="M22" s="453"/>
      <c r="N22" s="453">
        <f>IF(C15&lt;0,0,ROUND($D22*I22,2))</f>
        <v>0</v>
      </c>
      <c r="O22" s="453">
        <f>SUM(L22:N22)</f>
        <v>0</v>
      </c>
      <c r="P22" s="454">
        <f>'Rider Rates'!H149</f>
        <v>45444</v>
      </c>
    </row>
    <row r="23" spans="1:221" x14ac:dyDescent="0.25">
      <c r="A23" s="461" t="s">
        <v>50</v>
      </c>
      <c r="B23" s="461"/>
      <c r="C23" s="461"/>
      <c r="D23" s="462"/>
      <c r="E23" s="462"/>
      <c r="F23" s="461"/>
      <c r="G23" s="461"/>
      <c r="H23" s="461"/>
      <c r="I23" s="461"/>
      <c r="J23" s="461"/>
      <c r="K23" s="463"/>
      <c r="L23" s="464"/>
      <c r="M23" s="464"/>
      <c r="N23" s="464">
        <f>SUM(N21:N22)</f>
        <v>138.5</v>
      </c>
      <c r="O23" s="464">
        <f>SUM(O21:O22)</f>
        <v>138.5</v>
      </c>
    </row>
    <row r="24" spans="1:221" x14ac:dyDescent="0.25">
      <c r="A24" s="465"/>
      <c r="B24" s="465"/>
      <c r="C24" s="466"/>
      <c r="D24" s="466"/>
      <c r="E24" s="466"/>
      <c r="F24" s="466"/>
      <c r="G24" s="467"/>
      <c r="H24" s="467"/>
      <c r="I24" s="467"/>
      <c r="J24" s="467"/>
      <c r="K24" s="465"/>
      <c r="L24" s="465"/>
      <c r="M24" s="465"/>
      <c r="N24" s="465"/>
      <c r="O24" s="465"/>
      <c r="P24" s="465"/>
    </row>
    <row r="25" spans="1:221" x14ac:dyDescent="0.25">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5">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5">
      <c r="A27" s="473" t="s">
        <v>78</v>
      </c>
      <c r="B27" s="474"/>
      <c r="C27" s="474"/>
      <c r="D27" s="456">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5">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5">
      <c r="A29" s="473" t="s">
        <v>96</v>
      </c>
      <c r="B29" s="429"/>
      <c r="C29" s="429"/>
      <c r="D29" s="456">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5">
      <c r="A30" s="473" t="s">
        <v>97</v>
      </c>
      <c r="B30" s="429"/>
      <c r="C30" s="429"/>
      <c r="D30" s="456">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5">
      <c r="A31" s="473" t="s">
        <v>98</v>
      </c>
      <c r="B31" s="429"/>
      <c r="C31" s="429"/>
      <c r="D31" s="456">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5">
      <c r="A32" s="428" t="s">
        <v>159</v>
      </c>
      <c r="B32" s="429"/>
      <c r="C32" s="429"/>
      <c r="D32" s="456">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5">
      <c r="A33" s="428" t="s">
        <v>245</v>
      </c>
      <c r="B33" s="429"/>
      <c r="C33" s="429"/>
      <c r="D33" s="424">
        <f>$N$23</f>
        <v>138.5</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5">
      <c r="A34" s="428" t="s">
        <v>194</v>
      </c>
      <c r="B34" s="429"/>
      <c r="C34" s="429"/>
      <c r="D34" s="456">
        <f>C15</f>
        <v>0</v>
      </c>
      <c r="E34" s="457" t="s">
        <v>41</v>
      </c>
      <c r="F34" s="458" t="s">
        <v>8</v>
      </c>
      <c r="G34" s="475">
        <f>'Rider Rates'!B24</f>
        <v>6.7849999999999994E-2</v>
      </c>
      <c r="H34" s="475"/>
      <c r="I34" s="475"/>
      <c r="J34" s="478">
        <f>SUM(G34:H34)</f>
        <v>6.7849999999999994E-2</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5">
      <c r="A35" s="428" t="s">
        <v>164</v>
      </c>
      <c r="B35" s="429"/>
      <c r="C35" s="429"/>
      <c r="D35" s="456">
        <f>C16</f>
        <v>0</v>
      </c>
      <c r="E35" s="457" t="s">
        <v>41</v>
      </c>
      <c r="F35" s="458" t="s">
        <v>8</v>
      </c>
      <c r="G35" s="475">
        <f>'Rider Rates'!B45</f>
        <v>2.5335000000000002E-3</v>
      </c>
      <c r="H35" s="475"/>
      <c r="I35" s="475"/>
      <c r="J35" s="478">
        <f>SUM(G35:H35)</f>
        <v>2.5335000000000002E-3</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5">
      <c r="A36" s="428" t="s">
        <v>227</v>
      </c>
      <c r="B36" s="429"/>
      <c r="C36" s="429"/>
      <c r="D36" s="456">
        <f>C17</f>
        <v>0</v>
      </c>
      <c r="E36" s="457" t="s">
        <v>41</v>
      </c>
      <c r="F36" s="450" t="s">
        <v>8</v>
      </c>
      <c r="G36" s="475">
        <f>'Rider Rates'!C45</f>
        <v>1.07E-3</v>
      </c>
      <c r="H36" s="475"/>
      <c r="I36" s="475"/>
      <c r="J36" s="478">
        <f>SUM(G36:H36)</f>
        <v>1.07E-3</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5">
      <c r="A37" s="428" t="s">
        <v>201</v>
      </c>
      <c r="B37" s="429"/>
      <c r="C37" s="429"/>
      <c r="D37" s="456">
        <f>C16+C17</f>
        <v>0</v>
      </c>
      <c r="E37" s="457" t="s">
        <v>41</v>
      </c>
      <c r="F37" s="458" t="s">
        <v>8</v>
      </c>
      <c r="G37" s="475">
        <f>'Rider Rates'!$B$49</f>
        <v>-1.2408E-3</v>
      </c>
      <c r="H37" s="475"/>
      <c r="I37" s="475"/>
      <c r="J37" s="478">
        <f>SUM(G37:H37)</f>
        <v>-1.2408E-3</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5">
      <c r="A38" s="479" t="s">
        <v>218</v>
      </c>
      <c r="B38" s="429"/>
      <c r="C38" s="429"/>
      <c r="D38" s="456">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5">
      <c r="A39" s="428" t="s">
        <v>197</v>
      </c>
      <c r="B39" s="429"/>
      <c r="C39" s="429"/>
      <c r="D39" s="456">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5">
      <c r="A40" s="473" t="s">
        <v>95</v>
      </c>
      <c r="B40" s="429"/>
      <c r="C40" s="429"/>
      <c r="D40" s="456">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5">
      <c r="A41" s="473" t="s">
        <v>95</v>
      </c>
      <c r="B41" s="429"/>
      <c r="C41" s="429"/>
      <c r="D41" s="456"/>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5">
      <c r="A42" s="473" t="s">
        <v>80</v>
      </c>
      <c r="B42" s="429"/>
      <c r="C42" s="429"/>
      <c r="D42" s="424">
        <f>$N$23</f>
        <v>138.5</v>
      </c>
      <c r="E42" s="457" t="s">
        <v>121</v>
      </c>
      <c r="F42" s="458" t="s">
        <v>8</v>
      </c>
      <c r="G42" s="483"/>
      <c r="H42" s="448"/>
      <c r="I42" s="484">
        <f>'Rider Rates'!$B$89</f>
        <v>4.94232E-2</v>
      </c>
      <c r="J42" s="484">
        <f t="shared" si="0"/>
        <v>4.94232E-2</v>
      </c>
      <c r="K42" s="460"/>
      <c r="L42" s="250"/>
      <c r="M42" s="250"/>
      <c r="N42" s="250">
        <f>ROUND(D42*I42,2)</f>
        <v>6.85</v>
      </c>
      <c r="O42" s="250">
        <f t="shared" si="2"/>
        <v>6.85</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5">
      <c r="A43" s="473" t="s">
        <v>81</v>
      </c>
      <c r="B43" s="429"/>
      <c r="C43" s="429"/>
      <c r="D43" s="424">
        <f>$N$23</f>
        <v>138.5</v>
      </c>
      <c r="E43" s="457" t="s">
        <v>121</v>
      </c>
      <c r="F43" s="458" t="s">
        <v>8</v>
      </c>
      <c r="G43" s="485"/>
      <c r="H43" s="448"/>
      <c r="I43" s="484">
        <f>'Rider Rates'!$B$91</f>
        <v>6.6985699999999995E-2</v>
      </c>
      <c r="J43" s="484">
        <f t="shared" si="0"/>
        <v>6.6985699999999995E-2</v>
      </c>
      <c r="K43" s="460"/>
      <c r="L43" s="250"/>
      <c r="M43" s="250"/>
      <c r="N43" s="250">
        <f>ROUND(D43*I43,2)</f>
        <v>9.2799999999999994</v>
      </c>
      <c r="O43" s="250">
        <f t="shared" si="2"/>
        <v>9.2799999999999994</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5">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5">
      <c r="A45" s="428" t="s">
        <v>247</v>
      </c>
      <c r="B45" s="429"/>
      <c r="C45" s="429"/>
      <c r="D45" s="456">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5">
      <c r="A46" s="473" t="s">
        <v>156</v>
      </c>
      <c r="B46" s="429"/>
      <c r="C46" s="429"/>
      <c r="D46" s="424">
        <f>$N$23</f>
        <v>138.5</v>
      </c>
      <c r="E46" s="457" t="s">
        <v>121</v>
      </c>
      <c r="F46" s="458" t="s">
        <v>8</v>
      </c>
      <c r="G46" s="485"/>
      <c r="H46" s="448"/>
      <c r="I46" s="484">
        <f>'Rider Rates'!$B$109</f>
        <v>0.211176</v>
      </c>
      <c r="J46" s="484">
        <f t="shared" si="0"/>
        <v>0.211176</v>
      </c>
      <c r="K46" s="460"/>
      <c r="L46" s="250"/>
      <c r="M46" s="250"/>
      <c r="N46" s="250">
        <f>ROUND(D46*I46,2)</f>
        <v>29.25</v>
      </c>
      <c r="O46" s="250">
        <f t="shared" si="2"/>
        <v>29.25</v>
      </c>
      <c r="P46" s="454">
        <f>'Rider Rates'!$D$109</f>
        <v>45532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5">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5">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5">
      <c r="A49" s="473" t="s">
        <v>157</v>
      </c>
      <c r="B49" s="429"/>
      <c r="C49" s="429"/>
      <c r="D49" s="456">
        <f>C16+C17</f>
        <v>0</v>
      </c>
      <c r="E49" s="457" t="s">
        <v>41</v>
      </c>
      <c r="F49" s="458" t="s">
        <v>8</v>
      </c>
      <c r="G49" s="475">
        <f>'Rider Rates'!$B$117</f>
        <v>3.7618E-3</v>
      </c>
      <c r="H49" s="475"/>
      <c r="I49" s="484"/>
      <c r="J49" s="478">
        <f>SUM(G49:H49)</f>
        <v>3.7618E-3</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5">
      <c r="A50" s="428" t="s">
        <v>216</v>
      </c>
      <c r="B50" s="429"/>
      <c r="C50" s="429"/>
      <c r="D50" s="456">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5">
      <c r="A51" s="429" t="s">
        <v>241</v>
      </c>
      <c r="B51" s="429"/>
      <c r="C51" s="429"/>
      <c r="D51" s="456">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5">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5">
      <c r="A53" s="479" t="s">
        <v>250</v>
      </c>
      <c r="B53" s="429"/>
      <c r="C53" s="429"/>
      <c r="D53" s="456">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5">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5">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5">
      <c r="A56" s="494" t="s">
        <v>70</v>
      </c>
      <c r="B56" s="468"/>
      <c r="C56" s="468"/>
      <c r="D56" s="495"/>
      <c r="E56" s="496"/>
      <c r="F56" s="497"/>
      <c r="G56" s="497"/>
      <c r="H56" s="497"/>
      <c r="I56" s="497"/>
      <c r="J56" s="497"/>
      <c r="K56" s="498"/>
      <c r="L56" s="499">
        <f>SUM(L27:L55)</f>
        <v>0</v>
      </c>
      <c r="M56" s="499">
        <f>SUM(M27:M55)</f>
        <v>0</v>
      </c>
      <c r="N56" s="499">
        <f>SUM(N27:N55)</f>
        <v>67.34</v>
      </c>
      <c r="O56" s="499">
        <f>SUM(O27:O55)</f>
        <v>67.34</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5">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5">
      <c r="A58" s="503" t="s">
        <v>93</v>
      </c>
      <c r="B58" s="438"/>
      <c r="C58" s="438"/>
      <c r="D58" s="438"/>
      <c r="E58" s="438"/>
      <c r="F58" s="438"/>
      <c r="G58" s="438"/>
      <c r="H58" s="438"/>
      <c r="I58" s="438"/>
      <c r="J58" s="438"/>
      <c r="K58" s="438"/>
      <c r="L58" s="504">
        <f>L23+L56</f>
        <v>0</v>
      </c>
      <c r="M58" s="504">
        <f>M23+M56</f>
        <v>0</v>
      </c>
      <c r="N58" s="504">
        <f>N23+N56</f>
        <v>205.84</v>
      </c>
      <c r="O58" s="505">
        <f>O23+O56</f>
        <v>205.84</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5">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5">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5">
      <c r="A61" s="469" t="s">
        <v>92</v>
      </c>
      <c r="B61" s="429"/>
      <c r="C61" s="429"/>
      <c r="D61" s="429"/>
      <c r="E61" s="429"/>
      <c r="F61" s="429"/>
      <c r="G61" s="429"/>
      <c r="H61" s="429"/>
      <c r="I61" s="429"/>
      <c r="J61" s="429"/>
      <c r="K61" s="429"/>
      <c r="L61" s="429"/>
      <c r="M61" s="429"/>
      <c r="N61" s="429"/>
      <c r="O61" s="506">
        <f>O21+O56</f>
        <v>205.84</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5">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5">
      <c r="A63" s="468" t="s">
        <v>116</v>
      </c>
      <c r="O63" s="507">
        <f>IF($D$17&lt;0,O58,IF(O58&gt;O61,O58,O61))</f>
        <v>205.84</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5">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5">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5">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mbY8sUpQREhMqO8HLwQo6Kh0acer1ma+avmA9/j2bGOi6jrFlzuW3xTX2wMbgDfFyg6peLgZTxi1zdHhXux0SQ==" saltValue="KUYRWMl6HXj2NBTS7owg8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7393" r:id="rId3" name="Button 1">
              <controlPr defaultSize="0" print="0" autoFill="0" autoPict="0" macro="[0]!Info">
                <anchor moveWithCells="1">
                  <from>
                    <xdr:col>0</xdr:col>
                    <xdr:colOff>38100</xdr:colOff>
                    <xdr:row>0</xdr:row>
                    <xdr:rowOff>30480</xdr:rowOff>
                  </from>
                  <to>
                    <xdr:col>0</xdr:col>
                    <xdr:colOff>381000</xdr:colOff>
                    <xdr:row>1</xdr:row>
                    <xdr:rowOff>106680</xdr:rowOff>
                  </to>
                </anchor>
              </controlPr>
            </control>
          </mc:Choice>
        </mc:AlternateContent>
        <mc:AlternateContent xmlns:mc="http://schemas.openxmlformats.org/markup-compatibility/2006">
          <mc:Choice Requires="x14">
            <control shapeId="187394" r:id="rId4" name="Button 2">
              <controlPr defaultSize="0" print="0" autoFill="0" autoPict="0" macro="[0]!Info">
                <anchor moveWithCells="1">
                  <from>
                    <xdr:col>15</xdr:col>
                    <xdr:colOff>190500</xdr:colOff>
                    <xdr:row>73</xdr:row>
                    <xdr:rowOff>45720</xdr:rowOff>
                  </from>
                  <to>
                    <xdr:col>15</xdr:col>
                    <xdr:colOff>541020</xdr:colOff>
                    <xdr:row>74</xdr:row>
                    <xdr:rowOff>106680</xdr:rowOff>
                  </to>
                </anchor>
              </controlPr>
            </control>
          </mc:Choice>
        </mc:AlternateContent>
        <mc:AlternateContent xmlns:mc="http://schemas.openxmlformats.org/markup-compatibility/2006">
          <mc:Choice Requires="x14">
            <control shapeId="187395" r:id="rId5" name="Button 3">
              <controlPr defaultSize="0" print="0" autoFill="0" autoPict="0" macro="[0]!Info">
                <anchor moveWithCells="1">
                  <from>
                    <xdr:col>0</xdr:col>
                    <xdr:colOff>45720</xdr:colOff>
                    <xdr:row>0</xdr:row>
                    <xdr:rowOff>45720</xdr:rowOff>
                  </from>
                  <to>
                    <xdr:col>0</xdr:col>
                    <xdr:colOff>388620</xdr:colOff>
                    <xdr:row>2</xdr:row>
                    <xdr:rowOff>68580</xdr:rowOff>
                  </to>
                </anchor>
              </controlPr>
            </control>
          </mc:Choice>
        </mc:AlternateContent>
        <mc:AlternateContent xmlns:mc="http://schemas.openxmlformats.org/markup-compatibility/2006">
          <mc:Choice Requires="x14">
            <control shapeId="187396" r:id="rId6" name="Button 4">
              <controlPr defaultSize="0" print="0" autoFill="0" autoPict="0" macro="[0]!Info">
                <anchor moveWithCells="1">
                  <from>
                    <xdr:col>0</xdr:col>
                    <xdr:colOff>45720</xdr:colOff>
                    <xdr:row>0</xdr:row>
                    <xdr:rowOff>45720</xdr:rowOff>
                  </from>
                  <to>
                    <xdr:col>0</xdr:col>
                    <xdr:colOff>388620</xdr:colOff>
                    <xdr:row>2</xdr:row>
                    <xdr:rowOff>68580</xdr:rowOff>
                  </to>
                </anchor>
              </controlPr>
            </control>
          </mc:Choice>
        </mc:AlternateContent>
        <mc:AlternateContent xmlns:mc="http://schemas.openxmlformats.org/markup-compatibility/2006">
          <mc:Choice Requires="x14">
            <control shapeId="187397" r:id="rId7" name="Button 5">
              <controlPr defaultSize="0" print="0" autoFill="0" autoPict="0" macro="[0]!Info">
                <anchor moveWithCells="1">
                  <from>
                    <xdr:col>0</xdr:col>
                    <xdr:colOff>45720</xdr:colOff>
                    <xdr:row>0</xdr:row>
                    <xdr:rowOff>45720</xdr:rowOff>
                  </from>
                  <to>
                    <xdr:col>0</xdr:col>
                    <xdr:colOff>388620</xdr:colOff>
                    <xdr:row>2</xdr:row>
                    <xdr:rowOff>68580</xdr:rowOff>
                  </to>
                </anchor>
              </controlPr>
            </control>
          </mc:Choice>
        </mc:AlternateContent>
        <mc:AlternateContent xmlns:mc="http://schemas.openxmlformats.org/markup-compatibility/2006">
          <mc:Choice Requires="x14">
            <control shapeId="187398" r:id="rId8" name="Button 6">
              <controlPr defaultSize="0" print="0" autoFill="0" autoPict="0" macro="[0]!Info">
                <anchor moveWithCells="1">
                  <from>
                    <xdr:col>0</xdr:col>
                    <xdr:colOff>45720</xdr:colOff>
                    <xdr:row>0</xdr:row>
                    <xdr:rowOff>45720</xdr:rowOff>
                  </from>
                  <to>
                    <xdr:col>0</xdr:col>
                    <xdr:colOff>388620</xdr:colOff>
                    <xdr:row>2</xdr:row>
                    <xdr:rowOff>68580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458B-5F30-4709-9491-60ED8589FB17}">
  <sheetPr codeName="Sheet13"/>
  <dimension ref="A1:IB66"/>
  <sheetViews>
    <sheetView topLeftCell="A23" zoomScale="80" zoomScaleNormal="80" workbookViewId="0">
      <selection activeCell="J48" sqref="J48"/>
    </sheetView>
  </sheetViews>
  <sheetFormatPr defaultColWidth="8.5546875" defaultRowHeight="13.2" x14ac:dyDescent="0.25"/>
  <cols>
    <col min="1" max="1" width="31" style="426" customWidth="1"/>
    <col min="2" max="2" width="2.109375" style="426" customWidth="1"/>
    <col min="3" max="3" width="21.109375" style="426" customWidth="1"/>
    <col min="4" max="4" width="15.44140625" style="426" customWidth="1"/>
    <col min="5" max="5" width="10.109375" style="426" customWidth="1"/>
    <col min="6" max="6" width="5.5546875" style="426" customWidth="1"/>
    <col min="7" max="8" width="13.44140625" style="426" customWidth="1"/>
    <col min="9" max="9" width="14.5546875" style="426" customWidth="1"/>
    <col min="10" max="10" width="13.44140625" style="426" customWidth="1"/>
    <col min="11" max="11" width="7" style="426" customWidth="1"/>
    <col min="12" max="12" width="15.109375" style="426" customWidth="1"/>
    <col min="13" max="13" width="17.44140625" style="426" bestFit="1" customWidth="1"/>
    <col min="14" max="14" width="16.5546875" style="426" customWidth="1"/>
    <col min="15" max="15" width="19.109375" style="426" bestFit="1" customWidth="1"/>
    <col min="16" max="16" width="12.88671875" style="426" bestFit="1" customWidth="1"/>
    <col min="17" max="17" width="8.5546875" style="426"/>
    <col min="18" max="18" width="9.109375" style="426" hidden="1" customWidth="1"/>
    <col min="19" max="26" width="10.44140625" style="426" hidden="1" customWidth="1"/>
    <col min="27" max="27" width="10.5546875" style="426" hidden="1" customWidth="1"/>
    <col min="28" max="30" width="10.44140625" style="426" hidden="1" customWidth="1"/>
    <col min="31" max="16384" width="8.5546875" style="426"/>
  </cols>
  <sheetData>
    <row r="1" spans="1:30" ht="21" x14ac:dyDescent="0.4">
      <c r="A1" s="576" t="s">
        <v>119</v>
      </c>
      <c r="B1" s="576"/>
      <c r="C1" s="576"/>
      <c r="D1" s="576"/>
      <c r="E1" s="576"/>
      <c r="F1" s="576"/>
      <c r="G1" s="576"/>
      <c r="H1" s="576"/>
      <c r="I1" s="576"/>
      <c r="J1" s="576"/>
      <c r="K1" s="576"/>
      <c r="L1" s="576"/>
      <c r="M1" s="576"/>
      <c r="N1" s="576"/>
      <c r="O1" s="576"/>
      <c r="P1" s="576"/>
    </row>
    <row r="2" spans="1:30" ht="21" x14ac:dyDescent="0.4">
      <c r="A2" s="576" t="s">
        <v>122</v>
      </c>
      <c r="B2" s="576"/>
      <c r="C2" s="576"/>
      <c r="D2" s="576"/>
      <c r="E2" s="576"/>
      <c r="F2" s="576"/>
      <c r="G2" s="576"/>
      <c r="H2" s="576"/>
      <c r="I2" s="576"/>
      <c r="J2" s="576"/>
      <c r="K2" s="576"/>
      <c r="L2" s="576"/>
      <c r="M2" s="576"/>
      <c r="N2" s="576"/>
      <c r="O2" s="576"/>
      <c r="P2" s="576"/>
    </row>
    <row r="3" spans="1:30" ht="17.399999999999999" x14ac:dyDescent="0.3">
      <c r="A3" s="577" t="s">
        <v>339</v>
      </c>
      <c r="B3" s="577"/>
      <c r="C3" s="577"/>
      <c r="D3" s="577"/>
      <c r="E3" s="577"/>
      <c r="F3" s="577"/>
      <c r="G3" s="577"/>
      <c r="H3" s="577"/>
      <c r="I3" s="577"/>
      <c r="J3" s="577"/>
      <c r="K3" s="577"/>
      <c r="L3" s="577"/>
      <c r="M3" s="577"/>
      <c r="N3" s="577"/>
      <c r="O3" s="577"/>
      <c r="P3" s="577"/>
    </row>
    <row r="4" spans="1:30" ht="15.6" x14ac:dyDescent="0.3">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5">
      <c r="A5" s="425"/>
      <c r="B5" s="425"/>
      <c r="C5" s="425"/>
      <c r="D5" s="425"/>
      <c r="E5" s="425"/>
      <c r="F5" s="425"/>
      <c r="G5" s="425"/>
      <c r="H5" s="425" t="s">
        <v>338</v>
      </c>
      <c r="I5" s="425"/>
      <c r="J5" s="425"/>
      <c r="K5" s="425"/>
    </row>
    <row r="6" spans="1:30" x14ac:dyDescent="0.25">
      <c r="A6" s="427">
        <f ca="1">TODAY()</f>
        <v>45588</v>
      </c>
      <c r="B6" s="428"/>
      <c r="C6" s="427"/>
      <c r="D6" s="427"/>
      <c r="E6" s="427"/>
      <c r="F6" s="427"/>
      <c r="G6" s="427"/>
      <c r="H6" s="427"/>
      <c r="I6" s="427"/>
    </row>
    <row r="7" spans="1:30" ht="24.6" x14ac:dyDescent="0.4">
      <c r="A7" s="579"/>
      <c r="B7" s="579"/>
      <c r="C7" s="579"/>
      <c r="D7" s="579"/>
      <c r="E7" s="579"/>
      <c r="F7" s="579"/>
      <c r="G7" s="579"/>
      <c r="H7" s="579"/>
      <c r="I7" s="579"/>
      <c r="J7" s="579"/>
      <c r="K7" s="579"/>
      <c r="L7" s="579"/>
      <c r="M7" s="579"/>
      <c r="N7" s="579"/>
      <c r="O7" s="579"/>
      <c r="P7" s="579"/>
    </row>
    <row r="8" spans="1:30" x14ac:dyDescent="0.25">
      <c r="C8" s="429"/>
      <c r="D8" s="429"/>
      <c r="E8" s="429"/>
      <c r="F8" s="429"/>
      <c r="G8" s="429"/>
      <c r="H8" s="429"/>
      <c r="I8" s="429"/>
      <c r="J8" s="429"/>
      <c r="K8" s="429"/>
    </row>
    <row r="9" spans="1:30" ht="15" x14ac:dyDescent="0.25">
      <c r="A9" s="430" t="s">
        <v>2</v>
      </c>
      <c r="B9" s="431"/>
      <c r="C9" s="432">
        <f>'Customer Info'!B7</f>
        <v>0</v>
      </c>
      <c r="I9" s="433"/>
    </row>
    <row r="10" spans="1:30" ht="15" x14ac:dyDescent="0.25">
      <c r="A10" s="434" t="s">
        <v>26</v>
      </c>
      <c r="B10" s="431"/>
      <c r="C10" s="432">
        <f>'Customer Info'!B8</f>
        <v>0</v>
      </c>
    </row>
    <row r="11" spans="1:30" x14ac:dyDescent="0.25">
      <c r="A11" s="430" t="s">
        <v>3</v>
      </c>
      <c r="B11" s="435">
        <f>'Customer Info'!B9</f>
        <v>11</v>
      </c>
      <c r="C11" s="436" t="str">
        <f>LOOKUP(B11,R11:AD11,R12:AD12)</f>
        <v>November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5">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5">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5">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5">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5">
      <c r="A16" s="442" t="s">
        <v>233</v>
      </c>
      <c r="B16" s="442"/>
      <c r="C16" s="443">
        <f>'Customer Info'!B22</f>
        <v>0</v>
      </c>
      <c r="D16" s="442" t="s">
        <v>41</v>
      </c>
      <c r="E16" s="442"/>
      <c r="F16" s="444"/>
      <c r="G16" s="430" t="s">
        <v>15</v>
      </c>
      <c r="H16" s="442"/>
    </row>
    <row r="17" spans="1:221" x14ac:dyDescent="0.25">
      <c r="A17" s="442" t="s">
        <v>234</v>
      </c>
      <c r="B17" s="442"/>
      <c r="C17" s="443">
        <f>'Customer Info'!B23</f>
        <v>0</v>
      </c>
      <c r="D17" s="445" t="s">
        <v>41</v>
      </c>
      <c r="E17" s="444"/>
      <c r="F17" s="444"/>
      <c r="G17" s="430" t="s">
        <v>15</v>
      </c>
      <c r="H17" s="442"/>
      <c r="I17" s="446" t="s">
        <v>15</v>
      </c>
    </row>
    <row r="19" spans="1:221" x14ac:dyDescent="0.25">
      <c r="A19" s="440" t="s">
        <v>31</v>
      </c>
      <c r="B19" s="441"/>
      <c r="C19" s="441"/>
      <c r="D19" s="441"/>
      <c r="E19" s="441"/>
      <c r="F19" s="441"/>
      <c r="G19" s="572" t="s">
        <v>67</v>
      </c>
      <c r="H19" s="573"/>
      <c r="I19" s="573"/>
      <c r="J19" s="574"/>
      <c r="K19" s="441"/>
      <c r="L19" s="575" t="s">
        <v>68</v>
      </c>
      <c r="M19" s="575"/>
      <c r="N19" s="575"/>
      <c r="O19" s="575"/>
    </row>
    <row r="20" spans="1:221" x14ac:dyDescent="0.25">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5">
      <c r="A21" s="426" t="s">
        <v>32</v>
      </c>
      <c r="G21" s="451"/>
      <c r="H21" s="451"/>
      <c r="I21" s="451">
        <f>'Rider Rates'!B150</f>
        <v>825</v>
      </c>
      <c r="J21" s="451">
        <f>SUM(G21:I21)</f>
        <v>825</v>
      </c>
      <c r="L21" s="452"/>
      <c r="M21" s="452"/>
      <c r="N21" s="452">
        <f>I21</f>
        <v>825</v>
      </c>
      <c r="O21" s="453">
        <f>SUM(L21:N21)</f>
        <v>825</v>
      </c>
      <c r="P21" s="454">
        <v>44531</v>
      </c>
    </row>
    <row r="22" spans="1:221" x14ac:dyDescent="0.25">
      <c r="A22" s="455" t="s">
        <v>302</v>
      </c>
      <c r="D22" s="456">
        <f>C15</f>
        <v>0</v>
      </c>
      <c r="E22" s="457" t="s">
        <v>41</v>
      </c>
      <c r="F22" s="458" t="s">
        <v>8</v>
      </c>
      <c r="G22" s="459"/>
      <c r="H22" s="459"/>
      <c r="I22" s="459">
        <f>'Rider Rates'!C150</f>
        <v>5.9799999999999997E-5</v>
      </c>
      <c r="J22" s="459">
        <f>SUM(G22:I22)</f>
        <v>5.9799999999999997E-5</v>
      </c>
      <c r="K22" s="460" t="s">
        <v>42</v>
      </c>
      <c r="L22" s="453"/>
      <c r="M22" s="453"/>
      <c r="N22" s="453">
        <f>IF(C15&lt;0,0,ROUND($D22*I22,2))</f>
        <v>0</v>
      </c>
      <c r="O22" s="453">
        <f>SUM(L22:N22)</f>
        <v>0</v>
      </c>
      <c r="P22" s="454">
        <f>'Rider Rates'!H150</f>
        <v>45444</v>
      </c>
    </row>
    <row r="23" spans="1:221" x14ac:dyDescent="0.25">
      <c r="A23" s="461" t="s">
        <v>50</v>
      </c>
      <c r="B23" s="461"/>
      <c r="C23" s="461"/>
      <c r="D23" s="462"/>
      <c r="E23" s="462"/>
      <c r="F23" s="461"/>
      <c r="G23" s="461"/>
      <c r="H23" s="461"/>
      <c r="I23" s="461"/>
      <c r="J23" s="461"/>
      <c r="K23" s="463"/>
      <c r="L23" s="464"/>
      <c r="M23" s="464"/>
      <c r="N23" s="464">
        <f>SUM(N21:N22)</f>
        <v>825</v>
      </c>
      <c r="O23" s="464">
        <f>SUM(O21:O22)</f>
        <v>825</v>
      </c>
    </row>
    <row r="24" spans="1:221" x14ac:dyDescent="0.25">
      <c r="A24" s="465"/>
      <c r="B24" s="465"/>
      <c r="C24" s="466"/>
      <c r="D24" s="466"/>
      <c r="E24" s="466"/>
      <c r="F24" s="466"/>
      <c r="G24" s="467"/>
      <c r="H24" s="467"/>
      <c r="I24" s="467"/>
      <c r="J24" s="467"/>
      <c r="K24" s="465"/>
      <c r="L24" s="465"/>
      <c r="M24" s="465"/>
      <c r="N24" s="465"/>
      <c r="O24" s="465"/>
      <c r="P24" s="465"/>
    </row>
    <row r="25" spans="1:221" x14ac:dyDescent="0.25">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5">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5">
      <c r="A27" s="473" t="s">
        <v>78</v>
      </c>
      <c r="B27" s="474"/>
      <c r="C27" s="474"/>
      <c r="D27" s="456">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5">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5">
      <c r="A29" s="473" t="s">
        <v>96</v>
      </c>
      <c r="B29" s="429"/>
      <c r="C29" s="429"/>
      <c r="D29" s="456">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5">
      <c r="A30" s="473" t="s">
        <v>97</v>
      </c>
      <c r="B30" s="429"/>
      <c r="C30" s="429"/>
      <c r="D30" s="456">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5">
      <c r="A31" s="473" t="s">
        <v>98</v>
      </c>
      <c r="B31" s="429"/>
      <c r="C31" s="429"/>
      <c r="D31" s="456">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5">
      <c r="A32" s="428" t="s">
        <v>159</v>
      </c>
      <c r="B32" s="429"/>
      <c r="C32" s="429"/>
      <c r="D32" s="456">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5">
      <c r="A33" s="428" t="s">
        <v>245</v>
      </c>
      <c r="B33" s="429"/>
      <c r="C33" s="429"/>
      <c r="D33" s="424">
        <f>$N$23</f>
        <v>825</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5">
      <c r="A34" s="428" t="s">
        <v>194</v>
      </c>
      <c r="B34" s="429"/>
      <c r="C34" s="429"/>
      <c r="D34" s="456">
        <f>C15</f>
        <v>0</v>
      </c>
      <c r="E34" s="457" t="s">
        <v>41</v>
      </c>
      <c r="F34" s="458" t="s">
        <v>8</v>
      </c>
      <c r="G34" s="475">
        <f>'Rider Rates'!B25</f>
        <v>6.6629999999999995E-2</v>
      </c>
      <c r="H34" s="475"/>
      <c r="I34" s="475"/>
      <c r="J34" s="478">
        <f>SUM(G34:H34)</f>
        <v>6.6629999999999995E-2</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5">
      <c r="A35" s="428" t="s">
        <v>164</v>
      </c>
      <c r="B35" s="429"/>
      <c r="C35" s="429"/>
      <c r="D35" s="456">
        <f>C16</f>
        <v>0</v>
      </c>
      <c r="E35" s="457" t="s">
        <v>41</v>
      </c>
      <c r="F35" s="458" t="s">
        <v>8</v>
      </c>
      <c r="G35" s="475">
        <f>'Rider Rates'!B46</f>
        <v>2.0022E-3</v>
      </c>
      <c r="H35" s="475"/>
      <c r="I35" s="475"/>
      <c r="J35" s="478">
        <f>SUM(G35:H35)</f>
        <v>2.0022E-3</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5">
      <c r="A36" s="428" t="s">
        <v>227</v>
      </c>
      <c r="B36" s="429"/>
      <c r="C36" s="429"/>
      <c r="D36" s="456">
        <f>C17</f>
        <v>0</v>
      </c>
      <c r="E36" s="457" t="s">
        <v>41</v>
      </c>
      <c r="F36" s="450" t="s">
        <v>8</v>
      </c>
      <c r="G36" s="475">
        <f>'Rider Rates'!C46</f>
        <v>8.3000000000000001E-4</v>
      </c>
      <c r="H36" s="475"/>
      <c r="I36" s="475"/>
      <c r="J36" s="478">
        <f>SUM(G36:H36)</f>
        <v>8.3000000000000001E-4</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5">
      <c r="A37" s="428" t="s">
        <v>201</v>
      </c>
      <c r="B37" s="429"/>
      <c r="C37" s="429"/>
      <c r="D37" s="456">
        <f>C16+C17</f>
        <v>0</v>
      </c>
      <c r="E37" s="457" t="s">
        <v>41</v>
      </c>
      <c r="F37" s="458" t="s">
        <v>8</v>
      </c>
      <c r="G37" s="475">
        <f>'Rider Rates'!$B$49</f>
        <v>-1.2408E-3</v>
      </c>
      <c r="H37" s="475"/>
      <c r="I37" s="475"/>
      <c r="J37" s="478">
        <f>SUM(G37:H37)</f>
        <v>-1.2408E-3</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5">
      <c r="A38" s="479" t="s">
        <v>218</v>
      </c>
      <c r="B38" s="429"/>
      <c r="C38" s="429"/>
      <c r="D38" s="456">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5">
      <c r="A39" s="428" t="s">
        <v>197</v>
      </c>
      <c r="B39" s="429"/>
      <c r="C39" s="429"/>
      <c r="D39" s="456">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5">
      <c r="A40" s="473" t="s">
        <v>95</v>
      </c>
      <c r="B40" s="429"/>
      <c r="C40" s="429"/>
      <c r="D40" s="456">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5">
      <c r="A41" s="473" t="s">
        <v>95</v>
      </c>
      <c r="B41" s="429"/>
      <c r="C41" s="429"/>
      <c r="D41" s="456"/>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5">
      <c r="A42" s="473" t="s">
        <v>80</v>
      </c>
      <c r="B42" s="429"/>
      <c r="C42" s="429"/>
      <c r="D42" s="424">
        <f>$N$23</f>
        <v>825</v>
      </c>
      <c r="E42" s="457" t="s">
        <v>121</v>
      </c>
      <c r="F42" s="458" t="s">
        <v>8</v>
      </c>
      <c r="G42" s="483"/>
      <c r="H42" s="448"/>
      <c r="I42" s="484">
        <f>'Rider Rates'!$B$89</f>
        <v>4.94232E-2</v>
      </c>
      <c r="J42" s="484">
        <f t="shared" si="0"/>
        <v>4.94232E-2</v>
      </c>
      <c r="K42" s="460"/>
      <c r="L42" s="250"/>
      <c r="M42" s="250"/>
      <c r="N42" s="250">
        <f>ROUND(D42*I42,2)</f>
        <v>40.770000000000003</v>
      </c>
      <c r="O42" s="250">
        <f t="shared" si="2"/>
        <v>40.770000000000003</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5">
      <c r="A43" s="473" t="s">
        <v>81</v>
      </c>
      <c r="B43" s="429"/>
      <c r="C43" s="429"/>
      <c r="D43" s="424">
        <f>$N$23</f>
        <v>825</v>
      </c>
      <c r="E43" s="457" t="s">
        <v>121</v>
      </c>
      <c r="F43" s="458" t="s">
        <v>8</v>
      </c>
      <c r="G43" s="485"/>
      <c r="H43" s="448"/>
      <c r="I43" s="484">
        <f>'Rider Rates'!$B$91</f>
        <v>6.6985699999999995E-2</v>
      </c>
      <c r="J43" s="484">
        <f t="shared" si="0"/>
        <v>6.6985699999999995E-2</v>
      </c>
      <c r="K43" s="460"/>
      <c r="L43" s="250"/>
      <c r="M43" s="250"/>
      <c r="N43" s="250">
        <f>ROUND(D43*I43,2)</f>
        <v>55.26</v>
      </c>
      <c r="O43" s="250">
        <f t="shared" si="2"/>
        <v>55.26</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5">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5">
      <c r="A45" s="428" t="s">
        <v>247</v>
      </c>
      <c r="B45" s="429"/>
      <c r="C45" s="429"/>
      <c r="D45" s="456">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5">
      <c r="A46" s="473" t="s">
        <v>156</v>
      </c>
      <c r="B46" s="429"/>
      <c r="C46" s="429"/>
      <c r="D46" s="424">
        <f>$N$23</f>
        <v>825</v>
      </c>
      <c r="E46" s="457" t="s">
        <v>121</v>
      </c>
      <c r="F46" s="458" t="s">
        <v>8</v>
      </c>
      <c r="G46" s="485"/>
      <c r="H46" s="448"/>
      <c r="I46" s="484">
        <f>'Rider Rates'!$B$109</f>
        <v>0.211176</v>
      </c>
      <c r="J46" s="484">
        <f t="shared" si="0"/>
        <v>0.211176</v>
      </c>
      <c r="K46" s="460"/>
      <c r="L46" s="250"/>
      <c r="M46" s="250"/>
      <c r="N46" s="250">
        <f>ROUND(D46*I46,2)</f>
        <v>174.22</v>
      </c>
      <c r="O46" s="250">
        <f t="shared" si="2"/>
        <v>174.22</v>
      </c>
      <c r="P46" s="454">
        <f>'Rider Rates'!$D$109</f>
        <v>45532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5">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5">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5">
      <c r="A49" s="473" t="s">
        <v>157</v>
      </c>
      <c r="B49" s="429"/>
      <c r="C49" s="429"/>
      <c r="D49" s="456">
        <f>C16+C17</f>
        <v>0</v>
      </c>
      <c r="E49" s="457" t="s">
        <v>41</v>
      </c>
      <c r="F49" s="458" t="s">
        <v>8</v>
      </c>
      <c r="G49" s="475">
        <f>'Rider Rates'!B118</f>
        <v>3.6865999999999999E-3</v>
      </c>
      <c r="H49" s="475"/>
      <c r="I49" s="484"/>
      <c r="J49" s="478">
        <f>SUM(G49:H49)</f>
        <v>3.6865999999999999E-3</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5">
      <c r="A50" s="428" t="s">
        <v>216</v>
      </c>
      <c r="B50" s="429"/>
      <c r="C50" s="429"/>
      <c r="D50" s="456">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5">
      <c r="A51" s="429" t="s">
        <v>241</v>
      </c>
      <c r="B51" s="429"/>
      <c r="C51" s="429"/>
      <c r="D51" s="456">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5">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5">
      <c r="A53" s="479" t="s">
        <v>250</v>
      </c>
      <c r="B53" s="429"/>
      <c r="C53" s="429"/>
      <c r="D53" s="456">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5">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5">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5">
      <c r="A56" s="494" t="s">
        <v>70</v>
      </c>
      <c r="B56" s="468"/>
      <c r="C56" s="468"/>
      <c r="D56" s="495"/>
      <c r="E56" s="496"/>
      <c r="F56" s="497"/>
      <c r="G56" s="497"/>
      <c r="H56" s="497"/>
      <c r="I56" s="497"/>
      <c r="J56" s="497"/>
      <c r="K56" s="498"/>
      <c r="L56" s="499">
        <f>SUM(L27:L55)</f>
        <v>0</v>
      </c>
      <c r="M56" s="499">
        <f>SUM(M27:M55)</f>
        <v>0</v>
      </c>
      <c r="N56" s="499">
        <f>SUM(N27:N55)</f>
        <v>292.20999999999998</v>
      </c>
      <c r="O56" s="499">
        <f>SUM(O27:O55)</f>
        <v>292.20999999999998</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5">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5">
      <c r="A58" s="503" t="s">
        <v>93</v>
      </c>
      <c r="B58" s="438"/>
      <c r="C58" s="438"/>
      <c r="D58" s="438"/>
      <c r="E58" s="438"/>
      <c r="F58" s="438"/>
      <c r="G58" s="438"/>
      <c r="H58" s="438"/>
      <c r="I58" s="438"/>
      <c r="J58" s="438"/>
      <c r="K58" s="438"/>
      <c r="L58" s="504">
        <f>L23+L56</f>
        <v>0</v>
      </c>
      <c r="M58" s="504">
        <f>M23+M56</f>
        <v>0</v>
      </c>
      <c r="N58" s="504">
        <f>N23+N56</f>
        <v>1117.21</v>
      </c>
      <c r="O58" s="505">
        <f>O23+O56</f>
        <v>1117.21</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5">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5">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5">
      <c r="A61" s="469" t="s">
        <v>92</v>
      </c>
      <c r="B61" s="429"/>
      <c r="C61" s="429"/>
      <c r="D61" s="429"/>
      <c r="E61" s="429"/>
      <c r="F61" s="429"/>
      <c r="G61" s="429"/>
      <c r="H61" s="429"/>
      <c r="I61" s="429"/>
      <c r="J61" s="429"/>
      <c r="K61" s="429"/>
      <c r="L61" s="429"/>
      <c r="M61" s="429"/>
      <c r="N61" s="429"/>
      <c r="O61" s="506">
        <f>O21+O56</f>
        <v>1117.21</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5">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5">
      <c r="A63" s="468" t="s">
        <v>116</v>
      </c>
      <c r="O63" s="507">
        <f>IF($D$17&lt;0,O58,IF(O58&gt;O61,O58,O61))</f>
        <v>1117.21</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5">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5">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5">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rQeAk/I/zhw74utCEXkkwBua2UWRvkK9+EIBuifP09uhVWoPzbnc7padUQb9d5AXLc7J0RCAMTH4UxpyyjPCAA==" saltValue="UddZ7oeP+KTcrmhi4oNWL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8417" r:id="rId3" name="Button 1">
              <controlPr defaultSize="0" print="0" autoFill="0" autoPict="0" macro="[0]!Info">
                <anchor moveWithCells="1">
                  <from>
                    <xdr:col>0</xdr:col>
                    <xdr:colOff>38100</xdr:colOff>
                    <xdr:row>0</xdr:row>
                    <xdr:rowOff>30480</xdr:rowOff>
                  </from>
                  <to>
                    <xdr:col>0</xdr:col>
                    <xdr:colOff>381000</xdr:colOff>
                    <xdr:row>2</xdr:row>
                    <xdr:rowOff>30480</xdr:rowOff>
                  </to>
                </anchor>
              </controlPr>
            </control>
          </mc:Choice>
        </mc:AlternateContent>
        <mc:AlternateContent xmlns:mc="http://schemas.openxmlformats.org/markup-compatibility/2006">
          <mc:Choice Requires="x14">
            <control shapeId="188418" r:id="rId4" name="Button 2">
              <controlPr defaultSize="0" print="0" autoFill="0" autoPict="0" macro="[0]!Info">
                <anchor moveWithCells="1">
                  <from>
                    <xdr:col>15</xdr:col>
                    <xdr:colOff>190500</xdr:colOff>
                    <xdr:row>73</xdr:row>
                    <xdr:rowOff>45720</xdr:rowOff>
                  </from>
                  <to>
                    <xdr:col>15</xdr:col>
                    <xdr:colOff>541020</xdr:colOff>
                    <xdr:row>74</xdr:row>
                    <xdr:rowOff>106680</xdr:rowOff>
                  </to>
                </anchor>
              </controlPr>
            </control>
          </mc:Choice>
        </mc:AlternateContent>
        <mc:AlternateContent xmlns:mc="http://schemas.openxmlformats.org/markup-compatibility/2006">
          <mc:Choice Requires="x14">
            <control shapeId="188419" r:id="rId5" name="Button 3">
              <controlPr defaultSize="0" print="0" autoFill="0" autoPict="0" macro="[0]!Info">
                <anchor moveWithCells="1">
                  <from>
                    <xdr:col>0</xdr:col>
                    <xdr:colOff>45720</xdr:colOff>
                    <xdr:row>0</xdr:row>
                    <xdr:rowOff>45720</xdr:rowOff>
                  </from>
                  <to>
                    <xdr:col>0</xdr:col>
                    <xdr:colOff>388620</xdr:colOff>
                    <xdr:row>3</xdr:row>
                    <xdr:rowOff>106680</xdr:rowOff>
                  </to>
                </anchor>
              </controlPr>
            </control>
          </mc:Choice>
        </mc:AlternateContent>
        <mc:AlternateContent xmlns:mc="http://schemas.openxmlformats.org/markup-compatibility/2006">
          <mc:Choice Requires="x14">
            <control shapeId="188420" r:id="rId6" name="Button 4">
              <controlPr defaultSize="0" print="0" autoFill="0" autoPict="0" macro="[0]!Info">
                <anchor moveWithCells="1">
                  <from>
                    <xdr:col>0</xdr:col>
                    <xdr:colOff>45720</xdr:colOff>
                    <xdr:row>0</xdr:row>
                    <xdr:rowOff>45720</xdr:rowOff>
                  </from>
                  <to>
                    <xdr:col>0</xdr:col>
                    <xdr:colOff>388620</xdr:colOff>
                    <xdr:row>3</xdr:row>
                    <xdr:rowOff>106680</xdr:rowOff>
                  </to>
                </anchor>
              </controlPr>
            </control>
          </mc:Choice>
        </mc:AlternateContent>
        <mc:AlternateContent xmlns:mc="http://schemas.openxmlformats.org/markup-compatibility/2006">
          <mc:Choice Requires="x14">
            <control shapeId="188421" r:id="rId7" name="Button 5">
              <controlPr defaultSize="0" print="0" autoFill="0" autoPict="0" macro="[0]!Info">
                <anchor moveWithCells="1">
                  <from>
                    <xdr:col>0</xdr:col>
                    <xdr:colOff>45720</xdr:colOff>
                    <xdr:row>0</xdr:row>
                    <xdr:rowOff>45720</xdr:rowOff>
                  </from>
                  <to>
                    <xdr:col>0</xdr:col>
                    <xdr:colOff>388620</xdr:colOff>
                    <xdr:row>3</xdr:row>
                    <xdr:rowOff>106680</xdr:rowOff>
                  </to>
                </anchor>
              </controlPr>
            </control>
          </mc:Choice>
        </mc:AlternateContent>
        <mc:AlternateContent xmlns:mc="http://schemas.openxmlformats.org/markup-compatibility/2006">
          <mc:Choice Requires="x14">
            <control shapeId="188422" r:id="rId8" name="Button 6">
              <controlPr defaultSize="0" print="0" autoFill="0" autoPict="0" macro="[0]!Info">
                <anchor moveWithCells="1">
                  <from>
                    <xdr:col>0</xdr:col>
                    <xdr:colOff>45720</xdr:colOff>
                    <xdr:row>0</xdr:row>
                    <xdr:rowOff>45720</xdr:rowOff>
                  </from>
                  <to>
                    <xdr:col>0</xdr:col>
                    <xdr:colOff>388620</xdr:colOff>
                    <xdr:row>3</xdr:row>
                    <xdr:rowOff>106680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IV95"/>
  <sheetViews>
    <sheetView showGridLines="0" topLeftCell="A23" zoomScale="80" zoomScaleNormal="80" workbookViewId="0">
      <selection activeCell="J55" sqref="J55"/>
    </sheetView>
  </sheetViews>
  <sheetFormatPr defaultColWidth="9.109375" defaultRowHeight="13.2" x14ac:dyDescent="0.25"/>
  <cols>
    <col min="1" max="1" width="31" style="298" customWidth="1"/>
    <col min="2" max="2" width="2.109375" style="298" customWidth="1"/>
    <col min="3" max="3" width="19.44140625" style="298" customWidth="1"/>
    <col min="4" max="4" width="15.44140625" style="298" customWidth="1"/>
    <col min="5" max="5" width="9.88671875" style="298" customWidth="1"/>
    <col min="6" max="6" width="3.5546875" style="298" customWidth="1"/>
    <col min="7" max="8" width="13.44140625" style="298" customWidth="1"/>
    <col min="9" max="9" width="14.5546875" style="298" customWidth="1"/>
    <col min="10" max="10" width="13.44140625" style="298" customWidth="1"/>
    <col min="11" max="11" width="7" style="298" customWidth="1"/>
    <col min="12" max="12" width="15.109375" style="298" customWidth="1"/>
    <col min="13" max="14" width="14.44140625" style="298" customWidth="1"/>
    <col min="15" max="15" width="16.44140625" style="298" bestFit="1" customWidth="1"/>
    <col min="16" max="16" width="13.88671875" style="298" bestFit="1" customWidth="1"/>
    <col min="17" max="17" width="9.109375" style="298"/>
    <col min="18" max="26" width="9.109375" style="298" hidden="1" customWidth="1"/>
    <col min="27" max="27" width="10.5546875" style="298" hidden="1" customWidth="1"/>
    <col min="28" max="29" width="9.109375" style="298" hidden="1" customWidth="1"/>
    <col min="30" max="30" width="10" style="298" hidden="1" customWidth="1"/>
    <col min="31" max="16384" width="9.109375" style="298"/>
  </cols>
  <sheetData>
    <row r="1" spans="1:256" ht="21" x14ac:dyDescent="0.4">
      <c r="A1" s="588" t="s">
        <v>119</v>
      </c>
      <c r="B1" s="588"/>
      <c r="C1" s="588"/>
      <c r="D1" s="588"/>
      <c r="E1" s="588"/>
      <c r="F1" s="588"/>
      <c r="G1" s="588"/>
      <c r="H1" s="588"/>
      <c r="I1" s="588"/>
      <c r="J1" s="588"/>
      <c r="K1" s="588"/>
      <c r="L1" s="588"/>
      <c r="M1" s="588"/>
      <c r="N1" s="588"/>
      <c r="O1" s="588"/>
      <c r="P1" s="588"/>
    </row>
    <row r="2" spans="1:256" ht="21" x14ac:dyDescent="0.4">
      <c r="A2" s="581" t="s">
        <v>122</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1"/>
      <c r="BZ2" s="581"/>
      <c r="CA2" s="581"/>
      <c r="CB2" s="581"/>
      <c r="CC2" s="581"/>
      <c r="CD2" s="581"/>
      <c r="CE2" s="581"/>
      <c r="CF2" s="581"/>
      <c r="CG2" s="581"/>
      <c r="CH2" s="581"/>
      <c r="CI2" s="581"/>
      <c r="CJ2" s="581"/>
      <c r="CK2" s="581"/>
      <c r="CL2" s="581"/>
      <c r="CM2" s="581"/>
      <c r="CN2" s="581"/>
      <c r="CO2" s="581"/>
      <c r="CP2" s="581"/>
      <c r="CQ2" s="581"/>
      <c r="CR2" s="581"/>
      <c r="CS2" s="581"/>
      <c r="CT2" s="581"/>
      <c r="CU2" s="581"/>
      <c r="CV2" s="581"/>
      <c r="CW2" s="581"/>
      <c r="CX2" s="581"/>
      <c r="CY2" s="581"/>
      <c r="CZ2" s="581"/>
      <c r="DA2" s="581"/>
      <c r="DB2" s="581"/>
      <c r="DC2" s="581"/>
      <c r="DD2" s="581"/>
      <c r="DE2" s="581"/>
      <c r="DF2" s="581"/>
      <c r="DG2" s="581"/>
      <c r="DH2" s="581"/>
      <c r="DI2" s="581"/>
      <c r="DJ2" s="581"/>
      <c r="DK2" s="581"/>
      <c r="DL2" s="581"/>
      <c r="DM2" s="581"/>
      <c r="DN2" s="581"/>
      <c r="DO2" s="581"/>
      <c r="DP2" s="581"/>
      <c r="DQ2" s="581"/>
      <c r="DR2" s="581"/>
      <c r="DS2" s="581"/>
      <c r="DT2" s="581"/>
      <c r="DU2" s="581"/>
      <c r="DV2" s="581"/>
      <c r="DW2" s="581"/>
      <c r="DX2" s="581"/>
      <c r="DY2" s="581"/>
      <c r="DZ2" s="581"/>
      <c r="EA2" s="581"/>
      <c r="EB2" s="581"/>
      <c r="EC2" s="581"/>
      <c r="ED2" s="581"/>
      <c r="EE2" s="581"/>
      <c r="EF2" s="581"/>
      <c r="EG2" s="581"/>
      <c r="EH2" s="581"/>
      <c r="EI2" s="581"/>
      <c r="EJ2" s="581"/>
      <c r="EK2" s="581"/>
      <c r="EL2" s="581"/>
      <c r="EM2" s="581"/>
      <c r="EN2" s="581"/>
      <c r="EO2" s="581"/>
      <c r="EP2" s="581"/>
      <c r="EQ2" s="581"/>
      <c r="ER2" s="581"/>
      <c r="ES2" s="581"/>
      <c r="ET2" s="581"/>
      <c r="EU2" s="581"/>
      <c r="EV2" s="581"/>
      <c r="EW2" s="581"/>
      <c r="EX2" s="581"/>
      <c r="EY2" s="581"/>
      <c r="EZ2" s="581"/>
      <c r="FA2" s="581"/>
      <c r="FB2" s="581"/>
      <c r="FC2" s="581"/>
      <c r="FD2" s="581"/>
      <c r="FE2" s="581"/>
      <c r="FF2" s="581"/>
      <c r="FG2" s="581"/>
      <c r="FH2" s="581"/>
      <c r="FI2" s="581"/>
      <c r="FJ2" s="581"/>
      <c r="FK2" s="581"/>
      <c r="FL2" s="581"/>
      <c r="FM2" s="581"/>
      <c r="FN2" s="581"/>
      <c r="FO2" s="581"/>
      <c r="FP2" s="581"/>
      <c r="FQ2" s="581"/>
      <c r="FR2" s="581"/>
      <c r="FS2" s="581"/>
      <c r="FT2" s="581"/>
      <c r="FU2" s="581"/>
      <c r="FV2" s="581"/>
      <c r="FW2" s="581"/>
      <c r="FX2" s="581"/>
      <c r="FY2" s="581"/>
      <c r="FZ2" s="581"/>
      <c r="GA2" s="581"/>
      <c r="GB2" s="581"/>
      <c r="GC2" s="581"/>
      <c r="GD2" s="581"/>
      <c r="GE2" s="581"/>
      <c r="GF2" s="581"/>
      <c r="GG2" s="581"/>
      <c r="GH2" s="581"/>
      <c r="GI2" s="581"/>
      <c r="GJ2" s="581"/>
      <c r="GK2" s="581"/>
      <c r="GL2" s="581"/>
      <c r="GM2" s="581"/>
      <c r="GN2" s="581"/>
      <c r="GO2" s="581"/>
      <c r="GP2" s="581"/>
      <c r="GQ2" s="581"/>
      <c r="GR2" s="581"/>
      <c r="GS2" s="581"/>
      <c r="GT2" s="581"/>
      <c r="GU2" s="581"/>
      <c r="GV2" s="581"/>
      <c r="GW2" s="581"/>
      <c r="GX2" s="581"/>
      <c r="GY2" s="581"/>
      <c r="GZ2" s="581"/>
      <c r="HA2" s="581"/>
      <c r="HB2" s="581"/>
      <c r="HC2" s="581"/>
      <c r="HD2" s="581"/>
      <c r="HE2" s="581"/>
      <c r="HF2" s="581"/>
      <c r="HG2" s="581"/>
      <c r="HH2" s="581"/>
      <c r="HI2" s="581"/>
      <c r="HJ2" s="581"/>
      <c r="HK2" s="581"/>
      <c r="HL2" s="581"/>
      <c r="HM2" s="581"/>
      <c r="HN2" s="581"/>
      <c r="HO2" s="581"/>
      <c r="HP2" s="581"/>
      <c r="HQ2" s="581"/>
      <c r="HR2" s="581"/>
      <c r="HS2" s="581"/>
      <c r="HT2" s="581"/>
      <c r="HU2" s="581"/>
      <c r="HV2" s="581"/>
      <c r="HW2" s="581"/>
      <c r="HX2" s="581"/>
      <c r="HY2" s="581"/>
      <c r="HZ2" s="581"/>
      <c r="IA2" s="581"/>
      <c r="IB2" s="581"/>
      <c r="IC2" s="581"/>
      <c r="ID2" s="581"/>
      <c r="IE2" s="581"/>
      <c r="IF2" s="581"/>
      <c r="IG2" s="581"/>
      <c r="IH2" s="581"/>
      <c r="II2" s="581"/>
      <c r="IJ2" s="581"/>
      <c r="IK2" s="581"/>
      <c r="IL2" s="581"/>
      <c r="IM2" s="581"/>
      <c r="IN2" s="581"/>
      <c r="IO2" s="581"/>
      <c r="IP2" s="581"/>
      <c r="IQ2" s="581"/>
      <c r="IR2" s="581"/>
      <c r="IS2" s="581"/>
      <c r="IT2" s="581"/>
      <c r="IU2" s="581"/>
      <c r="IV2" s="581"/>
    </row>
    <row r="3" spans="1:256" ht="17.399999999999999" x14ac:dyDescent="0.3">
      <c r="A3" s="589" t="s">
        <v>267</v>
      </c>
      <c r="B3" s="589"/>
      <c r="C3" s="589"/>
      <c r="D3" s="589"/>
      <c r="E3" s="589"/>
      <c r="F3" s="589"/>
      <c r="G3" s="589"/>
      <c r="H3" s="589"/>
      <c r="I3" s="589"/>
      <c r="J3" s="589"/>
      <c r="K3" s="589"/>
      <c r="L3" s="589"/>
      <c r="M3" s="589"/>
      <c r="N3" s="589"/>
      <c r="O3" s="589"/>
      <c r="P3" s="589"/>
    </row>
    <row r="4" spans="1:256" ht="15.6" x14ac:dyDescent="0.3">
      <c r="A4" s="590" t="s">
        <v>94</v>
      </c>
      <c r="B4" s="590"/>
      <c r="C4" s="590"/>
      <c r="D4" s="590"/>
      <c r="E4" s="590"/>
      <c r="F4" s="590"/>
      <c r="G4" s="590"/>
      <c r="H4" s="590"/>
      <c r="I4" s="590"/>
      <c r="J4" s="590"/>
      <c r="K4" s="590"/>
      <c r="L4" s="590"/>
      <c r="M4" s="590"/>
      <c r="N4" s="590"/>
      <c r="O4" s="590"/>
      <c r="P4" s="590"/>
    </row>
    <row r="5" spans="1:256" ht="15" x14ac:dyDescent="0.25">
      <c r="A5" s="373"/>
      <c r="B5" s="373"/>
      <c r="C5" s="373"/>
      <c r="D5" s="373"/>
      <c r="E5" s="373"/>
      <c r="F5" s="373"/>
      <c r="G5" s="373"/>
      <c r="H5" s="373"/>
      <c r="I5" s="373"/>
      <c r="J5" s="373"/>
      <c r="K5" s="373"/>
    </row>
    <row r="6" spans="1:256" x14ac:dyDescent="0.25">
      <c r="A6" s="372">
        <f ca="1">TODAY()</f>
        <v>45588</v>
      </c>
      <c r="B6" s="338" t="s">
        <v>264</v>
      </c>
      <c r="C6" s="372"/>
      <c r="D6" s="372"/>
      <c r="E6" s="372"/>
      <c r="F6" s="372"/>
      <c r="G6" s="372"/>
      <c r="H6" s="372"/>
      <c r="I6" s="372"/>
    </row>
    <row r="7" spans="1:256" ht="24.6" x14ac:dyDescent="0.4">
      <c r="A7" s="582"/>
      <c r="B7" s="582"/>
      <c r="C7" s="582"/>
      <c r="D7" s="582"/>
      <c r="E7" s="582"/>
      <c r="F7" s="582"/>
      <c r="G7" s="582"/>
      <c r="H7" s="582"/>
      <c r="I7" s="582"/>
      <c r="J7" s="582"/>
      <c r="K7" s="582"/>
      <c r="L7" s="582"/>
      <c r="M7" s="582"/>
      <c r="N7" s="582"/>
      <c r="O7" s="582"/>
      <c r="P7" s="582"/>
    </row>
    <row r="8" spans="1:256" ht="15" x14ac:dyDescent="0.25">
      <c r="A8" s="362" t="s">
        <v>2</v>
      </c>
      <c r="B8" s="369"/>
      <c r="C8" s="25">
        <f>'Customer Info'!B7</f>
        <v>0</v>
      </c>
      <c r="D8"/>
      <c r="I8" s="371"/>
    </row>
    <row r="9" spans="1:256" ht="15" x14ac:dyDescent="0.25">
      <c r="A9" s="370" t="s">
        <v>26</v>
      </c>
      <c r="B9" s="369"/>
      <c r="C9" s="25">
        <f>'Customer Info'!B8</f>
        <v>0</v>
      </c>
      <c r="D9"/>
    </row>
    <row r="10" spans="1:256" x14ac:dyDescent="0.25">
      <c r="A10" s="362" t="s">
        <v>3</v>
      </c>
      <c r="B10" s="200">
        <f>'Customer Info'!B9</f>
        <v>11</v>
      </c>
      <c r="C10" s="194" t="str">
        <f>LOOKUP(B10,R10:AD10,R11:AD11)</f>
        <v>November</v>
      </c>
      <c r="D10" s="133">
        <f>'Customer Info'!C9</f>
        <v>2024</v>
      </c>
      <c r="S10" s="298">
        <v>1</v>
      </c>
      <c r="T10" s="298">
        <v>2</v>
      </c>
      <c r="U10" s="298">
        <v>3</v>
      </c>
      <c r="V10" s="298">
        <v>4</v>
      </c>
      <c r="W10" s="298">
        <v>5</v>
      </c>
      <c r="X10" s="298">
        <v>6</v>
      </c>
      <c r="Y10" s="298">
        <v>7</v>
      </c>
      <c r="Z10" s="298">
        <v>8</v>
      </c>
      <c r="AA10" s="298">
        <v>9</v>
      </c>
      <c r="AB10" s="298">
        <v>10</v>
      </c>
      <c r="AC10" s="298">
        <v>11</v>
      </c>
      <c r="AD10" s="298">
        <v>12</v>
      </c>
    </row>
    <row r="11" spans="1:256" ht="15" customHeight="1" x14ac:dyDescent="0.25">
      <c r="A11" s="592"/>
      <c r="B11" s="592"/>
      <c r="C11" s="592"/>
      <c r="D11" s="592"/>
      <c r="E11" s="592"/>
      <c r="F11" s="592"/>
      <c r="G11" s="592"/>
      <c r="H11" s="592"/>
      <c r="I11" s="592"/>
      <c r="R11" s="298" t="s">
        <v>114</v>
      </c>
      <c r="S11" s="368" t="s">
        <v>101</v>
      </c>
      <c r="T11" s="368" t="s">
        <v>102</v>
      </c>
      <c r="U11" s="368" t="s">
        <v>103</v>
      </c>
      <c r="V11" s="368" t="s">
        <v>104</v>
      </c>
      <c r="W11" s="368" t="s">
        <v>105</v>
      </c>
      <c r="X11" s="368" t="s">
        <v>106</v>
      </c>
      <c r="Y11" s="368" t="s">
        <v>107</v>
      </c>
      <c r="Z11" s="368" t="s">
        <v>108</v>
      </c>
      <c r="AA11" s="368" t="s">
        <v>109</v>
      </c>
      <c r="AB11" s="368" t="s">
        <v>111</v>
      </c>
      <c r="AC11" s="368" t="s">
        <v>110</v>
      </c>
      <c r="AD11" s="368" t="s">
        <v>112</v>
      </c>
    </row>
    <row r="12" spans="1:256" x14ac:dyDescent="0.25">
      <c r="A12" s="360" t="s">
        <v>27</v>
      </c>
      <c r="B12" s="359"/>
      <c r="C12" s="359"/>
      <c r="D12" s="359"/>
      <c r="E12" s="359"/>
      <c r="F12" s="359"/>
      <c r="G12" s="359"/>
      <c r="H12" s="359"/>
      <c r="I12" s="359"/>
      <c r="J12" s="359"/>
      <c r="K12" s="359"/>
      <c r="L12" s="359"/>
      <c r="M12" s="359"/>
      <c r="N12" s="359"/>
      <c r="O12" s="359"/>
      <c r="P12" s="359"/>
      <c r="R12" s="308" t="s">
        <v>195</v>
      </c>
      <c r="S12" s="364">
        <v>3.1399999999999997E-2</v>
      </c>
      <c r="T12" s="364">
        <v>3.1399999999999997E-2</v>
      </c>
      <c r="U12" s="364">
        <v>3.1399999999999997E-2</v>
      </c>
      <c r="V12" s="364">
        <v>3.1399999999999997E-2</v>
      </c>
      <c r="W12" s="364">
        <v>3.1399999999999997E-2</v>
      </c>
      <c r="X12" s="364">
        <v>3.1399999999999997E-2</v>
      </c>
      <c r="Y12" s="364">
        <v>3.1399999999999997E-2</v>
      </c>
      <c r="Z12" s="364">
        <v>3.1399999999999997E-2</v>
      </c>
      <c r="AA12" s="364">
        <v>3.1399999999999997E-2</v>
      </c>
      <c r="AB12" s="364">
        <v>3.1399999999999997E-2</v>
      </c>
      <c r="AC12" s="364">
        <v>3.1399999999999997E-2</v>
      </c>
      <c r="AD12" s="364">
        <v>3.1399999999999997E-2</v>
      </c>
    </row>
    <row r="13" spans="1:256" x14ac:dyDescent="0.25">
      <c r="A13" s="357"/>
      <c r="B13" s="357"/>
      <c r="C13" s="367" t="s">
        <v>54</v>
      </c>
      <c r="D13" s="367" t="s">
        <v>55</v>
      </c>
      <c r="E13" s="357"/>
      <c r="F13" s="357"/>
      <c r="G13" s="357"/>
      <c r="H13" s="357"/>
      <c r="I13" s="357"/>
      <c r="J13" s="357"/>
      <c r="K13" s="357"/>
      <c r="L13" s="357"/>
      <c r="M13" s="357"/>
      <c r="N13" s="357"/>
      <c r="O13" s="357"/>
    </row>
    <row r="14" spans="1:256" x14ac:dyDescent="0.25">
      <c r="A14" s="353" t="s">
        <v>28</v>
      </c>
      <c r="B14" s="353"/>
      <c r="C14" s="44">
        <f>'Customer Info'!B19</f>
        <v>0</v>
      </c>
      <c r="D14" s="44">
        <f>ROUND(C14*C20,1)</f>
        <v>0</v>
      </c>
      <c r="E14" s="353" t="s">
        <v>45</v>
      </c>
      <c r="F14" s="366"/>
      <c r="G14" s="353" t="s">
        <v>15</v>
      </c>
      <c r="I14" s="53" t="s">
        <v>15</v>
      </c>
      <c r="J14" s="353"/>
      <c r="K14" s="353"/>
      <c r="L14" s="353"/>
      <c r="M14" s="353"/>
      <c r="N14" s="353"/>
    </row>
    <row r="15" spans="1:256" x14ac:dyDescent="0.25">
      <c r="A15" s="361" t="s">
        <v>29</v>
      </c>
      <c r="B15" s="361"/>
      <c r="C15" s="44">
        <f>'Customer Info'!B20</f>
        <v>0</v>
      </c>
      <c r="D15" s="44">
        <f>C15*C20</f>
        <v>0</v>
      </c>
      <c r="E15" s="353" t="s">
        <v>45</v>
      </c>
      <c r="F15" s="363"/>
      <c r="G15" s="361" t="s">
        <v>30</v>
      </c>
      <c r="I15" s="365" t="str">
        <f>IF(MAX(C14,C15)&gt;0,C16/(MAX(C14,C15)*730), " ")</f>
        <v xml:space="preserve"> </v>
      </c>
      <c r="J15" s="361"/>
      <c r="K15" s="361"/>
      <c r="L15" s="361"/>
      <c r="M15" s="361"/>
      <c r="N15" s="361"/>
      <c r="X15" s="364"/>
      <c r="Y15" s="364"/>
      <c r="Z15" s="364"/>
      <c r="AA15" s="364"/>
    </row>
    <row r="16" spans="1:256" x14ac:dyDescent="0.25">
      <c r="A16" s="361" t="s">
        <v>43</v>
      </c>
      <c r="B16" s="361"/>
      <c r="C16" s="32">
        <f>IF('Customer Info'!B22+'Customer Info'!B23-'Customer Info'!B24&lt;0,0,'Customer Info'!B22+'Customer Info'!B23-'Customer Info'!B24)</f>
        <v>0</v>
      </c>
      <c r="D16" s="32">
        <f>C16*C20</f>
        <v>0</v>
      </c>
      <c r="E16" s="361" t="s">
        <v>41</v>
      </c>
      <c r="F16" s="363"/>
      <c r="G16" s="361"/>
      <c r="H16" s="361"/>
      <c r="I16" s="361"/>
      <c r="J16" s="361"/>
      <c r="K16" s="361"/>
      <c r="L16" s="361"/>
      <c r="M16" s="361"/>
      <c r="N16" s="361"/>
      <c r="O16" s="361"/>
    </row>
    <row r="17" spans="1:30" x14ac:dyDescent="0.25">
      <c r="A17" s="361" t="s">
        <v>293</v>
      </c>
      <c r="B17" s="361"/>
      <c r="C17" s="32">
        <f>'Customer Info'!$B$28</f>
        <v>0</v>
      </c>
      <c r="D17" s="32">
        <f>$C$17*$C$20</f>
        <v>0</v>
      </c>
      <c r="E17" s="361" t="s">
        <v>296</v>
      </c>
      <c r="F17" s="363"/>
      <c r="K17" s="361"/>
      <c r="L17" s="361"/>
      <c r="M17" s="361"/>
      <c r="N17" s="361"/>
    </row>
    <row r="18" spans="1:30" x14ac:dyDescent="0.25">
      <c r="A18" s="361" t="s">
        <v>294</v>
      </c>
      <c r="B18" s="361"/>
      <c r="C18" s="374">
        <f>IF('Customer Info'!$B$19=0,0,ROUND(MAX(ROUND('Customer Info'!$B$19*'GS PRI'!C20,1),ROUND('Customer Info'!$B$20*'GS PRI'!C20,1))/'Customer Info'!$D$30,1))</f>
        <v>0</v>
      </c>
      <c r="D18" s="285">
        <f>$C$18</f>
        <v>0</v>
      </c>
      <c r="E18" s="361" t="s">
        <v>297</v>
      </c>
      <c r="F18" s="363"/>
      <c r="K18" s="361"/>
      <c r="L18" s="361"/>
      <c r="M18" s="361"/>
      <c r="N18" s="361"/>
    </row>
    <row r="19" spans="1:30" x14ac:dyDescent="0.25">
      <c r="A19" s="361" t="s">
        <v>295</v>
      </c>
      <c r="B19" s="361"/>
      <c r="C19" s="32"/>
      <c r="D19" s="374">
        <f>MAX(100,ROUND(1.15*(MAX('Customer Info'!$B$19*'GS PRI'!C20,'Customer Info'!$B$20*'GS PRI'!C20)),1))</f>
        <v>100</v>
      </c>
      <c r="E19" s="361" t="s">
        <v>297</v>
      </c>
      <c r="F19" s="363"/>
      <c r="K19" s="361"/>
      <c r="L19" s="361"/>
      <c r="M19" s="361"/>
      <c r="N19" s="361"/>
    </row>
    <row r="20" spans="1:30" x14ac:dyDescent="0.25">
      <c r="A20" s="361" t="s">
        <v>53</v>
      </c>
      <c r="B20" s="361"/>
      <c r="C20" s="58">
        <f>+'Customer Info'!E19</f>
        <v>1</v>
      </c>
      <c r="D20" s="31"/>
      <c r="E20" s="361"/>
      <c r="F20" s="363"/>
      <c r="G20" s="362"/>
      <c r="H20" s="362"/>
      <c r="I20" s="362"/>
      <c r="J20" s="362"/>
      <c r="K20" s="361"/>
      <c r="L20" s="361"/>
      <c r="M20" s="361"/>
      <c r="N20" s="361"/>
      <c r="S20" s="364"/>
      <c r="T20" s="364"/>
      <c r="U20" s="364"/>
      <c r="V20" s="364"/>
      <c r="W20" s="364"/>
      <c r="X20" s="364"/>
      <c r="Y20" s="364"/>
      <c r="Z20" s="364"/>
      <c r="AA20" s="364"/>
      <c r="AB20" s="364"/>
      <c r="AC20" s="364"/>
      <c r="AD20" s="364"/>
    </row>
    <row r="21" spans="1:30" x14ac:dyDescent="0.25">
      <c r="A21" s="361" t="s">
        <v>15</v>
      </c>
      <c r="B21" s="361"/>
      <c r="C21" s="82" t="s">
        <v>15</v>
      </c>
      <c r="D21" s="584" t="s">
        <v>15</v>
      </c>
      <c r="E21" s="584"/>
      <c r="F21" s="584"/>
      <c r="G21" s="584"/>
      <c r="H21" s="584"/>
      <c r="K21" s="361"/>
      <c r="L21" s="361"/>
      <c r="M21" s="361"/>
      <c r="N21" s="361"/>
      <c r="O21" s="50"/>
    </row>
    <row r="22" spans="1:30" x14ac:dyDescent="0.25">
      <c r="A22" s="361" t="s">
        <v>15</v>
      </c>
      <c r="B22" s="361"/>
      <c r="C22" s="82" t="s">
        <v>15</v>
      </c>
      <c r="D22" s="584" t="s">
        <v>15</v>
      </c>
      <c r="E22" s="584"/>
      <c r="F22" s="584"/>
      <c r="G22" s="584"/>
      <c r="H22" s="584"/>
      <c r="I22" s="362"/>
      <c r="J22" s="362"/>
      <c r="K22" s="361"/>
      <c r="L22" s="361"/>
      <c r="M22" s="361"/>
      <c r="N22" s="361"/>
      <c r="O22" s="50"/>
    </row>
    <row r="23" spans="1:30" x14ac:dyDescent="0.25">
      <c r="A23" s="361"/>
      <c r="B23" s="361"/>
      <c r="C23" s="363"/>
      <c r="D23" s="363"/>
      <c r="E23" s="363"/>
      <c r="F23" s="363"/>
      <c r="G23" s="362"/>
      <c r="H23" s="362"/>
      <c r="I23" s="362"/>
      <c r="J23" s="362"/>
      <c r="K23" s="361"/>
      <c r="L23" s="361"/>
      <c r="M23" s="361"/>
      <c r="N23" s="361"/>
      <c r="O23" s="361"/>
    </row>
    <row r="24" spans="1:30" x14ac:dyDescent="0.25">
      <c r="A24" s="360" t="s">
        <v>31</v>
      </c>
      <c r="B24" s="359"/>
      <c r="C24" s="359"/>
      <c r="D24" s="359"/>
      <c r="E24" s="359"/>
      <c r="F24" s="359"/>
      <c r="G24" s="585" t="s">
        <v>67</v>
      </c>
      <c r="H24" s="586"/>
      <c r="I24" s="586"/>
      <c r="J24" s="587"/>
      <c r="K24" s="359"/>
      <c r="L24" s="591" t="s">
        <v>68</v>
      </c>
      <c r="M24" s="591"/>
      <c r="N24" s="591"/>
      <c r="O24" s="591"/>
    </row>
    <row r="25" spans="1:30" x14ac:dyDescent="0.25">
      <c r="A25" s="357"/>
      <c r="B25" s="357"/>
      <c r="C25" s="357"/>
      <c r="D25" s="357"/>
      <c r="E25" s="357"/>
      <c r="F25" s="357"/>
      <c r="G25" s="358" t="s">
        <v>64</v>
      </c>
      <c r="H25" s="358" t="s">
        <v>65</v>
      </c>
      <c r="I25" s="358" t="s">
        <v>66</v>
      </c>
      <c r="J25" s="346" t="s">
        <v>34</v>
      </c>
      <c r="K25" s="357"/>
      <c r="L25" s="375" t="s">
        <v>64</v>
      </c>
      <c r="M25" s="375" t="s">
        <v>65</v>
      </c>
      <c r="N25" s="375" t="s">
        <v>66</v>
      </c>
      <c r="O25" s="356" t="s">
        <v>34</v>
      </c>
      <c r="P25" s="355" t="s">
        <v>56</v>
      </c>
    </row>
    <row r="26" spans="1:30" x14ac:dyDescent="0.25">
      <c r="A26" s="298" t="s">
        <v>32</v>
      </c>
      <c r="G26" s="86"/>
      <c r="H26" s="86"/>
      <c r="I26" s="86">
        <v>9.4</v>
      </c>
      <c r="J26" s="86">
        <f>SUM(G26:I26)</f>
        <v>9.4</v>
      </c>
      <c r="L26" s="354"/>
      <c r="M26" s="354"/>
      <c r="N26" s="354">
        <f>I26</f>
        <v>9.4</v>
      </c>
      <c r="O26" s="209">
        <f>SUM(L26:N26)</f>
        <v>9.4</v>
      </c>
      <c r="P26" s="318">
        <v>44531</v>
      </c>
    </row>
    <row r="27" spans="1:30" x14ac:dyDescent="0.25">
      <c r="A27" s="298" t="s">
        <v>132</v>
      </c>
      <c r="D27" s="321">
        <f>D16</f>
        <v>0</v>
      </c>
      <c r="E27" s="336" t="s">
        <v>41</v>
      </c>
      <c r="F27" s="335" t="s">
        <v>8</v>
      </c>
      <c r="G27" s="84"/>
      <c r="H27" s="86"/>
      <c r="I27" s="86"/>
      <c r="J27" s="84"/>
      <c r="K27" s="334" t="s">
        <v>42</v>
      </c>
      <c r="L27" s="87"/>
      <c r="M27" s="354"/>
      <c r="N27" s="87"/>
      <c r="O27" s="209"/>
      <c r="P27" s="318"/>
    </row>
    <row r="28" spans="1:30" x14ac:dyDescent="0.25">
      <c r="A28" s="298" t="s">
        <v>33</v>
      </c>
      <c r="D28" s="347">
        <f>ROUND(MAX(D14,D15,('Customer Info'!B15-100)*0.6,('Customer Info'!B17-100)*0.6),1)</f>
        <v>0</v>
      </c>
      <c r="E28" s="353" t="s">
        <v>45</v>
      </c>
      <c r="F28" s="307" t="s">
        <v>8</v>
      </c>
      <c r="G28" s="85"/>
      <c r="H28" s="85"/>
      <c r="I28" s="85">
        <v>7.01</v>
      </c>
      <c r="J28" s="85">
        <f>SUM(G28:I28)</f>
        <v>7.01</v>
      </c>
      <c r="K28" s="311" t="s">
        <v>44</v>
      </c>
      <c r="L28" s="87"/>
      <c r="M28" s="87"/>
      <c r="N28" s="87">
        <f>ROUND($D28*I28,2)</f>
        <v>0</v>
      </c>
      <c r="O28" s="209">
        <f>SUM(L28:N28)</f>
        <v>0</v>
      </c>
      <c r="P28" s="318">
        <v>44531</v>
      </c>
    </row>
    <row r="29" spans="1:30" x14ac:dyDescent="0.25">
      <c r="A29" s="298" t="s">
        <v>270</v>
      </c>
      <c r="D29" s="347">
        <f>IF(D18&lt;=100,0,ROUND(IF(D18-D19&gt;0,D18-D19),1))</f>
        <v>0</v>
      </c>
      <c r="E29" s="353" t="s">
        <v>268</v>
      </c>
      <c r="F29" s="307" t="s">
        <v>8</v>
      </c>
      <c r="G29" s="116"/>
      <c r="H29" s="85"/>
      <c r="I29" s="85">
        <v>1.25</v>
      </c>
      <c r="J29" s="116">
        <f>SUM(G29:I29)</f>
        <v>1.25</v>
      </c>
      <c r="K29" s="311" t="s">
        <v>44</v>
      </c>
      <c r="L29" s="87"/>
      <c r="M29" s="87"/>
      <c r="N29" s="87">
        <f>ROUND($D29*I29,2)</f>
        <v>0</v>
      </c>
      <c r="O29" s="87">
        <f>SUM(L29:N29)</f>
        <v>0</v>
      </c>
      <c r="P29" s="318">
        <v>44531</v>
      </c>
    </row>
    <row r="30" spans="1:30" x14ac:dyDescent="0.25">
      <c r="A30" s="302" t="s">
        <v>50</v>
      </c>
      <c r="B30" s="302"/>
      <c r="C30" s="302"/>
      <c r="D30" s="352"/>
      <c r="E30" s="352"/>
      <c r="F30" s="302"/>
      <c r="G30" s="302"/>
      <c r="H30" s="302"/>
      <c r="I30" s="302"/>
      <c r="J30" s="302"/>
      <c r="K30" s="351"/>
      <c r="L30" s="40"/>
      <c r="M30" s="40"/>
      <c r="N30" s="40">
        <f>SUM(N26:N29)</f>
        <v>9.4</v>
      </c>
      <c r="O30" s="40">
        <f>SUM(O26:O29)</f>
        <v>9.4</v>
      </c>
    </row>
    <row r="31" spans="1:30" x14ac:dyDescent="0.25">
      <c r="A31" s="348"/>
      <c r="B31" s="348"/>
      <c r="C31" s="350"/>
      <c r="D31" s="350"/>
      <c r="E31" s="350"/>
      <c r="F31" s="350"/>
      <c r="G31" s="349"/>
      <c r="H31" s="349"/>
      <c r="I31" s="349"/>
      <c r="J31" s="349"/>
      <c r="K31" s="348"/>
      <c r="L31" s="348"/>
      <c r="M31" s="348"/>
      <c r="N31" s="348"/>
      <c r="O31" s="348"/>
      <c r="P31" s="348"/>
    </row>
    <row r="32" spans="1:30" x14ac:dyDescent="0.25">
      <c r="A32" s="305" t="s">
        <v>69</v>
      </c>
      <c r="D32" s="321"/>
      <c r="E32" s="321"/>
      <c r="K32" s="311"/>
      <c r="L32" s="311"/>
      <c r="M32" s="311"/>
      <c r="N32" s="311"/>
      <c r="O32" s="34"/>
      <c r="P32" s="34"/>
    </row>
    <row r="33" spans="1:220" x14ac:dyDescent="0.25">
      <c r="A33" s="302"/>
      <c r="D33" s="321"/>
      <c r="E33" s="321"/>
      <c r="K33" s="311"/>
      <c r="L33" s="311"/>
      <c r="M33" s="311"/>
      <c r="N33" s="311"/>
      <c r="O33" s="34"/>
    </row>
    <row r="34" spans="1:220" x14ac:dyDescent="0.25">
      <c r="A34" s="314" t="s">
        <v>78</v>
      </c>
      <c r="D34" s="1">
        <f>IF($C$16&lt;0,0,IF($C$16&gt;833000,833000,$C$16))</f>
        <v>0</v>
      </c>
      <c r="E34" s="320" t="s">
        <v>41</v>
      </c>
      <c r="F34" s="307" t="s">
        <v>8</v>
      </c>
      <c r="G34" s="83"/>
      <c r="H34" s="84"/>
      <c r="I34" s="103">
        <f>'Rider Rates'!$B$4</f>
        <v>5.9216E-3</v>
      </c>
      <c r="J34" s="6">
        <f>SUM(G34:I34)</f>
        <v>5.9216E-3</v>
      </c>
      <c r="K34" s="311" t="s">
        <v>42</v>
      </c>
      <c r="L34" s="87"/>
      <c r="M34" s="87"/>
      <c r="N34" s="87">
        <f>ROUND($D34*I34,2)</f>
        <v>0</v>
      </c>
      <c r="O34" s="87">
        <f t="shared" ref="O34:O50" si="0">SUM(L34:N34)</f>
        <v>0</v>
      </c>
      <c r="P34" s="245">
        <f>'Rider Rates'!$D$4</f>
        <v>45293</v>
      </c>
    </row>
    <row r="35" spans="1:220" x14ac:dyDescent="0.25">
      <c r="A35" s="314" t="s">
        <v>79</v>
      </c>
      <c r="D35" s="1">
        <f>IF($C$16-833000&gt;0,$C$16-D34,0)</f>
        <v>0</v>
      </c>
      <c r="E35" s="320" t="s">
        <v>41</v>
      </c>
      <c r="F35" s="307" t="s">
        <v>8</v>
      </c>
      <c r="G35" s="83"/>
      <c r="H35" s="84"/>
      <c r="I35" s="103">
        <f>'Rider Rates'!$B$5</f>
        <v>1.7560000000000001E-4</v>
      </c>
      <c r="J35" s="118">
        <f>SUM(G35:I35)</f>
        <v>1.7560000000000001E-4</v>
      </c>
      <c r="K35" s="311" t="s">
        <v>42</v>
      </c>
      <c r="L35" s="87"/>
      <c r="M35" s="87"/>
      <c r="N35" s="87">
        <f>ROUND($D35*I35,2)</f>
        <v>0</v>
      </c>
      <c r="O35" s="87">
        <f t="shared" si="0"/>
        <v>0</v>
      </c>
      <c r="P35" s="245">
        <f>'Rider Rates'!$D$4</f>
        <v>45293</v>
      </c>
    </row>
    <row r="36" spans="1:220" x14ac:dyDescent="0.25">
      <c r="A36" s="314" t="s">
        <v>47</v>
      </c>
      <c r="B36" s="298" t="s">
        <v>15</v>
      </c>
      <c r="D36" s="1">
        <f>IF('Customer Info'!$C$33=TRUE,0,IF(C16&lt;0,0,IF(C16&gt;2000,2000,C16)))</f>
        <v>0</v>
      </c>
      <c r="E36" s="320" t="s">
        <v>41</v>
      </c>
      <c r="F36" s="307" t="s">
        <v>8</v>
      </c>
      <c r="G36" s="83"/>
      <c r="H36" s="84"/>
      <c r="I36" s="177">
        <f>'Rider Rates'!$B$8</f>
        <v>4.6499999999999996E-3</v>
      </c>
      <c r="J36" s="117">
        <f>SUM(G36:I36)</f>
        <v>4.6499999999999996E-3</v>
      </c>
      <c r="K36" s="311" t="s">
        <v>42</v>
      </c>
      <c r="L36" s="87"/>
      <c r="M36" s="87"/>
      <c r="N36" s="87">
        <f>ROUND($D36*I36,2)</f>
        <v>0</v>
      </c>
      <c r="O36" s="87">
        <f t="shared" si="0"/>
        <v>0</v>
      </c>
      <c r="P36" s="245">
        <f>'Rider Rates'!$D$7</f>
        <v>44531</v>
      </c>
    </row>
    <row r="37" spans="1:220" x14ac:dyDescent="0.25">
      <c r="A37" s="314" t="s">
        <v>48</v>
      </c>
      <c r="B37" s="298" t="s">
        <v>15</v>
      </c>
      <c r="D37" s="1">
        <f>IF('Customer Info'!$C$33=TRUE,0,IF(C16&gt;15000,13000,IF(C16&gt;2000,C16-2000,0)))</f>
        <v>0</v>
      </c>
      <c r="E37" s="320" t="s">
        <v>41</v>
      </c>
      <c r="F37" s="307" t="s">
        <v>8</v>
      </c>
      <c r="G37" s="83"/>
      <c r="H37" s="84"/>
      <c r="I37" s="177">
        <f>'Rider Rates'!$B$9</f>
        <v>4.1900000000000001E-3</v>
      </c>
      <c r="J37" s="117">
        <f>SUM(G37:I37)</f>
        <v>4.1900000000000001E-3</v>
      </c>
      <c r="K37" s="311" t="s">
        <v>42</v>
      </c>
      <c r="L37" s="87"/>
      <c r="M37" s="87"/>
      <c r="N37" s="87">
        <f>ROUND($D37*I37,2)</f>
        <v>0</v>
      </c>
      <c r="O37" s="87">
        <f t="shared" si="0"/>
        <v>0</v>
      </c>
      <c r="P37" s="245">
        <f>'Rider Rates'!$D$7</f>
        <v>44531</v>
      </c>
    </row>
    <row r="38" spans="1:220" x14ac:dyDescent="0.25">
      <c r="A38" s="314" t="s">
        <v>49</v>
      </c>
      <c r="B38" s="298" t="s">
        <v>15</v>
      </c>
      <c r="D38" s="1">
        <f>IF('Customer Info'!$C$33=TRUE,0,IF(C16-D36-D37&gt;0,C16-D36-D37,0))</f>
        <v>0</v>
      </c>
      <c r="E38" s="320" t="s">
        <v>41</v>
      </c>
      <c r="F38" s="307" t="s">
        <v>8</v>
      </c>
      <c r="G38" s="83"/>
      <c r="H38" s="84"/>
      <c r="I38" s="177">
        <f>'Rider Rates'!$B$10</f>
        <v>3.63E-3</v>
      </c>
      <c r="J38" s="117">
        <f>SUM(G38:I38)</f>
        <v>3.63E-3</v>
      </c>
      <c r="K38" s="311" t="s">
        <v>42</v>
      </c>
      <c r="L38" s="87"/>
      <c r="M38" s="87"/>
      <c r="N38" s="87">
        <f>ROUND($D38*I38,2)</f>
        <v>0</v>
      </c>
      <c r="O38" s="87">
        <f t="shared" si="0"/>
        <v>0</v>
      </c>
      <c r="P38" s="245">
        <f>'Rider Rates'!$D$7</f>
        <v>44531</v>
      </c>
    </row>
    <row r="39" spans="1:220" x14ac:dyDescent="0.25">
      <c r="A39" s="338" t="s">
        <v>245</v>
      </c>
      <c r="B39" s="314"/>
      <c r="C39" s="314"/>
      <c r="D39" s="208">
        <f>$N$30</f>
        <v>9.4</v>
      </c>
      <c r="E39" s="336" t="s">
        <v>121</v>
      </c>
      <c r="F39" s="335" t="s">
        <v>8</v>
      </c>
      <c r="G39" s="103"/>
      <c r="H39" s="103"/>
      <c r="I39" s="178">
        <f>'Rider Rates'!$B$18+'Rider Rates'!$E$18</f>
        <v>0</v>
      </c>
      <c r="J39" s="343">
        <f>SUM(H39:I39)</f>
        <v>0</v>
      </c>
      <c r="K39" s="334"/>
      <c r="L39" s="105"/>
      <c r="M39" s="105"/>
      <c r="N39" s="105">
        <v>0</v>
      </c>
      <c r="O39" s="105">
        <f t="shared" si="0"/>
        <v>0</v>
      </c>
      <c r="P39" s="245">
        <f>MAX('Rider Rates'!$D$18,'Rider Rates'!$F$18)</f>
        <v>44531</v>
      </c>
    </row>
    <row r="40" spans="1:220" x14ac:dyDescent="0.25">
      <c r="A40" s="338" t="s">
        <v>194</v>
      </c>
      <c r="B40" s="314"/>
      <c r="C40" s="314"/>
      <c r="D40" s="100">
        <f>'Customer Info'!$B$22+'Customer Info'!$B$23-'Customer Info'!$B$24</f>
        <v>0</v>
      </c>
      <c r="E40" s="336" t="s">
        <v>41</v>
      </c>
      <c r="F40" s="335" t="s">
        <v>8</v>
      </c>
      <c r="G40" s="103">
        <f>'Rider Rates'!B23</f>
        <v>7.0209999999999995E-2</v>
      </c>
      <c r="H40" s="103"/>
      <c r="I40" s="103"/>
      <c r="J40" s="339">
        <f>SUM(G40:H40)</f>
        <v>7.0209999999999995E-2</v>
      </c>
      <c r="K40" s="334" t="s">
        <v>42</v>
      </c>
      <c r="L40" s="105">
        <f>ROUND(D40*G40,2)</f>
        <v>0</v>
      </c>
      <c r="M40" s="105"/>
      <c r="N40" s="105"/>
      <c r="O40" s="105">
        <f t="shared" si="0"/>
        <v>0</v>
      </c>
      <c r="P40" s="245">
        <f>'Rider Rates'!$D$23</f>
        <v>45444</v>
      </c>
    </row>
    <row r="41" spans="1:220" x14ac:dyDescent="0.25">
      <c r="A41" s="338" t="s">
        <v>161</v>
      </c>
      <c r="B41" s="314"/>
      <c r="C41" s="314"/>
      <c r="D41" s="100">
        <f>'Customer Info'!$B$22+'Customer Info'!$B$23-'Customer Info'!$B$24</f>
        <v>0</v>
      </c>
      <c r="E41" s="336" t="s">
        <v>41</v>
      </c>
      <c r="F41" s="335" t="s">
        <v>8</v>
      </c>
      <c r="G41" s="103">
        <f>'Rider Rates'!B37</f>
        <v>2.65E-3</v>
      </c>
      <c r="H41" s="103"/>
      <c r="I41" s="103"/>
      <c r="J41" s="339">
        <f>SUM(G41:H41)</f>
        <v>2.65E-3</v>
      </c>
      <c r="K41" s="334" t="s">
        <v>42</v>
      </c>
      <c r="L41" s="105">
        <f>ROUND(D41*G41,2)</f>
        <v>0</v>
      </c>
      <c r="M41" s="105"/>
      <c r="N41" s="105"/>
      <c r="O41" s="105">
        <f t="shared" si="0"/>
        <v>0</v>
      </c>
      <c r="P41" s="245">
        <f>'Rider Rates'!$D$42</f>
        <v>45444</v>
      </c>
    </row>
    <row r="42" spans="1:220" x14ac:dyDescent="0.25">
      <c r="A42" s="338" t="s">
        <v>201</v>
      </c>
      <c r="B42" s="314"/>
      <c r="C42" s="314"/>
      <c r="D42" s="100">
        <f>'Customer Info'!$B$22+'Customer Info'!$B$23-'Customer Info'!$B$24</f>
        <v>0</v>
      </c>
      <c r="E42" s="336" t="s">
        <v>41</v>
      </c>
      <c r="F42" s="335" t="s">
        <v>8</v>
      </c>
      <c r="G42" s="103">
        <f>'Rider Rates'!$B$49</f>
        <v>-1.2408E-3</v>
      </c>
      <c r="H42" s="103"/>
      <c r="I42" s="103"/>
      <c r="J42" s="339">
        <f>SUM(G42:H42)</f>
        <v>-1.2408E-3</v>
      </c>
      <c r="K42" s="334" t="s">
        <v>42</v>
      </c>
      <c r="L42" s="105">
        <f>ROUND(D42*G42,2)</f>
        <v>0</v>
      </c>
      <c r="M42" s="105"/>
      <c r="N42" s="105"/>
      <c r="O42" s="105">
        <f t="shared" si="0"/>
        <v>0</v>
      </c>
      <c r="P42" s="245">
        <f>'Rider Rates'!$D$49</f>
        <v>45562</v>
      </c>
    </row>
    <row r="43" spans="1:220" x14ac:dyDescent="0.25">
      <c r="A43" s="338" t="s">
        <v>218</v>
      </c>
      <c r="B43" s="314"/>
      <c r="C43" s="314"/>
      <c r="D43" s="1">
        <f>IF($C$16&lt;0,0,IF($C$16&gt;833000,833000,$C$16))</f>
        <v>0</v>
      </c>
      <c r="E43" s="336" t="s">
        <v>41</v>
      </c>
      <c r="F43" s="335" t="s">
        <v>8</v>
      </c>
      <c r="G43" s="103"/>
      <c r="H43" s="103"/>
      <c r="I43" s="103">
        <f>'Rider Rates'!D53</f>
        <v>1.8006999999999999E-3</v>
      </c>
      <c r="J43" s="103">
        <f>SUM(G43:I43)</f>
        <v>1.8006999999999999E-3</v>
      </c>
      <c r="K43" s="334" t="s">
        <v>42</v>
      </c>
      <c r="L43" s="105"/>
      <c r="M43" s="105"/>
      <c r="N43" s="87">
        <f>D43*J43</f>
        <v>0</v>
      </c>
      <c r="O43" s="105">
        <f t="shared" si="0"/>
        <v>0</v>
      </c>
      <c r="P43" s="245">
        <f>'Rider Rates'!E53</f>
        <v>45474</v>
      </c>
    </row>
    <row r="44" spans="1:220" x14ac:dyDescent="0.25">
      <c r="A44" s="338" t="s">
        <v>197</v>
      </c>
      <c r="B44" s="314"/>
      <c r="C44" s="314"/>
      <c r="D44" s="1">
        <f>IF($C$16&lt;0,0,$C$16)</f>
        <v>0</v>
      </c>
      <c r="E44" s="345" t="s">
        <v>41</v>
      </c>
      <c r="F44" s="335" t="s">
        <v>8</v>
      </c>
      <c r="G44" s="103"/>
      <c r="H44" s="103">
        <f>'Rider Rates'!$B$61</f>
        <v>6.0079999999999997E-4</v>
      </c>
      <c r="I44" s="103"/>
      <c r="J44" s="103">
        <f>SUM(G44:I44)</f>
        <v>6.0079999999999997E-4</v>
      </c>
      <c r="K44" s="334" t="s">
        <v>42</v>
      </c>
      <c r="L44" s="105"/>
      <c r="M44" s="105">
        <f>ROUND(D44*H44,2)</f>
        <v>0</v>
      </c>
      <c r="N44" s="205"/>
      <c r="O44" s="105">
        <f t="shared" si="0"/>
        <v>0</v>
      </c>
      <c r="P44" s="245">
        <f>'Rider Rates'!$D$61</f>
        <v>45383</v>
      </c>
    </row>
    <row r="45" spans="1:220" x14ac:dyDescent="0.25">
      <c r="A45" s="338" t="s">
        <v>197</v>
      </c>
      <c r="B45" s="314"/>
      <c r="C45" s="314"/>
      <c r="D45" s="49">
        <f>D14</f>
        <v>0</v>
      </c>
      <c r="E45" s="320" t="s">
        <v>63</v>
      </c>
      <c r="F45" s="307" t="s">
        <v>8</v>
      </c>
      <c r="G45" s="103"/>
      <c r="H45" s="239">
        <f>'Rider Rates'!$B$66</f>
        <v>6.73</v>
      </c>
      <c r="I45" s="103"/>
      <c r="J45" s="239">
        <f>SUM(G45:I45)</f>
        <v>6.73</v>
      </c>
      <c r="K45" s="334" t="s">
        <v>44</v>
      </c>
      <c r="L45" s="105"/>
      <c r="M45" s="105">
        <f>ROUND(D45*H45,2)</f>
        <v>0</v>
      </c>
      <c r="N45" s="205"/>
      <c r="O45" s="105">
        <f t="shared" si="0"/>
        <v>0</v>
      </c>
      <c r="P45" s="245">
        <f>'Rider Rates'!$D$66</f>
        <v>45383</v>
      </c>
    </row>
    <row r="46" spans="1:220" x14ac:dyDescent="0.25">
      <c r="A46" s="338" t="s">
        <v>82</v>
      </c>
      <c r="B46" s="314"/>
      <c r="C46" s="314"/>
      <c r="D46" s="1">
        <f>IF('Customer Info'!C35=TRUE,0,IF($C$16&lt;0,0,$C$16))</f>
        <v>0</v>
      </c>
      <c r="E46" s="336" t="s">
        <v>41</v>
      </c>
      <c r="F46" s="335" t="s">
        <v>8</v>
      </c>
      <c r="G46" s="103"/>
      <c r="H46" s="103"/>
      <c r="I46" s="103">
        <f>'Rider Rates'!$B$75+'Rider Rates'!$C$75</f>
        <v>0</v>
      </c>
      <c r="J46" s="103">
        <f>SUM(G46:I46)</f>
        <v>0</v>
      </c>
      <c r="K46" s="334" t="s">
        <v>42</v>
      </c>
      <c r="L46" s="105"/>
      <c r="M46" s="105"/>
      <c r="N46" s="87">
        <v>0</v>
      </c>
      <c r="O46" s="209">
        <f t="shared" si="0"/>
        <v>0</v>
      </c>
      <c r="P46" s="245">
        <f>'Rider Rates'!$D$75</f>
        <v>44531</v>
      </c>
      <c r="Q46" s="107"/>
      <c r="R46" s="331"/>
      <c r="S46" s="109"/>
      <c r="T46" s="314"/>
      <c r="U46" s="330"/>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14"/>
      <c r="CQ46" s="314"/>
      <c r="CR46" s="314"/>
      <c r="CS46" s="314"/>
      <c r="CT46" s="314"/>
      <c r="CU46" s="314"/>
      <c r="CV46" s="314"/>
      <c r="CW46" s="314"/>
      <c r="CX46" s="314"/>
      <c r="CY46" s="314"/>
      <c r="CZ46" s="314"/>
      <c r="DA46" s="314"/>
      <c r="DB46" s="314"/>
      <c r="DC46" s="314"/>
      <c r="DD46" s="314"/>
      <c r="DE46" s="314"/>
      <c r="DF46" s="314"/>
      <c r="DG46" s="314"/>
      <c r="DH46" s="314"/>
      <c r="DI46" s="314"/>
      <c r="DJ46" s="314"/>
      <c r="DK46" s="314"/>
      <c r="DL46" s="314"/>
      <c r="DM46" s="314"/>
      <c r="DN46" s="314"/>
      <c r="DO46" s="314"/>
      <c r="DP46" s="314"/>
      <c r="DQ46" s="314"/>
      <c r="DR46" s="314"/>
      <c r="DS46" s="314"/>
      <c r="DT46" s="314"/>
      <c r="DU46" s="314"/>
      <c r="DV46" s="314"/>
      <c r="DW46" s="314"/>
      <c r="DX46" s="314"/>
      <c r="DY46" s="314"/>
      <c r="DZ46" s="314"/>
      <c r="EA46" s="314"/>
      <c r="EB46" s="314"/>
      <c r="EC46" s="314"/>
      <c r="ED46" s="314"/>
      <c r="EE46" s="314"/>
      <c r="EF46" s="314"/>
      <c r="EG46" s="314"/>
      <c r="EH46" s="314"/>
      <c r="EI46" s="314"/>
      <c r="EJ46" s="314"/>
      <c r="EK46" s="314"/>
      <c r="EL46" s="314"/>
      <c r="EM46" s="314"/>
      <c r="EN46" s="314"/>
      <c r="EO46" s="314"/>
      <c r="EP46" s="314"/>
      <c r="EQ46" s="314"/>
      <c r="ER46" s="314"/>
      <c r="ES46" s="314"/>
      <c r="ET46" s="314"/>
      <c r="EU46" s="314"/>
      <c r="EV46" s="314"/>
      <c r="EW46" s="314"/>
      <c r="EX46" s="314"/>
      <c r="EY46" s="314"/>
      <c r="EZ46" s="314"/>
      <c r="FA46" s="314"/>
      <c r="FB46" s="314"/>
      <c r="FC46" s="314"/>
      <c r="FD46" s="314"/>
      <c r="FE46" s="314"/>
      <c r="FF46" s="314"/>
      <c r="FG46" s="314"/>
      <c r="FH46" s="314"/>
      <c r="FI46" s="314"/>
      <c r="FJ46" s="314"/>
      <c r="FK46" s="314"/>
      <c r="FL46" s="314"/>
      <c r="FM46" s="314"/>
      <c r="FN46" s="314"/>
      <c r="FO46" s="314"/>
      <c r="FP46" s="314"/>
      <c r="FQ46" s="314"/>
      <c r="FR46" s="314"/>
      <c r="FS46" s="314"/>
      <c r="FT46" s="314"/>
      <c r="FU46" s="314"/>
      <c r="FV46" s="314"/>
      <c r="FW46" s="314"/>
      <c r="FX46" s="314"/>
      <c r="FY46" s="314"/>
      <c r="FZ46" s="314"/>
      <c r="GA46" s="314"/>
      <c r="GB46" s="314"/>
      <c r="GC46" s="314"/>
      <c r="GD46" s="314"/>
      <c r="GE46" s="314"/>
      <c r="GF46" s="314"/>
      <c r="GG46" s="314"/>
      <c r="GH46" s="314"/>
      <c r="GI46" s="314"/>
      <c r="GJ46" s="314"/>
      <c r="GK46" s="314"/>
      <c r="GL46" s="314"/>
      <c r="GM46" s="314"/>
      <c r="GN46" s="314"/>
      <c r="GO46" s="314"/>
      <c r="GP46" s="314"/>
      <c r="GQ46" s="314"/>
      <c r="GR46" s="314"/>
      <c r="GS46" s="314"/>
      <c r="GT46" s="314"/>
      <c r="GU46" s="314"/>
      <c r="GV46" s="314"/>
      <c r="GW46" s="314"/>
      <c r="GX46" s="314"/>
      <c r="GY46" s="314"/>
      <c r="GZ46" s="314"/>
      <c r="HA46" s="314"/>
      <c r="HB46" s="314"/>
      <c r="HC46" s="314"/>
      <c r="HD46" s="314"/>
      <c r="HE46" s="314"/>
      <c r="HF46" s="314"/>
      <c r="HG46" s="314"/>
      <c r="HH46" s="314"/>
      <c r="HI46" s="314"/>
      <c r="HJ46" s="314"/>
      <c r="HK46" s="314"/>
      <c r="HL46" s="314"/>
    </row>
    <row r="47" spans="1:220" x14ac:dyDescent="0.25">
      <c r="A47" s="338" t="s">
        <v>82</v>
      </c>
      <c r="B47" s="314"/>
      <c r="C47" s="314"/>
      <c r="D47" s="49">
        <f>IF('Customer Info'!C35=TRUE,0,$D$28)</f>
        <v>0</v>
      </c>
      <c r="E47" s="336" t="s">
        <v>45</v>
      </c>
      <c r="F47" s="335" t="s">
        <v>8</v>
      </c>
      <c r="G47" s="103"/>
      <c r="H47" s="103"/>
      <c r="I47" s="239">
        <f>'Rider Rates'!$B$85</f>
        <v>0</v>
      </c>
      <c r="J47" s="239">
        <f>SUM(G47:I47)</f>
        <v>0</v>
      </c>
      <c r="K47" s="334" t="s">
        <v>42</v>
      </c>
      <c r="L47" s="105"/>
      <c r="M47" s="105"/>
      <c r="N47" s="87">
        <f>ROUND($D47*I47,2)</f>
        <v>0</v>
      </c>
      <c r="O47" s="209">
        <f t="shared" si="0"/>
        <v>0</v>
      </c>
      <c r="P47" s="245">
        <f>'Rider Rates'!$D$85</f>
        <v>45444</v>
      </c>
      <c r="Q47" s="107"/>
      <c r="R47" s="331"/>
      <c r="S47" s="109"/>
      <c r="T47" s="314"/>
      <c r="U47" s="330"/>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314"/>
      <c r="CV47" s="314"/>
      <c r="CW47" s="314"/>
      <c r="CX47" s="314"/>
      <c r="CY47" s="314"/>
      <c r="CZ47" s="314"/>
      <c r="DA47" s="314"/>
      <c r="DB47" s="314"/>
      <c r="DC47" s="314"/>
      <c r="DD47" s="314"/>
      <c r="DE47" s="314"/>
      <c r="DF47" s="314"/>
      <c r="DG47" s="314"/>
      <c r="DH47" s="314"/>
      <c r="DI47" s="314"/>
      <c r="DJ47" s="314"/>
      <c r="DK47" s="314"/>
      <c r="DL47" s="314"/>
      <c r="DM47" s="314"/>
      <c r="DN47" s="314"/>
      <c r="DO47" s="314"/>
      <c r="DP47" s="314"/>
      <c r="DQ47" s="314"/>
      <c r="DR47" s="314"/>
      <c r="DS47" s="314"/>
      <c r="DT47" s="314"/>
      <c r="DU47" s="314"/>
      <c r="DV47" s="314"/>
      <c r="DW47" s="314"/>
      <c r="DX47" s="314"/>
      <c r="DY47" s="314"/>
      <c r="DZ47" s="314"/>
      <c r="EA47" s="314"/>
      <c r="EB47" s="314"/>
      <c r="EC47" s="314"/>
      <c r="ED47" s="314"/>
      <c r="EE47" s="314"/>
      <c r="EF47" s="314"/>
      <c r="EG47" s="314"/>
      <c r="EH47" s="314"/>
      <c r="EI47" s="314"/>
      <c r="EJ47" s="314"/>
      <c r="EK47" s="314"/>
      <c r="EL47" s="314"/>
      <c r="EM47" s="314"/>
      <c r="EN47" s="314"/>
      <c r="EO47" s="314"/>
      <c r="EP47" s="314"/>
      <c r="EQ47" s="314"/>
      <c r="ER47" s="314"/>
      <c r="ES47" s="314"/>
      <c r="ET47" s="314"/>
      <c r="EU47" s="314"/>
      <c r="EV47" s="314"/>
      <c r="EW47" s="314"/>
      <c r="EX47" s="314"/>
      <c r="EY47" s="314"/>
      <c r="EZ47" s="314"/>
      <c r="FA47" s="314"/>
      <c r="FB47" s="314"/>
      <c r="FC47" s="314"/>
      <c r="FD47" s="314"/>
      <c r="FE47" s="314"/>
      <c r="FF47" s="314"/>
      <c r="FG47" s="314"/>
      <c r="FH47" s="314"/>
      <c r="FI47" s="314"/>
      <c r="FJ47" s="314"/>
      <c r="FK47" s="314"/>
      <c r="FL47" s="314"/>
      <c r="FM47" s="314"/>
      <c r="FN47" s="314"/>
      <c r="FO47" s="314"/>
      <c r="FP47" s="314"/>
      <c r="FQ47" s="314"/>
      <c r="FR47" s="314"/>
      <c r="FS47" s="314"/>
      <c r="FT47" s="314"/>
      <c r="FU47" s="314"/>
      <c r="FV47" s="314"/>
      <c r="FW47" s="314"/>
      <c r="FX47" s="314"/>
      <c r="FY47" s="314"/>
      <c r="FZ47" s="314"/>
      <c r="GA47" s="314"/>
      <c r="GB47" s="314"/>
      <c r="GC47" s="314"/>
      <c r="GD47" s="314"/>
      <c r="GE47" s="314"/>
      <c r="GF47" s="314"/>
      <c r="GG47" s="314"/>
      <c r="GH47" s="314"/>
      <c r="GI47" s="314"/>
      <c r="GJ47" s="314"/>
      <c r="GK47" s="314"/>
      <c r="GL47" s="314"/>
      <c r="GM47" s="314"/>
      <c r="GN47" s="314"/>
      <c r="GO47" s="314"/>
      <c r="GP47" s="314"/>
      <c r="GQ47" s="314"/>
      <c r="GR47" s="314"/>
      <c r="GS47" s="314"/>
      <c r="GT47" s="314"/>
      <c r="GU47" s="314"/>
      <c r="GV47" s="314"/>
      <c r="GW47" s="314"/>
      <c r="GX47" s="314"/>
      <c r="GY47" s="314"/>
      <c r="GZ47" s="314"/>
      <c r="HA47" s="314"/>
      <c r="HB47" s="314"/>
      <c r="HC47" s="314"/>
      <c r="HD47" s="314"/>
      <c r="HE47" s="314"/>
      <c r="HF47" s="314"/>
      <c r="HG47" s="314"/>
      <c r="HH47" s="314"/>
      <c r="HI47" s="314"/>
      <c r="HJ47" s="314"/>
      <c r="HK47" s="314"/>
      <c r="HL47" s="314"/>
    </row>
    <row r="48" spans="1:220" x14ac:dyDescent="0.25">
      <c r="A48" s="338" t="s">
        <v>80</v>
      </c>
      <c r="B48" s="314"/>
      <c r="C48" s="314"/>
      <c r="D48" s="208">
        <f>$N$30</f>
        <v>9.4</v>
      </c>
      <c r="E48" s="336" t="s">
        <v>121</v>
      </c>
      <c r="F48" s="335" t="s">
        <v>8</v>
      </c>
      <c r="G48" s="111"/>
      <c r="H48" s="112"/>
      <c r="I48" s="120">
        <f>'Rider Rates'!$B$89</f>
        <v>4.94232E-2</v>
      </c>
      <c r="J48" s="343">
        <f>SUM(H48:I48)</f>
        <v>4.94232E-2</v>
      </c>
      <c r="K48" s="334"/>
      <c r="L48" s="105"/>
      <c r="M48" s="105"/>
      <c r="N48" s="105">
        <f>ROUND(N$30*I48,2)</f>
        <v>0.46</v>
      </c>
      <c r="O48" s="209">
        <f t="shared" si="0"/>
        <v>0.46</v>
      </c>
      <c r="P48" s="245">
        <f>'Rider Rates'!$D$89</f>
        <v>45562</v>
      </c>
      <c r="Q48" s="107"/>
      <c r="R48" s="331"/>
      <c r="S48" s="109"/>
      <c r="T48" s="314"/>
      <c r="U48" s="330"/>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314"/>
      <c r="CD48" s="314"/>
      <c r="CE48" s="314"/>
      <c r="CF48" s="314"/>
      <c r="CG48" s="314"/>
      <c r="CH48" s="314"/>
      <c r="CI48" s="314"/>
      <c r="CJ48" s="314"/>
      <c r="CK48" s="314"/>
      <c r="CL48" s="314"/>
      <c r="CM48" s="314"/>
      <c r="CN48" s="314"/>
      <c r="CO48" s="314"/>
      <c r="CP48" s="314"/>
      <c r="CQ48" s="314"/>
      <c r="CR48" s="314"/>
      <c r="CS48" s="314"/>
      <c r="CT48" s="314"/>
      <c r="CU48" s="314"/>
      <c r="CV48" s="314"/>
      <c r="CW48" s="314"/>
      <c r="CX48" s="314"/>
      <c r="CY48" s="314"/>
      <c r="CZ48" s="314"/>
      <c r="DA48" s="314"/>
      <c r="DB48" s="314"/>
      <c r="DC48" s="314"/>
      <c r="DD48" s="314"/>
      <c r="DE48" s="314"/>
      <c r="DF48" s="314"/>
      <c r="DG48" s="314"/>
      <c r="DH48" s="314"/>
      <c r="DI48" s="314"/>
      <c r="DJ48" s="314"/>
      <c r="DK48" s="314"/>
      <c r="DL48" s="314"/>
      <c r="DM48" s="314"/>
      <c r="DN48" s="314"/>
      <c r="DO48" s="314"/>
      <c r="DP48" s="314"/>
      <c r="DQ48" s="314"/>
      <c r="DR48" s="314"/>
      <c r="DS48" s="314"/>
      <c r="DT48" s="314"/>
      <c r="DU48" s="314"/>
      <c r="DV48" s="314"/>
      <c r="DW48" s="314"/>
      <c r="DX48" s="314"/>
      <c r="DY48" s="314"/>
      <c r="DZ48" s="314"/>
      <c r="EA48" s="314"/>
      <c r="EB48" s="314"/>
      <c r="EC48" s="314"/>
      <c r="ED48" s="314"/>
      <c r="EE48" s="314"/>
      <c r="EF48" s="314"/>
      <c r="EG48" s="314"/>
      <c r="EH48" s="314"/>
      <c r="EI48" s="314"/>
      <c r="EJ48" s="314"/>
      <c r="EK48" s="314"/>
      <c r="EL48" s="314"/>
      <c r="EM48" s="314"/>
      <c r="EN48" s="314"/>
      <c r="EO48" s="314"/>
      <c r="EP48" s="314"/>
      <c r="EQ48" s="314"/>
      <c r="ER48" s="314"/>
      <c r="ES48" s="314"/>
      <c r="ET48" s="314"/>
      <c r="EU48" s="314"/>
      <c r="EV48" s="314"/>
      <c r="EW48" s="314"/>
      <c r="EX48" s="314"/>
      <c r="EY48" s="314"/>
      <c r="EZ48" s="314"/>
      <c r="FA48" s="314"/>
      <c r="FB48" s="314"/>
      <c r="FC48" s="314"/>
      <c r="FD48" s="314"/>
      <c r="FE48" s="314"/>
      <c r="FF48" s="314"/>
      <c r="FG48" s="314"/>
      <c r="FH48" s="314"/>
      <c r="FI48" s="314"/>
      <c r="FJ48" s="314"/>
      <c r="FK48" s="314"/>
      <c r="FL48" s="314"/>
      <c r="FM48" s="314"/>
      <c r="FN48" s="314"/>
      <c r="FO48" s="314"/>
      <c r="FP48" s="314"/>
      <c r="FQ48" s="314"/>
      <c r="FR48" s="314"/>
      <c r="FS48" s="314"/>
      <c r="FT48" s="314"/>
      <c r="FU48" s="314"/>
      <c r="FV48" s="314"/>
      <c r="FW48" s="314"/>
      <c r="FX48" s="314"/>
      <c r="FY48" s="314"/>
      <c r="FZ48" s="314"/>
      <c r="GA48" s="314"/>
      <c r="GB48" s="314"/>
      <c r="GC48" s="314"/>
      <c r="GD48" s="314"/>
      <c r="GE48" s="314"/>
      <c r="GF48" s="314"/>
      <c r="GG48" s="314"/>
      <c r="GH48" s="314"/>
      <c r="GI48" s="314"/>
      <c r="GJ48" s="314"/>
      <c r="GK48" s="314"/>
      <c r="GL48" s="314"/>
      <c r="GM48" s="314"/>
      <c r="GN48" s="314"/>
      <c r="GO48" s="314"/>
      <c r="GP48" s="314"/>
      <c r="GQ48" s="314"/>
      <c r="GR48" s="314"/>
      <c r="GS48" s="314"/>
      <c r="GT48" s="314"/>
      <c r="GU48" s="314"/>
      <c r="GV48" s="314"/>
      <c r="GW48" s="314"/>
      <c r="GX48" s="314"/>
      <c r="GY48" s="314"/>
      <c r="GZ48" s="314"/>
      <c r="HA48" s="314"/>
      <c r="HB48" s="314"/>
      <c r="HC48" s="314"/>
      <c r="HD48" s="314"/>
      <c r="HE48" s="314"/>
      <c r="HF48" s="314"/>
      <c r="HG48" s="314"/>
      <c r="HH48" s="314"/>
      <c r="HI48" s="314"/>
      <c r="HJ48" s="314"/>
      <c r="HK48" s="314"/>
      <c r="HL48" s="314"/>
    </row>
    <row r="49" spans="1:221" x14ac:dyDescent="0.25">
      <c r="A49" s="338" t="s">
        <v>81</v>
      </c>
      <c r="B49" s="314"/>
      <c r="C49" s="314"/>
      <c r="D49" s="208">
        <f>$N$30</f>
        <v>9.4</v>
      </c>
      <c r="E49" s="336" t="s">
        <v>121</v>
      </c>
      <c r="F49" s="335" t="s">
        <v>8</v>
      </c>
      <c r="G49" s="114"/>
      <c r="H49" s="115"/>
      <c r="I49" s="120">
        <f>'Rider Rates'!$B$91</f>
        <v>6.6985699999999995E-2</v>
      </c>
      <c r="J49" s="343">
        <f>SUM(H49:I49)</f>
        <v>6.6985699999999995E-2</v>
      </c>
      <c r="K49" s="334"/>
      <c r="L49" s="105"/>
      <c r="M49" s="105"/>
      <c r="N49" s="105">
        <f>ROUND(N$30*I49,2)</f>
        <v>0.63</v>
      </c>
      <c r="O49" s="209">
        <f t="shared" si="0"/>
        <v>0.63</v>
      </c>
      <c r="P49" s="245">
        <f>'Rider Rates'!$D$91</f>
        <v>45167</v>
      </c>
      <c r="Q49" s="107"/>
      <c r="R49" s="331"/>
      <c r="S49" s="109"/>
      <c r="T49" s="314"/>
      <c r="U49" s="330"/>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314"/>
      <c r="BX49" s="314"/>
      <c r="BY49" s="314"/>
      <c r="BZ49" s="314"/>
      <c r="CA49" s="314"/>
      <c r="CB49" s="314"/>
      <c r="CC49" s="314"/>
      <c r="CD49" s="314"/>
      <c r="CE49" s="314"/>
      <c r="CF49" s="314"/>
      <c r="CG49" s="314"/>
      <c r="CH49" s="314"/>
      <c r="CI49" s="314"/>
      <c r="CJ49" s="314"/>
      <c r="CK49" s="314"/>
      <c r="CL49" s="314"/>
      <c r="CM49" s="314"/>
      <c r="CN49" s="314"/>
      <c r="CO49" s="314"/>
      <c r="CP49" s="314"/>
      <c r="CQ49" s="314"/>
      <c r="CR49" s="314"/>
      <c r="CS49" s="314"/>
      <c r="CT49" s="314"/>
      <c r="CU49" s="314"/>
      <c r="CV49" s="314"/>
      <c r="CW49" s="314"/>
      <c r="CX49" s="314"/>
      <c r="CY49" s="314"/>
      <c r="CZ49" s="314"/>
      <c r="DA49" s="314"/>
      <c r="DB49" s="314"/>
      <c r="DC49" s="314"/>
      <c r="DD49" s="314"/>
      <c r="DE49" s="314"/>
      <c r="DF49" s="314"/>
      <c r="DG49" s="314"/>
      <c r="DH49" s="314"/>
      <c r="DI49" s="314"/>
      <c r="DJ49" s="314"/>
      <c r="DK49" s="314"/>
      <c r="DL49" s="314"/>
      <c r="DM49" s="314"/>
      <c r="DN49" s="314"/>
      <c r="DO49" s="314"/>
      <c r="DP49" s="314"/>
      <c r="DQ49" s="314"/>
      <c r="DR49" s="314"/>
      <c r="DS49" s="314"/>
      <c r="DT49" s="314"/>
      <c r="DU49" s="314"/>
      <c r="DV49" s="314"/>
      <c r="DW49" s="314"/>
      <c r="DX49" s="314"/>
      <c r="DY49" s="314"/>
      <c r="DZ49" s="314"/>
      <c r="EA49" s="314"/>
      <c r="EB49" s="314"/>
      <c r="EC49" s="314"/>
      <c r="ED49" s="314"/>
      <c r="EE49" s="314"/>
      <c r="EF49" s="314"/>
      <c r="EG49" s="314"/>
      <c r="EH49" s="314"/>
      <c r="EI49" s="314"/>
      <c r="EJ49" s="314"/>
      <c r="EK49" s="314"/>
      <c r="EL49" s="314"/>
      <c r="EM49" s="314"/>
      <c r="EN49" s="314"/>
      <c r="EO49" s="314"/>
      <c r="EP49" s="314"/>
      <c r="EQ49" s="314"/>
      <c r="ER49" s="314"/>
      <c r="ES49" s="314"/>
      <c r="ET49" s="314"/>
      <c r="EU49" s="314"/>
      <c r="EV49" s="314"/>
      <c r="EW49" s="314"/>
      <c r="EX49" s="314"/>
      <c r="EY49" s="314"/>
      <c r="EZ49" s="314"/>
      <c r="FA49" s="314"/>
      <c r="FB49" s="314"/>
      <c r="FC49" s="314"/>
      <c r="FD49" s="314"/>
      <c r="FE49" s="314"/>
      <c r="FF49" s="314"/>
      <c r="FG49" s="314"/>
      <c r="FH49" s="314"/>
      <c r="FI49" s="314"/>
      <c r="FJ49" s="314"/>
      <c r="FK49" s="314"/>
      <c r="FL49" s="314"/>
      <c r="FM49" s="314"/>
      <c r="FN49" s="314"/>
      <c r="FO49" s="314"/>
      <c r="FP49" s="314"/>
      <c r="FQ49" s="314"/>
      <c r="FR49" s="314"/>
      <c r="FS49" s="314"/>
      <c r="FT49" s="314"/>
      <c r="FU49" s="314"/>
      <c r="FV49" s="314"/>
      <c r="FW49" s="314"/>
      <c r="FX49" s="314"/>
      <c r="FY49" s="314"/>
      <c r="FZ49" s="314"/>
      <c r="GA49" s="314"/>
      <c r="GB49" s="314"/>
      <c r="GC49" s="314"/>
      <c r="GD49" s="314"/>
      <c r="GE49" s="314"/>
      <c r="GF49" s="314"/>
      <c r="GG49" s="314"/>
      <c r="GH49" s="314"/>
      <c r="GI49" s="314"/>
      <c r="GJ49" s="314"/>
      <c r="GK49" s="314"/>
      <c r="GL49" s="314"/>
      <c r="GM49" s="314"/>
      <c r="GN49" s="314"/>
      <c r="GO49" s="314"/>
      <c r="GP49" s="314"/>
      <c r="GQ49" s="314"/>
      <c r="GR49" s="314"/>
      <c r="GS49" s="314"/>
      <c r="GT49" s="314"/>
      <c r="GU49" s="314"/>
      <c r="GV49" s="314"/>
      <c r="GW49" s="314"/>
      <c r="GX49" s="314"/>
      <c r="GY49" s="314"/>
      <c r="GZ49" s="314"/>
      <c r="HA49" s="314"/>
      <c r="HB49" s="314"/>
      <c r="HC49" s="314"/>
      <c r="HD49" s="314"/>
      <c r="HE49" s="314"/>
      <c r="HF49" s="314"/>
      <c r="HG49" s="314"/>
      <c r="HH49" s="314"/>
      <c r="HI49" s="314"/>
      <c r="HJ49" s="314"/>
      <c r="HK49" s="314"/>
      <c r="HL49" s="314"/>
    </row>
    <row r="50" spans="1:221" x14ac:dyDescent="0.25">
      <c r="A50" s="338" t="s">
        <v>214</v>
      </c>
      <c r="B50" s="314"/>
      <c r="C50" s="314"/>
      <c r="D50" s="195"/>
      <c r="E50" s="345" t="s">
        <v>114</v>
      </c>
      <c r="F50" s="332"/>
      <c r="G50" s="114"/>
      <c r="H50" s="115"/>
      <c r="I50" s="196">
        <f>'Rider Rates'!$B$95</f>
        <v>17.12</v>
      </c>
      <c r="J50" s="344">
        <f>SUM(G50:I50)</f>
        <v>17.12</v>
      </c>
      <c r="K50" s="334"/>
      <c r="L50" s="105"/>
      <c r="M50" s="105"/>
      <c r="N50" s="105">
        <f>I50</f>
        <v>17.12</v>
      </c>
      <c r="O50" s="105">
        <f t="shared" si="0"/>
        <v>17.12</v>
      </c>
      <c r="P50" s="245">
        <f>'Rider Rates'!$D$95</f>
        <v>45562</v>
      </c>
    </row>
    <row r="51" spans="1:221" x14ac:dyDescent="0.25">
      <c r="A51" s="338" t="s">
        <v>261</v>
      </c>
      <c r="B51" s="314"/>
      <c r="C51" s="314"/>
      <c r="D51" s="1">
        <f>$D$34</f>
        <v>0</v>
      </c>
      <c r="E51" s="336" t="s">
        <v>41</v>
      </c>
      <c r="F51" s="335" t="s">
        <v>8</v>
      </c>
      <c r="G51" s="103"/>
      <c r="H51" s="103"/>
      <c r="I51" s="103"/>
      <c r="J51" s="103">
        <v>0</v>
      </c>
      <c r="K51" s="334" t="s">
        <v>42</v>
      </c>
      <c r="L51" s="105"/>
      <c r="M51" s="105"/>
      <c r="N51" s="87"/>
      <c r="O51" s="105">
        <v>0</v>
      </c>
      <c r="P51" s="245">
        <f>'Rider Rates'!$D$100</f>
        <v>44531</v>
      </c>
      <c r="Q51" s="332"/>
      <c r="R51" s="107"/>
      <c r="S51" s="331"/>
      <c r="T51" s="109"/>
      <c r="U51" s="314"/>
      <c r="V51" s="330"/>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4"/>
      <c r="BQ51" s="314"/>
      <c r="BR51" s="314"/>
      <c r="BS51" s="314"/>
      <c r="BT51" s="314"/>
      <c r="BU51" s="314"/>
      <c r="BV51" s="314"/>
      <c r="BW51" s="314"/>
      <c r="BX51" s="314"/>
      <c r="BY51" s="314"/>
      <c r="BZ51" s="314"/>
      <c r="CA51" s="314"/>
      <c r="CB51" s="314"/>
      <c r="CC51" s="314"/>
      <c r="CD51" s="314"/>
      <c r="CE51" s="314"/>
      <c r="CF51" s="314"/>
      <c r="CG51" s="314"/>
      <c r="CH51" s="314"/>
      <c r="CI51" s="314"/>
      <c r="CJ51" s="314"/>
      <c r="CK51" s="314"/>
      <c r="CL51" s="314"/>
      <c r="CM51" s="314"/>
      <c r="CN51" s="314"/>
      <c r="CO51" s="314"/>
      <c r="CP51" s="314"/>
      <c r="CQ51" s="314"/>
      <c r="CR51" s="314"/>
      <c r="CS51" s="314"/>
      <c r="CT51" s="314"/>
      <c r="CU51" s="314"/>
      <c r="CV51" s="314"/>
      <c r="CW51" s="314"/>
      <c r="CX51" s="314"/>
      <c r="CY51" s="314"/>
      <c r="CZ51" s="314"/>
      <c r="DA51" s="314"/>
      <c r="DB51" s="314"/>
      <c r="DC51" s="314"/>
      <c r="DD51" s="314"/>
      <c r="DE51" s="314"/>
      <c r="DF51" s="314"/>
      <c r="DG51" s="314"/>
      <c r="DH51" s="314"/>
      <c r="DI51" s="314"/>
      <c r="DJ51" s="314"/>
      <c r="DK51" s="314"/>
      <c r="DL51" s="314"/>
      <c r="DM51" s="314"/>
      <c r="DN51" s="314"/>
      <c r="DO51" s="314"/>
      <c r="DP51" s="314"/>
      <c r="DQ51" s="314"/>
      <c r="DR51" s="314"/>
      <c r="DS51" s="314"/>
      <c r="DT51" s="314"/>
      <c r="DU51" s="314"/>
      <c r="DV51" s="314"/>
      <c r="DW51" s="314"/>
      <c r="DX51" s="314"/>
      <c r="DY51" s="314"/>
      <c r="DZ51" s="314"/>
      <c r="EA51" s="314"/>
      <c r="EB51" s="314"/>
      <c r="EC51" s="314"/>
      <c r="ED51" s="314"/>
      <c r="EE51" s="314"/>
      <c r="EF51" s="314"/>
      <c r="EG51" s="314"/>
      <c r="EH51" s="314"/>
      <c r="EI51" s="314"/>
      <c r="EJ51" s="314"/>
      <c r="EK51" s="314"/>
      <c r="EL51" s="314"/>
      <c r="EM51" s="314"/>
      <c r="EN51" s="314"/>
      <c r="EO51" s="314"/>
      <c r="EP51" s="314"/>
      <c r="EQ51" s="314"/>
      <c r="ER51" s="314"/>
      <c r="ES51" s="314"/>
      <c r="ET51" s="314"/>
      <c r="EU51" s="314"/>
      <c r="EV51" s="314"/>
      <c r="EW51" s="314"/>
      <c r="EX51" s="314"/>
      <c r="EY51" s="314"/>
      <c r="EZ51" s="314"/>
      <c r="FA51" s="314"/>
      <c r="FB51" s="314"/>
      <c r="FC51" s="314"/>
      <c r="FD51" s="314"/>
      <c r="FE51" s="314"/>
      <c r="FF51" s="314"/>
      <c r="FG51" s="314"/>
      <c r="FH51" s="314"/>
      <c r="FI51" s="314"/>
      <c r="FJ51" s="314"/>
      <c r="FK51" s="314"/>
      <c r="FL51" s="314"/>
      <c r="FM51" s="314"/>
      <c r="FN51" s="314"/>
      <c r="FO51" s="314"/>
      <c r="FP51" s="314"/>
      <c r="FQ51" s="314"/>
      <c r="FR51" s="314"/>
      <c r="FS51" s="314"/>
      <c r="FT51" s="314"/>
      <c r="FU51" s="314"/>
      <c r="FV51" s="314"/>
      <c r="FW51" s="314"/>
      <c r="FX51" s="314"/>
      <c r="FY51" s="314"/>
      <c r="FZ51" s="314"/>
      <c r="GA51" s="314"/>
      <c r="GB51" s="314"/>
      <c r="GC51" s="314"/>
      <c r="GD51" s="314"/>
      <c r="GE51" s="314"/>
      <c r="GF51" s="314"/>
      <c r="GG51" s="314"/>
      <c r="GH51" s="314"/>
      <c r="GI51" s="314"/>
      <c r="GJ51" s="314"/>
      <c r="GK51" s="314"/>
      <c r="GL51" s="314"/>
      <c r="GM51" s="314"/>
      <c r="GN51" s="314"/>
      <c r="GO51" s="314"/>
      <c r="GP51" s="314"/>
      <c r="GQ51" s="314"/>
      <c r="GR51" s="314"/>
      <c r="GS51" s="314"/>
      <c r="GT51" s="314"/>
      <c r="GU51" s="314"/>
      <c r="GV51" s="314"/>
      <c r="GW51" s="314"/>
      <c r="GX51" s="314"/>
      <c r="GY51" s="314"/>
      <c r="GZ51" s="314"/>
      <c r="HA51" s="314"/>
      <c r="HB51" s="314"/>
      <c r="HC51" s="314"/>
      <c r="HD51" s="314"/>
      <c r="HE51" s="314"/>
      <c r="HF51" s="314"/>
      <c r="HG51" s="314"/>
      <c r="HH51" s="314"/>
      <c r="HI51" s="314"/>
      <c r="HJ51" s="314"/>
      <c r="HK51" s="314"/>
      <c r="HL51" s="314"/>
      <c r="HM51" s="314"/>
    </row>
    <row r="52" spans="1:221" x14ac:dyDescent="0.25">
      <c r="A52" s="338" t="s">
        <v>262</v>
      </c>
      <c r="B52" s="314"/>
      <c r="C52" s="314"/>
      <c r="D52" s="1">
        <f>$D$35</f>
        <v>0</v>
      </c>
      <c r="E52" s="336" t="s">
        <v>41</v>
      </c>
      <c r="F52" s="335" t="s">
        <v>8</v>
      </c>
      <c r="G52" s="103"/>
      <c r="H52" s="103"/>
      <c r="I52" s="103"/>
      <c r="J52" s="103">
        <v>0</v>
      </c>
      <c r="K52" s="334" t="s">
        <v>42</v>
      </c>
      <c r="L52" s="105"/>
      <c r="M52" s="105"/>
      <c r="N52" s="87"/>
      <c r="O52" s="105">
        <v>0</v>
      </c>
      <c r="P52" s="245">
        <f>'Rider Rates'!$D$101</f>
        <v>44531</v>
      </c>
      <c r="Q52" s="332"/>
      <c r="R52" s="107"/>
      <c r="S52" s="331"/>
      <c r="T52" s="109"/>
      <c r="U52" s="314"/>
      <c r="V52" s="330"/>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4"/>
      <c r="BZ52" s="314"/>
      <c r="CA52" s="314"/>
      <c r="CB52" s="314"/>
      <c r="CC52" s="314"/>
      <c r="CD52" s="314"/>
      <c r="CE52" s="314"/>
      <c r="CF52" s="314"/>
      <c r="CG52" s="314"/>
      <c r="CH52" s="314"/>
      <c r="CI52" s="314"/>
      <c r="CJ52" s="314"/>
      <c r="CK52" s="314"/>
      <c r="CL52" s="314"/>
      <c r="CM52" s="314"/>
      <c r="CN52" s="314"/>
      <c r="CO52" s="314"/>
      <c r="CP52" s="314"/>
      <c r="CQ52" s="314"/>
      <c r="CR52" s="314"/>
      <c r="CS52" s="314"/>
      <c r="CT52" s="314"/>
      <c r="CU52" s="314"/>
      <c r="CV52" s="314"/>
      <c r="CW52" s="314"/>
      <c r="CX52" s="314"/>
      <c r="CY52" s="314"/>
      <c r="CZ52" s="314"/>
      <c r="DA52" s="314"/>
      <c r="DB52" s="314"/>
      <c r="DC52" s="314"/>
      <c r="DD52" s="314"/>
      <c r="DE52" s="314"/>
      <c r="DF52" s="314"/>
      <c r="DG52" s="314"/>
      <c r="DH52" s="314"/>
      <c r="DI52" s="314"/>
      <c r="DJ52" s="314"/>
      <c r="DK52" s="314"/>
      <c r="DL52" s="314"/>
      <c r="DM52" s="314"/>
      <c r="DN52" s="314"/>
      <c r="DO52" s="314"/>
      <c r="DP52" s="314"/>
      <c r="DQ52" s="314"/>
      <c r="DR52" s="314"/>
      <c r="DS52" s="314"/>
      <c r="DT52" s="314"/>
      <c r="DU52" s="314"/>
      <c r="DV52" s="314"/>
      <c r="DW52" s="314"/>
      <c r="DX52" s="314"/>
      <c r="DY52" s="314"/>
      <c r="DZ52" s="314"/>
      <c r="EA52" s="314"/>
      <c r="EB52" s="314"/>
      <c r="EC52" s="314"/>
      <c r="ED52" s="314"/>
      <c r="EE52" s="314"/>
      <c r="EF52" s="314"/>
      <c r="EG52" s="314"/>
      <c r="EH52" s="314"/>
      <c r="EI52" s="314"/>
      <c r="EJ52" s="314"/>
      <c r="EK52" s="314"/>
      <c r="EL52" s="314"/>
      <c r="EM52" s="314"/>
      <c r="EN52" s="314"/>
      <c r="EO52" s="314"/>
      <c r="EP52" s="314"/>
      <c r="EQ52" s="314"/>
      <c r="ER52" s="314"/>
      <c r="ES52" s="314"/>
      <c r="ET52" s="314"/>
      <c r="EU52" s="314"/>
      <c r="EV52" s="314"/>
      <c r="EW52" s="314"/>
      <c r="EX52" s="314"/>
      <c r="EY52" s="314"/>
      <c r="EZ52" s="314"/>
      <c r="FA52" s="314"/>
      <c r="FB52" s="314"/>
      <c r="FC52" s="314"/>
      <c r="FD52" s="314"/>
      <c r="FE52" s="314"/>
      <c r="FF52" s="314"/>
      <c r="FG52" s="314"/>
      <c r="FH52" s="314"/>
      <c r="FI52" s="314"/>
      <c r="FJ52" s="314"/>
      <c r="FK52" s="314"/>
      <c r="FL52" s="314"/>
      <c r="FM52" s="314"/>
      <c r="FN52" s="314"/>
      <c r="FO52" s="314"/>
      <c r="FP52" s="314"/>
      <c r="FQ52" s="314"/>
      <c r="FR52" s="314"/>
      <c r="FS52" s="314"/>
      <c r="FT52" s="314"/>
      <c r="FU52" s="314"/>
      <c r="FV52" s="314"/>
      <c r="FW52" s="314"/>
      <c r="FX52" s="314"/>
      <c r="FY52" s="314"/>
      <c r="FZ52" s="314"/>
      <c r="GA52" s="314"/>
      <c r="GB52" s="314"/>
      <c r="GC52" s="314"/>
      <c r="GD52" s="314"/>
      <c r="GE52" s="314"/>
      <c r="GF52" s="314"/>
      <c r="GG52" s="314"/>
      <c r="GH52" s="314"/>
      <c r="GI52" s="314"/>
      <c r="GJ52" s="314"/>
      <c r="GK52" s="314"/>
      <c r="GL52" s="314"/>
      <c r="GM52" s="314"/>
      <c r="GN52" s="314"/>
      <c r="GO52" s="314"/>
      <c r="GP52" s="314"/>
      <c r="GQ52" s="314"/>
      <c r="GR52" s="314"/>
      <c r="GS52" s="314"/>
      <c r="GT52" s="314"/>
      <c r="GU52" s="314"/>
      <c r="GV52" s="314"/>
      <c r="GW52" s="314"/>
      <c r="GX52" s="314"/>
      <c r="GY52" s="314"/>
      <c r="GZ52" s="314"/>
      <c r="HA52" s="314"/>
      <c r="HB52" s="314"/>
      <c r="HC52" s="314"/>
      <c r="HD52" s="314"/>
      <c r="HE52" s="314"/>
      <c r="HF52" s="314"/>
      <c r="HG52" s="314"/>
      <c r="HH52" s="314"/>
      <c r="HI52" s="314"/>
      <c r="HJ52" s="314"/>
      <c r="HK52" s="314"/>
      <c r="HL52" s="314"/>
      <c r="HM52" s="314"/>
    </row>
    <row r="53" spans="1:221" x14ac:dyDescent="0.25">
      <c r="A53" s="338" t="s">
        <v>156</v>
      </c>
      <c r="B53" s="314"/>
      <c r="C53" s="314"/>
      <c r="D53" s="208">
        <f>$N$30</f>
        <v>9.4</v>
      </c>
      <c r="E53" s="336" t="s">
        <v>121</v>
      </c>
      <c r="F53" s="335" t="s">
        <v>8</v>
      </c>
      <c r="G53" s="114"/>
      <c r="H53" s="115"/>
      <c r="I53" s="120">
        <f>'Rider Rates'!$B$109</f>
        <v>0.211176</v>
      </c>
      <c r="J53" s="343">
        <f>SUM(H53:I53)</f>
        <v>0.211176</v>
      </c>
      <c r="K53" s="334"/>
      <c r="L53" s="105"/>
      <c r="M53" s="105"/>
      <c r="N53" s="105">
        <f>ROUND(N$30*I53,2)</f>
        <v>1.99</v>
      </c>
      <c r="O53" s="105">
        <f t="shared" ref="O53:O61" si="1">SUM(L53:N53)</f>
        <v>1.99</v>
      </c>
      <c r="P53" s="245">
        <f>'Rider Rates'!$D$109</f>
        <v>45532</v>
      </c>
      <c r="Q53" s="332"/>
      <c r="R53" s="107"/>
      <c r="S53" s="331"/>
      <c r="T53" s="109"/>
      <c r="U53" s="314"/>
      <c r="V53" s="330"/>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14"/>
      <c r="CD53" s="314"/>
      <c r="CE53" s="314"/>
      <c r="CF53" s="314"/>
      <c r="CG53" s="314"/>
      <c r="CH53" s="314"/>
      <c r="CI53" s="314"/>
      <c r="CJ53" s="314"/>
      <c r="CK53" s="314"/>
      <c r="CL53" s="314"/>
      <c r="CM53" s="314"/>
      <c r="CN53" s="314"/>
      <c r="CO53" s="314"/>
      <c r="CP53" s="314"/>
      <c r="CQ53" s="314"/>
      <c r="CR53" s="314"/>
      <c r="CS53" s="314"/>
      <c r="CT53" s="314"/>
      <c r="CU53" s="314"/>
      <c r="CV53" s="314"/>
      <c r="CW53" s="314"/>
      <c r="CX53" s="314"/>
      <c r="CY53" s="314"/>
      <c r="CZ53" s="314"/>
      <c r="DA53" s="314"/>
      <c r="DB53" s="314"/>
      <c r="DC53" s="314"/>
      <c r="DD53" s="314"/>
      <c r="DE53" s="314"/>
      <c r="DF53" s="314"/>
      <c r="DG53" s="314"/>
      <c r="DH53" s="314"/>
      <c r="DI53" s="314"/>
      <c r="DJ53" s="314"/>
      <c r="DK53" s="314"/>
      <c r="DL53" s="314"/>
      <c r="DM53" s="314"/>
      <c r="DN53" s="314"/>
      <c r="DO53" s="314"/>
      <c r="DP53" s="314"/>
      <c r="DQ53" s="314"/>
      <c r="DR53" s="314"/>
      <c r="DS53" s="314"/>
      <c r="DT53" s="314"/>
      <c r="DU53" s="314"/>
      <c r="DV53" s="314"/>
      <c r="DW53" s="314"/>
      <c r="DX53" s="314"/>
      <c r="DY53" s="314"/>
      <c r="DZ53" s="314"/>
      <c r="EA53" s="314"/>
      <c r="EB53" s="314"/>
      <c r="EC53" s="314"/>
      <c r="ED53" s="314"/>
      <c r="EE53" s="314"/>
      <c r="EF53" s="314"/>
      <c r="EG53" s="314"/>
      <c r="EH53" s="314"/>
      <c r="EI53" s="314"/>
      <c r="EJ53" s="314"/>
      <c r="EK53" s="314"/>
      <c r="EL53" s="314"/>
      <c r="EM53" s="314"/>
      <c r="EN53" s="314"/>
      <c r="EO53" s="314"/>
      <c r="EP53" s="314"/>
      <c r="EQ53" s="314"/>
      <c r="ER53" s="314"/>
      <c r="ES53" s="314"/>
      <c r="ET53" s="314"/>
      <c r="EU53" s="314"/>
      <c r="EV53" s="314"/>
      <c r="EW53" s="314"/>
      <c r="EX53" s="314"/>
      <c r="EY53" s="314"/>
      <c r="EZ53" s="314"/>
      <c r="FA53" s="314"/>
      <c r="FB53" s="314"/>
      <c r="FC53" s="314"/>
      <c r="FD53" s="314"/>
      <c r="FE53" s="314"/>
      <c r="FF53" s="314"/>
      <c r="FG53" s="314"/>
      <c r="FH53" s="314"/>
      <c r="FI53" s="314"/>
      <c r="FJ53" s="314"/>
      <c r="FK53" s="314"/>
      <c r="FL53" s="314"/>
      <c r="FM53" s="314"/>
      <c r="FN53" s="314"/>
      <c r="FO53" s="314"/>
      <c r="FP53" s="314"/>
      <c r="FQ53" s="314"/>
      <c r="FR53" s="314"/>
      <c r="FS53" s="314"/>
      <c r="FT53" s="314"/>
      <c r="FU53" s="314"/>
      <c r="FV53" s="314"/>
      <c r="FW53" s="314"/>
      <c r="FX53" s="314"/>
      <c r="FY53" s="314"/>
      <c r="FZ53" s="314"/>
      <c r="GA53" s="314"/>
      <c r="GB53" s="314"/>
      <c r="GC53" s="314"/>
      <c r="GD53" s="314"/>
      <c r="GE53" s="314"/>
      <c r="GF53" s="314"/>
      <c r="GG53" s="314"/>
      <c r="GH53" s="314"/>
      <c r="GI53" s="314"/>
      <c r="GJ53" s="314"/>
      <c r="GK53" s="314"/>
      <c r="GL53" s="314"/>
      <c r="GM53" s="314"/>
      <c r="GN53" s="314"/>
      <c r="GO53" s="314"/>
      <c r="GP53" s="314"/>
      <c r="GQ53" s="314"/>
      <c r="GR53" s="314"/>
      <c r="GS53" s="314"/>
      <c r="GT53" s="314"/>
      <c r="GU53" s="314"/>
      <c r="GV53" s="314"/>
      <c r="GW53" s="314"/>
      <c r="GX53" s="314"/>
      <c r="GY53" s="314"/>
      <c r="GZ53" s="314"/>
      <c r="HA53" s="314"/>
      <c r="HB53" s="314"/>
      <c r="HC53" s="314"/>
      <c r="HD53" s="314"/>
      <c r="HE53" s="314"/>
      <c r="HF53" s="314"/>
      <c r="HG53" s="314"/>
      <c r="HH53" s="314"/>
      <c r="HI53" s="314"/>
      <c r="HJ53" s="314"/>
      <c r="HK53" s="314"/>
      <c r="HL53" s="314"/>
      <c r="HM53" s="314"/>
    </row>
    <row r="54" spans="1:221" x14ac:dyDescent="0.25">
      <c r="A54" s="338" t="s">
        <v>217</v>
      </c>
      <c r="B54" s="314"/>
      <c r="C54" s="314"/>
      <c r="D54" s="195"/>
      <c r="E54" s="345" t="s">
        <v>114</v>
      </c>
      <c r="F54" s="332"/>
      <c r="G54" s="114"/>
      <c r="H54" s="115"/>
      <c r="I54" s="196">
        <f>'Rider Rates'!$B$113</f>
        <v>0</v>
      </c>
      <c r="J54" s="344">
        <f>SUM(G54:I54)</f>
        <v>0</v>
      </c>
      <c r="K54" s="334"/>
      <c r="L54" s="105"/>
      <c r="M54" s="105"/>
      <c r="N54" s="105">
        <f>I54</f>
        <v>0</v>
      </c>
      <c r="O54" s="105">
        <f t="shared" si="1"/>
        <v>0</v>
      </c>
      <c r="P54" s="245">
        <f>'Rider Rates'!$D$113</f>
        <v>44894</v>
      </c>
      <c r="Q54" s="332"/>
      <c r="R54" s="107"/>
      <c r="S54" s="331"/>
      <c r="T54" s="109"/>
      <c r="U54" s="314"/>
      <c r="V54" s="330"/>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4"/>
      <c r="CM54" s="314"/>
      <c r="CN54" s="314"/>
      <c r="CO54" s="314"/>
      <c r="CP54" s="314"/>
      <c r="CQ54" s="314"/>
      <c r="CR54" s="314"/>
      <c r="CS54" s="314"/>
      <c r="CT54" s="314"/>
      <c r="CU54" s="314"/>
      <c r="CV54" s="314"/>
      <c r="CW54" s="314"/>
      <c r="CX54" s="314"/>
      <c r="CY54" s="314"/>
      <c r="CZ54" s="314"/>
      <c r="DA54" s="314"/>
      <c r="DB54" s="314"/>
      <c r="DC54" s="314"/>
      <c r="DD54" s="314"/>
      <c r="DE54" s="314"/>
      <c r="DF54" s="314"/>
      <c r="DG54" s="314"/>
      <c r="DH54" s="314"/>
      <c r="DI54" s="314"/>
      <c r="DJ54" s="314"/>
      <c r="DK54" s="314"/>
      <c r="DL54" s="314"/>
      <c r="DM54" s="314"/>
      <c r="DN54" s="314"/>
      <c r="DO54" s="314"/>
      <c r="DP54" s="314"/>
      <c r="DQ54" s="314"/>
      <c r="DR54" s="314"/>
      <c r="DS54" s="314"/>
      <c r="DT54" s="314"/>
      <c r="DU54" s="314"/>
      <c r="DV54" s="314"/>
      <c r="DW54" s="314"/>
      <c r="DX54" s="314"/>
      <c r="DY54" s="314"/>
      <c r="DZ54" s="314"/>
      <c r="EA54" s="314"/>
      <c r="EB54" s="314"/>
      <c r="EC54" s="314"/>
      <c r="ED54" s="314"/>
      <c r="EE54" s="314"/>
      <c r="EF54" s="314"/>
      <c r="EG54" s="314"/>
      <c r="EH54" s="314"/>
      <c r="EI54" s="314"/>
      <c r="EJ54" s="314"/>
      <c r="EK54" s="314"/>
      <c r="EL54" s="314"/>
      <c r="EM54" s="314"/>
      <c r="EN54" s="314"/>
      <c r="EO54" s="314"/>
      <c r="EP54" s="314"/>
      <c r="EQ54" s="314"/>
      <c r="ER54" s="314"/>
      <c r="ES54" s="314"/>
      <c r="ET54" s="314"/>
      <c r="EU54" s="314"/>
      <c r="EV54" s="314"/>
      <c r="EW54" s="314"/>
      <c r="EX54" s="314"/>
      <c r="EY54" s="314"/>
      <c r="EZ54" s="314"/>
      <c r="FA54" s="314"/>
      <c r="FB54" s="314"/>
      <c r="FC54" s="314"/>
      <c r="FD54" s="314"/>
      <c r="FE54" s="314"/>
      <c r="FF54" s="314"/>
      <c r="FG54" s="314"/>
      <c r="FH54" s="314"/>
      <c r="FI54" s="314"/>
      <c r="FJ54" s="314"/>
      <c r="FK54" s="314"/>
      <c r="FL54" s="314"/>
      <c r="FM54" s="314"/>
      <c r="FN54" s="314"/>
      <c r="FO54" s="314"/>
      <c r="FP54" s="314"/>
      <c r="FQ54" s="314"/>
      <c r="FR54" s="314"/>
      <c r="FS54" s="314"/>
      <c r="FT54" s="314"/>
      <c r="FU54" s="314"/>
      <c r="FV54" s="314"/>
      <c r="FW54" s="314"/>
      <c r="FX54" s="314"/>
      <c r="FY54" s="314"/>
      <c r="FZ54" s="314"/>
      <c r="GA54" s="314"/>
      <c r="GB54" s="314"/>
      <c r="GC54" s="314"/>
      <c r="GD54" s="314"/>
      <c r="GE54" s="314"/>
      <c r="GF54" s="314"/>
      <c r="GG54" s="314"/>
      <c r="GH54" s="314"/>
      <c r="GI54" s="314"/>
      <c r="GJ54" s="314"/>
      <c r="GK54" s="314"/>
      <c r="GL54" s="314"/>
      <c r="GM54" s="314"/>
      <c r="GN54" s="314"/>
      <c r="GO54" s="314"/>
      <c r="GP54" s="314"/>
      <c r="GQ54" s="314"/>
      <c r="GR54" s="314"/>
      <c r="GS54" s="314"/>
      <c r="GT54" s="314"/>
      <c r="GU54" s="314"/>
      <c r="GV54" s="314"/>
      <c r="GW54" s="314"/>
      <c r="GX54" s="314"/>
      <c r="GY54" s="314"/>
      <c r="GZ54" s="314"/>
      <c r="HA54" s="314"/>
      <c r="HB54" s="314"/>
      <c r="HC54" s="314"/>
      <c r="HD54" s="314"/>
      <c r="HE54" s="314"/>
      <c r="HF54" s="314"/>
      <c r="HG54" s="314"/>
      <c r="HH54" s="314"/>
      <c r="HI54" s="314"/>
      <c r="HJ54" s="314"/>
      <c r="HK54" s="314"/>
      <c r="HL54" s="314"/>
      <c r="HM54" s="314"/>
    </row>
    <row r="55" spans="1:221" x14ac:dyDescent="0.25">
      <c r="A55" s="338" t="s">
        <v>225</v>
      </c>
      <c r="B55" s="314"/>
      <c r="C55" s="314"/>
      <c r="D55" s="195"/>
      <c r="E55" s="345" t="s">
        <v>114</v>
      </c>
      <c r="F55" s="332"/>
      <c r="G55" s="114"/>
      <c r="H55" s="115"/>
      <c r="I55" s="258">
        <f>'Rider Rates'!B126</f>
        <v>4.84</v>
      </c>
      <c r="J55" s="344">
        <f>SUM(G55:I55)</f>
        <v>4.84</v>
      </c>
      <c r="K55" s="334"/>
      <c r="L55" s="105"/>
      <c r="M55" s="105"/>
      <c r="N55" s="260">
        <f>I55</f>
        <v>4.84</v>
      </c>
      <c r="O55" s="105">
        <f t="shared" si="1"/>
        <v>4.84</v>
      </c>
      <c r="P55" s="245">
        <f>'Rider Rates'!D126</f>
        <v>45593</v>
      </c>
      <c r="Q55" s="332"/>
      <c r="R55" s="107"/>
      <c r="S55" s="331"/>
      <c r="T55" s="109"/>
      <c r="U55" s="314"/>
      <c r="V55" s="330"/>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c r="BN55" s="314"/>
      <c r="BO55" s="314"/>
      <c r="BP55" s="314"/>
      <c r="BQ55" s="314"/>
      <c r="BR55" s="314"/>
      <c r="BS55" s="314"/>
      <c r="BT55" s="314"/>
      <c r="BU55" s="314"/>
      <c r="BV55" s="314"/>
      <c r="BW55" s="314"/>
      <c r="BX55" s="314"/>
      <c r="BY55" s="314"/>
      <c r="BZ55" s="314"/>
      <c r="CA55" s="314"/>
      <c r="CB55" s="314"/>
      <c r="CC55" s="314"/>
      <c r="CD55" s="314"/>
      <c r="CE55" s="314"/>
      <c r="CF55" s="314"/>
      <c r="CG55" s="314"/>
      <c r="CH55" s="314"/>
      <c r="CI55" s="314"/>
      <c r="CJ55" s="314"/>
      <c r="CK55" s="314"/>
      <c r="CL55" s="314"/>
      <c r="CM55" s="314"/>
      <c r="CN55" s="314"/>
      <c r="CO55" s="314"/>
      <c r="CP55" s="314"/>
      <c r="CQ55" s="314"/>
      <c r="CR55" s="314"/>
      <c r="CS55" s="314"/>
      <c r="CT55" s="314"/>
      <c r="CU55" s="314"/>
      <c r="CV55" s="314"/>
      <c r="CW55" s="314"/>
      <c r="CX55" s="314"/>
      <c r="CY55" s="314"/>
      <c r="CZ55" s="314"/>
      <c r="DA55" s="314"/>
      <c r="DB55" s="314"/>
      <c r="DC55" s="314"/>
      <c r="DD55" s="314"/>
      <c r="DE55" s="314"/>
      <c r="DF55" s="314"/>
      <c r="DG55" s="314"/>
      <c r="DH55" s="314"/>
      <c r="DI55" s="314"/>
      <c r="DJ55" s="314"/>
      <c r="DK55" s="314"/>
      <c r="DL55" s="314"/>
      <c r="DM55" s="314"/>
      <c r="DN55" s="314"/>
      <c r="DO55" s="314"/>
      <c r="DP55" s="314"/>
      <c r="DQ55" s="314"/>
      <c r="DR55" s="314"/>
      <c r="DS55" s="314"/>
      <c r="DT55" s="314"/>
      <c r="DU55" s="314"/>
      <c r="DV55" s="314"/>
      <c r="DW55" s="314"/>
      <c r="DX55" s="314"/>
      <c r="DY55" s="314"/>
      <c r="DZ55" s="314"/>
      <c r="EA55" s="314"/>
      <c r="EB55" s="314"/>
      <c r="EC55" s="314"/>
      <c r="ED55" s="314"/>
      <c r="EE55" s="314"/>
      <c r="EF55" s="314"/>
      <c r="EG55" s="314"/>
      <c r="EH55" s="314"/>
      <c r="EI55" s="314"/>
      <c r="EJ55" s="314"/>
      <c r="EK55" s="314"/>
      <c r="EL55" s="314"/>
      <c r="EM55" s="314"/>
      <c r="EN55" s="314"/>
      <c r="EO55" s="314"/>
      <c r="EP55" s="314"/>
      <c r="EQ55" s="314"/>
      <c r="ER55" s="314"/>
      <c r="ES55" s="314"/>
      <c r="ET55" s="314"/>
      <c r="EU55" s="314"/>
      <c r="EV55" s="314"/>
      <c r="EW55" s="314"/>
      <c r="EX55" s="314"/>
      <c r="EY55" s="314"/>
      <c r="EZ55" s="314"/>
      <c r="FA55" s="314"/>
      <c r="FB55" s="314"/>
      <c r="FC55" s="314"/>
      <c r="FD55" s="314"/>
      <c r="FE55" s="314"/>
      <c r="FF55" s="314"/>
      <c r="FG55" s="314"/>
      <c r="FH55" s="314"/>
      <c r="FI55" s="314"/>
      <c r="FJ55" s="314"/>
      <c r="FK55" s="314"/>
      <c r="FL55" s="314"/>
      <c r="FM55" s="314"/>
      <c r="FN55" s="314"/>
      <c r="FO55" s="314"/>
      <c r="FP55" s="314"/>
      <c r="FQ55" s="314"/>
      <c r="FR55" s="314"/>
      <c r="FS55" s="314"/>
      <c r="FT55" s="314"/>
      <c r="FU55" s="314"/>
      <c r="FV55" s="314"/>
      <c r="FW55" s="314"/>
      <c r="FX55" s="314"/>
      <c r="FY55" s="314"/>
      <c r="FZ55" s="314"/>
      <c r="GA55" s="314"/>
      <c r="GB55" s="314"/>
      <c r="GC55" s="314"/>
      <c r="GD55" s="314"/>
      <c r="GE55" s="314"/>
      <c r="GF55" s="314"/>
      <c r="GG55" s="314"/>
      <c r="GH55" s="314"/>
      <c r="GI55" s="314"/>
      <c r="GJ55" s="314"/>
      <c r="GK55" s="314"/>
      <c r="GL55" s="314"/>
      <c r="GM55" s="314"/>
      <c r="GN55" s="314"/>
      <c r="GO55" s="314"/>
      <c r="GP55" s="314"/>
      <c r="GQ55" s="314"/>
      <c r="GR55" s="314"/>
      <c r="GS55" s="314"/>
      <c r="GT55" s="314"/>
      <c r="GU55" s="314"/>
      <c r="GV55" s="314"/>
      <c r="GW55" s="314"/>
      <c r="GX55" s="314"/>
      <c r="GY55" s="314"/>
      <c r="GZ55" s="314"/>
      <c r="HA55" s="314"/>
      <c r="HB55" s="314"/>
      <c r="HC55" s="314"/>
      <c r="HD55" s="314"/>
      <c r="HE55" s="314"/>
      <c r="HF55" s="314"/>
      <c r="HG55" s="314"/>
      <c r="HH55" s="314"/>
      <c r="HI55" s="314"/>
      <c r="HJ55" s="314"/>
      <c r="HK55" s="314"/>
      <c r="HL55" s="314"/>
      <c r="HM55" s="314"/>
    </row>
    <row r="56" spans="1:221" x14ac:dyDescent="0.25">
      <c r="A56" s="338" t="s">
        <v>157</v>
      </c>
      <c r="B56" s="314"/>
      <c r="C56" s="314"/>
      <c r="D56" s="100">
        <f>IF('Customer Info'!$C$33=TRUE,0,'Customer Info'!$B$22+'Customer Info'!$B$23-'Customer Info'!$B$24)</f>
        <v>0</v>
      </c>
      <c r="E56" s="336" t="s">
        <v>41</v>
      </c>
      <c r="F56" s="335" t="s">
        <v>8</v>
      </c>
      <c r="G56" s="103">
        <f>'Rider Rates'!$B$116</f>
        <v>3.8972999999999998E-3</v>
      </c>
      <c r="H56" s="103"/>
      <c r="I56" s="120"/>
      <c r="J56" s="339">
        <f>SUM(G56:H56)</f>
        <v>3.8972999999999998E-3</v>
      </c>
      <c r="K56" s="334" t="s">
        <v>42</v>
      </c>
      <c r="L56" s="105">
        <f>ROUND(D56*G56,2)</f>
        <v>0</v>
      </c>
      <c r="M56" s="105"/>
      <c r="N56" s="105"/>
      <c r="O56" s="105">
        <f t="shared" si="1"/>
        <v>0</v>
      </c>
      <c r="P56" s="245">
        <f>'Rider Rates'!$D$117</f>
        <v>44531</v>
      </c>
      <c r="Q56" s="332"/>
      <c r="R56" s="107"/>
      <c r="S56" s="331"/>
      <c r="T56" s="109"/>
      <c r="U56" s="314"/>
      <c r="V56" s="330"/>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c r="BW56" s="314"/>
      <c r="BX56" s="314"/>
      <c r="BY56" s="314"/>
      <c r="BZ56" s="314"/>
      <c r="CA56" s="314"/>
      <c r="CB56" s="314"/>
      <c r="CC56" s="314"/>
      <c r="CD56" s="314"/>
      <c r="CE56" s="314"/>
      <c r="CF56" s="314"/>
      <c r="CG56" s="314"/>
      <c r="CH56" s="314"/>
      <c r="CI56" s="314"/>
      <c r="CJ56" s="314"/>
      <c r="CK56" s="314"/>
      <c r="CL56" s="314"/>
      <c r="CM56" s="314"/>
      <c r="CN56" s="314"/>
      <c r="CO56" s="314"/>
      <c r="CP56" s="314"/>
      <c r="CQ56" s="314"/>
      <c r="CR56" s="314"/>
      <c r="CS56" s="314"/>
      <c r="CT56" s="314"/>
      <c r="CU56" s="314"/>
      <c r="CV56" s="314"/>
      <c r="CW56" s="314"/>
      <c r="CX56" s="314"/>
      <c r="CY56" s="314"/>
      <c r="CZ56" s="314"/>
      <c r="DA56" s="314"/>
      <c r="DB56" s="314"/>
      <c r="DC56" s="314"/>
      <c r="DD56" s="314"/>
      <c r="DE56" s="314"/>
      <c r="DF56" s="314"/>
      <c r="DG56" s="314"/>
      <c r="DH56" s="314"/>
      <c r="DI56" s="314"/>
      <c r="DJ56" s="314"/>
      <c r="DK56" s="314"/>
      <c r="DL56" s="314"/>
      <c r="DM56" s="314"/>
      <c r="DN56" s="314"/>
      <c r="DO56" s="314"/>
      <c r="DP56" s="314"/>
      <c r="DQ56" s="314"/>
      <c r="DR56" s="314"/>
      <c r="DS56" s="314"/>
      <c r="DT56" s="314"/>
      <c r="DU56" s="314"/>
      <c r="DV56" s="314"/>
      <c r="DW56" s="314"/>
      <c r="DX56" s="314"/>
      <c r="DY56" s="314"/>
      <c r="DZ56" s="314"/>
      <c r="EA56" s="314"/>
      <c r="EB56" s="314"/>
      <c r="EC56" s="314"/>
      <c r="ED56" s="314"/>
      <c r="EE56" s="314"/>
      <c r="EF56" s="314"/>
      <c r="EG56" s="314"/>
      <c r="EH56" s="314"/>
      <c r="EI56" s="314"/>
      <c r="EJ56" s="314"/>
      <c r="EK56" s="314"/>
      <c r="EL56" s="314"/>
      <c r="EM56" s="314"/>
      <c r="EN56" s="314"/>
      <c r="EO56" s="314"/>
      <c r="EP56" s="314"/>
      <c r="EQ56" s="314"/>
      <c r="ER56" s="314"/>
      <c r="ES56" s="314"/>
      <c r="ET56" s="314"/>
      <c r="EU56" s="314"/>
      <c r="EV56" s="314"/>
      <c r="EW56" s="314"/>
      <c r="EX56" s="314"/>
      <c r="EY56" s="314"/>
      <c r="EZ56" s="314"/>
      <c r="FA56" s="314"/>
      <c r="FB56" s="314"/>
      <c r="FC56" s="314"/>
      <c r="FD56" s="314"/>
      <c r="FE56" s="314"/>
      <c r="FF56" s="314"/>
      <c r="FG56" s="314"/>
      <c r="FH56" s="314"/>
      <c r="FI56" s="314"/>
      <c r="FJ56" s="314"/>
      <c r="FK56" s="314"/>
      <c r="FL56" s="314"/>
      <c r="FM56" s="314"/>
      <c r="FN56" s="314"/>
      <c r="FO56" s="314"/>
      <c r="FP56" s="314"/>
      <c r="FQ56" s="314"/>
      <c r="FR56" s="314"/>
      <c r="FS56" s="314"/>
      <c r="FT56" s="314"/>
      <c r="FU56" s="314"/>
      <c r="FV56" s="314"/>
      <c r="FW56" s="314"/>
      <c r="FX56" s="314"/>
      <c r="FY56" s="314"/>
      <c r="FZ56" s="314"/>
      <c r="GA56" s="314"/>
      <c r="GB56" s="314"/>
      <c r="GC56" s="314"/>
      <c r="GD56" s="314"/>
      <c r="GE56" s="314"/>
      <c r="GF56" s="314"/>
      <c r="GG56" s="314"/>
      <c r="GH56" s="314"/>
      <c r="GI56" s="314"/>
      <c r="GJ56" s="314"/>
      <c r="GK56" s="314"/>
      <c r="GL56" s="314"/>
      <c r="GM56" s="314"/>
      <c r="GN56" s="314"/>
      <c r="GO56" s="314"/>
      <c r="GP56" s="314"/>
      <c r="GQ56" s="314"/>
      <c r="GR56" s="314"/>
      <c r="GS56" s="314"/>
      <c r="GT56" s="314"/>
      <c r="GU56" s="314"/>
      <c r="GV56" s="314"/>
      <c r="GW56" s="314"/>
      <c r="GX56" s="314"/>
      <c r="GY56" s="314"/>
      <c r="GZ56" s="314"/>
      <c r="HA56" s="314"/>
      <c r="HB56" s="314"/>
      <c r="HC56" s="314"/>
      <c r="HD56" s="314"/>
      <c r="HE56" s="314"/>
      <c r="HF56" s="314"/>
      <c r="HG56" s="314"/>
      <c r="HH56" s="314"/>
      <c r="HI56" s="314"/>
      <c r="HJ56" s="314"/>
      <c r="HK56" s="314"/>
      <c r="HL56" s="314"/>
      <c r="HM56" s="314"/>
    </row>
    <row r="57" spans="1:221" x14ac:dyDescent="0.25">
      <c r="A57" s="338" t="s">
        <v>216</v>
      </c>
      <c r="B57" s="314"/>
      <c r="C57" s="314"/>
      <c r="D57" s="1">
        <f>IF($C$16&lt;1,0,$C$16)</f>
        <v>0</v>
      </c>
      <c r="E57" s="336" t="s">
        <v>41</v>
      </c>
      <c r="F57" s="340" t="s">
        <v>8</v>
      </c>
      <c r="G57" s="165"/>
      <c r="H57" s="165"/>
      <c r="I57" s="251">
        <f>'Rider Rates'!B122</f>
        <v>-6.2E-4</v>
      </c>
      <c r="J57" s="251">
        <f>SUM(G57:I57)</f>
        <v>-6.2E-4</v>
      </c>
      <c r="K57" s="334" t="s">
        <v>42</v>
      </c>
      <c r="L57" s="105"/>
      <c r="M57" s="105"/>
      <c r="N57" s="105">
        <f>D57*I57</f>
        <v>0</v>
      </c>
      <c r="O57" s="105">
        <f t="shared" si="1"/>
        <v>0</v>
      </c>
      <c r="P57" s="245">
        <f>'Rider Rates'!D122</f>
        <v>44531</v>
      </c>
      <c r="Q57" s="332"/>
      <c r="R57" s="107"/>
      <c r="S57" s="331"/>
      <c r="T57" s="109"/>
      <c r="U57" s="314"/>
      <c r="V57" s="330"/>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N57" s="314"/>
      <c r="BO57" s="314"/>
      <c r="BP57" s="314"/>
      <c r="BQ57" s="314"/>
      <c r="BR57" s="314"/>
      <c r="BS57" s="314"/>
      <c r="BT57" s="314"/>
      <c r="BU57" s="314"/>
      <c r="BV57" s="314"/>
      <c r="BW57" s="314"/>
      <c r="BX57" s="314"/>
      <c r="BY57" s="314"/>
      <c r="BZ57" s="314"/>
      <c r="CA57" s="314"/>
      <c r="CB57" s="314"/>
      <c r="CC57" s="314"/>
      <c r="CD57" s="314"/>
      <c r="CE57" s="314"/>
      <c r="CF57" s="314"/>
      <c r="CG57" s="314"/>
      <c r="CH57" s="314"/>
      <c r="CI57" s="314"/>
      <c r="CJ57" s="314"/>
      <c r="CK57" s="314"/>
      <c r="CL57" s="314"/>
      <c r="CM57" s="314"/>
      <c r="CN57" s="314"/>
      <c r="CO57" s="314"/>
      <c r="CP57" s="314"/>
      <c r="CQ57" s="314"/>
      <c r="CR57" s="314"/>
      <c r="CS57" s="314"/>
      <c r="CT57" s="314"/>
      <c r="CU57" s="314"/>
      <c r="CV57" s="314"/>
      <c r="CW57" s="314"/>
      <c r="CX57" s="314"/>
      <c r="CY57" s="314"/>
      <c r="CZ57" s="314"/>
      <c r="DA57" s="314"/>
      <c r="DB57" s="314"/>
      <c r="DC57" s="314"/>
      <c r="DD57" s="314"/>
      <c r="DE57" s="314"/>
      <c r="DF57" s="314"/>
      <c r="DG57" s="314"/>
      <c r="DH57" s="314"/>
      <c r="DI57" s="314"/>
      <c r="DJ57" s="314"/>
      <c r="DK57" s="314"/>
      <c r="DL57" s="314"/>
      <c r="DM57" s="314"/>
      <c r="DN57" s="314"/>
      <c r="DO57" s="314"/>
      <c r="DP57" s="314"/>
      <c r="DQ57" s="314"/>
      <c r="DR57" s="314"/>
      <c r="DS57" s="314"/>
      <c r="DT57" s="314"/>
      <c r="DU57" s="314"/>
      <c r="DV57" s="314"/>
      <c r="DW57" s="314"/>
      <c r="DX57" s="314"/>
      <c r="DY57" s="314"/>
      <c r="DZ57" s="314"/>
      <c r="EA57" s="314"/>
      <c r="EB57" s="314"/>
      <c r="EC57" s="314"/>
      <c r="ED57" s="314"/>
      <c r="EE57" s="314"/>
      <c r="EF57" s="314"/>
      <c r="EG57" s="314"/>
      <c r="EH57" s="314"/>
      <c r="EI57" s="314"/>
      <c r="EJ57" s="314"/>
      <c r="EK57" s="314"/>
      <c r="EL57" s="314"/>
      <c r="EM57" s="314"/>
      <c r="EN57" s="314"/>
      <c r="EO57" s="314"/>
      <c r="EP57" s="314"/>
      <c r="EQ57" s="314"/>
      <c r="ER57" s="314"/>
      <c r="ES57" s="314"/>
      <c r="ET57" s="314"/>
      <c r="EU57" s="314"/>
      <c r="EV57" s="314"/>
      <c r="EW57" s="314"/>
      <c r="EX57" s="314"/>
      <c r="EY57" s="314"/>
      <c r="EZ57" s="314"/>
      <c r="FA57" s="314"/>
      <c r="FB57" s="314"/>
      <c r="FC57" s="314"/>
      <c r="FD57" s="314"/>
      <c r="FE57" s="314"/>
      <c r="FF57" s="314"/>
      <c r="FG57" s="314"/>
      <c r="FH57" s="314"/>
      <c r="FI57" s="314"/>
      <c r="FJ57" s="314"/>
      <c r="FK57" s="314"/>
      <c r="FL57" s="314"/>
      <c r="FM57" s="314"/>
      <c r="FN57" s="314"/>
      <c r="FO57" s="314"/>
      <c r="FP57" s="314"/>
      <c r="FQ57" s="314"/>
      <c r="FR57" s="314"/>
      <c r="FS57" s="314"/>
      <c r="FT57" s="314"/>
      <c r="FU57" s="314"/>
      <c r="FV57" s="314"/>
      <c r="FW57" s="314"/>
      <c r="FX57" s="314"/>
      <c r="FY57" s="314"/>
      <c r="FZ57" s="314"/>
      <c r="GA57" s="314"/>
      <c r="GB57" s="314"/>
      <c r="GC57" s="314"/>
      <c r="GD57" s="314"/>
      <c r="GE57" s="314"/>
      <c r="GF57" s="314"/>
      <c r="GG57" s="314"/>
      <c r="GH57" s="314"/>
      <c r="GI57" s="314"/>
      <c r="GJ57" s="314"/>
      <c r="GK57" s="314"/>
      <c r="GL57" s="314"/>
      <c r="GM57" s="314"/>
      <c r="GN57" s="314"/>
      <c r="GO57" s="314"/>
      <c r="GP57" s="314"/>
      <c r="GQ57" s="314"/>
      <c r="GR57" s="314"/>
      <c r="GS57" s="314"/>
      <c r="GT57" s="314"/>
      <c r="GU57" s="314"/>
      <c r="GV57" s="314"/>
      <c r="GW57" s="314"/>
      <c r="GX57" s="314"/>
      <c r="GY57" s="314"/>
      <c r="GZ57" s="314"/>
      <c r="HA57" s="314"/>
      <c r="HB57" s="314"/>
      <c r="HC57" s="314"/>
      <c r="HD57" s="314"/>
      <c r="HE57" s="314"/>
      <c r="HF57" s="314"/>
      <c r="HG57" s="314"/>
      <c r="HH57" s="314"/>
      <c r="HI57" s="314"/>
      <c r="HJ57" s="314"/>
      <c r="HK57" s="314"/>
      <c r="HL57" s="314"/>
      <c r="HM57" s="314"/>
    </row>
    <row r="58" spans="1:221" x14ac:dyDescent="0.25">
      <c r="A58" s="314" t="s">
        <v>241</v>
      </c>
      <c r="B58" s="314"/>
      <c r="C58" s="314"/>
      <c r="D58" s="100">
        <f>IF(C16&lt;0,0,IF(C16&gt;833000,833000,C16))</f>
        <v>0</v>
      </c>
      <c r="E58" s="336" t="s">
        <v>41</v>
      </c>
      <c r="F58" s="335" t="s">
        <v>8</v>
      </c>
      <c r="G58" s="265"/>
      <c r="H58" s="265"/>
      <c r="I58" s="265">
        <f>'Rider Rates'!$B$130</f>
        <v>2.9050000000000001E-4</v>
      </c>
      <c r="J58" s="342">
        <f>SUM(G58:I58)</f>
        <v>2.9050000000000001E-4</v>
      </c>
      <c r="K58" s="334" t="s">
        <v>42</v>
      </c>
      <c r="L58" s="341"/>
      <c r="M58" s="341"/>
      <c r="N58" s="341">
        <f>IF(D58*J58&gt;'Rider Rates'!$C$130,'Rider Rates'!$C$130,D58*J58)</f>
        <v>0</v>
      </c>
      <c r="O58" s="341">
        <f t="shared" si="1"/>
        <v>0</v>
      </c>
      <c r="P58" s="264">
        <f>'Rider Rates'!$E$130</f>
        <v>45292</v>
      </c>
      <c r="Q58" s="332"/>
      <c r="R58" s="107"/>
      <c r="S58" s="331"/>
      <c r="T58" s="109"/>
      <c r="U58" s="314"/>
      <c r="V58" s="330"/>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4"/>
      <c r="CH58" s="314"/>
      <c r="CI58" s="314"/>
      <c r="CJ58" s="314"/>
      <c r="CK58" s="314"/>
      <c r="CL58" s="314"/>
      <c r="CM58" s="314"/>
      <c r="CN58" s="314"/>
      <c r="CO58" s="314"/>
      <c r="CP58" s="314"/>
      <c r="CQ58" s="314"/>
      <c r="CR58" s="314"/>
      <c r="CS58" s="314"/>
      <c r="CT58" s="314"/>
      <c r="CU58" s="314"/>
      <c r="CV58" s="314"/>
      <c r="CW58" s="314"/>
      <c r="CX58" s="314"/>
      <c r="CY58" s="314"/>
      <c r="CZ58" s="314"/>
      <c r="DA58" s="314"/>
      <c r="DB58" s="314"/>
      <c r="DC58" s="314"/>
      <c r="DD58" s="314"/>
      <c r="DE58" s="314"/>
      <c r="DF58" s="314"/>
      <c r="DG58" s="314"/>
      <c r="DH58" s="314"/>
      <c r="DI58" s="314"/>
      <c r="DJ58" s="314"/>
      <c r="DK58" s="314"/>
      <c r="DL58" s="314"/>
      <c r="DM58" s="314"/>
      <c r="DN58" s="314"/>
      <c r="DO58" s="314"/>
      <c r="DP58" s="314"/>
      <c r="DQ58" s="314"/>
      <c r="DR58" s="314"/>
      <c r="DS58" s="314"/>
      <c r="DT58" s="314"/>
      <c r="DU58" s="314"/>
      <c r="DV58" s="314"/>
      <c r="DW58" s="314"/>
      <c r="DX58" s="314"/>
      <c r="DY58" s="314"/>
      <c r="DZ58" s="314"/>
      <c r="EA58" s="314"/>
      <c r="EB58" s="314"/>
      <c r="EC58" s="314"/>
      <c r="ED58" s="314"/>
      <c r="EE58" s="314"/>
      <c r="EF58" s="314"/>
      <c r="EG58" s="314"/>
      <c r="EH58" s="314"/>
      <c r="EI58" s="314"/>
      <c r="EJ58" s="314"/>
      <c r="EK58" s="314"/>
      <c r="EL58" s="314"/>
      <c r="EM58" s="314"/>
      <c r="EN58" s="314"/>
      <c r="EO58" s="314"/>
      <c r="EP58" s="314"/>
      <c r="EQ58" s="314"/>
      <c r="ER58" s="314"/>
      <c r="ES58" s="314"/>
      <c r="ET58" s="314"/>
      <c r="EU58" s="314"/>
      <c r="EV58" s="314"/>
      <c r="EW58" s="314"/>
      <c r="EX58" s="314"/>
      <c r="EY58" s="314"/>
      <c r="EZ58" s="314"/>
      <c r="FA58" s="314"/>
      <c r="FB58" s="314"/>
      <c r="FC58" s="314"/>
      <c r="FD58" s="314"/>
      <c r="FE58" s="314"/>
      <c r="FF58" s="314"/>
      <c r="FG58" s="314"/>
      <c r="FH58" s="314"/>
      <c r="FI58" s="314"/>
      <c r="FJ58" s="314"/>
      <c r="FK58" s="314"/>
      <c r="FL58" s="314"/>
      <c r="FM58" s="314"/>
      <c r="FN58" s="314"/>
      <c r="FO58" s="314"/>
      <c r="FP58" s="314"/>
      <c r="FQ58" s="314"/>
      <c r="FR58" s="314"/>
      <c r="FS58" s="314"/>
      <c r="FT58" s="314"/>
      <c r="FU58" s="314"/>
      <c r="FV58" s="314"/>
      <c r="FW58" s="314"/>
      <c r="FX58" s="314"/>
      <c r="FY58" s="314"/>
      <c r="FZ58" s="314"/>
      <c r="GA58" s="314"/>
      <c r="GB58" s="314"/>
      <c r="GC58" s="314"/>
      <c r="GD58" s="314"/>
      <c r="GE58" s="314"/>
      <c r="GF58" s="314"/>
      <c r="GG58" s="314"/>
      <c r="GH58" s="314"/>
      <c r="GI58" s="314"/>
      <c r="GJ58" s="314"/>
      <c r="GK58" s="314"/>
      <c r="GL58" s="314"/>
      <c r="GM58" s="314"/>
      <c r="GN58" s="314"/>
      <c r="GO58" s="314"/>
      <c r="GP58" s="314"/>
      <c r="GQ58" s="314"/>
      <c r="GR58" s="314"/>
      <c r="GS58" s="314"/>
      <c r="GT58" s="314"/>
      <c r="GU58" s="314"/>
      <c r="GV58" s="314"/>
      <c r="GW58" s="314"/>
      <c r="GX58" s="314"/>
      <c r="GY58" s="314"/>
      <c r="GZ58" s="314"/>
      <c r="HA58" s="314"/>
      <c r="HB58" s="314"/>
      <c r="HC58" s="314"/>
      <c r="HD58" s="314"/>
      <c r="HE58" s="314"/>
      <c r="HF58" s="314"/>
      <c r="HG58" s="314"/>
      <c r="HH58" s="314"/>
      <c r="HI58" s="314"/>
      <c r="HJ58" s="314"/>
      <c r="HK58" s="314"/>
      <c r="HL58" s="314"/>
      <c r="HM58" s="314"/>
    </row>
    <row r="59" spans="1:221" x14ac:dyDescent="0.25">
      <c r="A59" s="314" t="s">
        <v>242</v>
      </c>
      <c r="B59" s="314"/>
      <c r="C59" s="314"/>
      <c r="D59" s="123">
        <f>IF(C16&gt;833000,C16-833000,0)</f>
        <v>0</v>
      </c>
      <c r="E59" s="336" t="s">
        <v>41</v>
      </c>
      <c r="F59" s="335" t="s">
        <v>8</v>
      </c>
      <c r="G59" s="265"/>
      <c r="H59" s="265"/>
      <c r="I59" s="265">
        <f>'Rider Rates'!$B$131</f>
        <v>0</v>
      </c>
      <c r="J59" s="342">
        <f>SUM(G59:I59)</f>
        <v>0</v>
      </c>
      <c r="K59" s="334" t="s">
        <v>42</v>
      </c>
      <c r="L59" s="341"/>
      <c r="M59" s="341"/>
      <c r="N59" s="341">
        <f>D59*J59</f>
        <v>0</v>
      </c>
      <c r="O59" s="341">
        <f t="shared" si="1"/>
        <v>0</v>
      </c>
      <c r="P59" s="264">
        <f>'Rider Rates'!$E$131</f>
        <v>44927</v>
      </c>
      <c r="Q59" s="332"/>
      <c r="R59" s="107"/>
      <c r="S59" s="331"/>
      <c r="T59" s="109"/>
      <c r="U59" s="314"/>
      <c r="V59" s="330"/>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14"/>
      <c r="CD59" s="314"/>
      <c r="CE59" s="314"/>
      <c r="CF59" s="314"/>
      <c r="CG59" s="314"/>
      <c r="CH59" s="314"/>
      <c r="CI59" s="314"/>
      <c r="CJ59" s="314"/>
      <c r="CK59" s="314"/>
      <c r="CL59" s="314"/>
      <c r="CM59" s="314"/>
      <c r="CN59" s="314"/>
      <c r="CO59" s="314"/>
      <c r="CP59" s="314"/>
      <c r="CQ59" s="314"/>
      <c r="CR59" s="314"/>
      <c r="CS59" s="314"/>
      <c r="CT59" s="314"/>
      <c r="CU59" s="314"/>
      <c r="CV59" s="314"/>
      <c r="CW59" s="314"/>
      <c r="CX59" s="314"/>
      <c r="CY59" s="314"/>
      <c r="CZ59" s="314"/>
      <c r="DA59" s="314"/>
      <c r="DB59" s="314"/>
      <c r="DC59" s="314"/>
      <c r="DD59" s="314"/>
      <c r="DE59" s="314"/>
      <c r="DF59" s="314"/>
      <c r="DG59" s="314"/>
      <c r="DH59" s="314"/>
      <c r="DI59" s="314"/>
      <c r="DJ59" s="314"/>
      <c r="DK59" s="314"/>
      <c r="DL59" s="314"/>
      <c r="DM59" s="314"/>
      <c r="DN59" s="314"/>
      <c r="DO59" s="314"/>
      <c r="DP59" s="314"/>
      <c r="DQ59" s="314"/>
      <c r="DR59" s="314"/>
      <c r="DS59" s="314"/>
      <c r="DT59" s="314"/>
      <c r="DU59" s="314"/>
      <c r="DV59" s="314"/>
      <c r="DW59" s="314"/>
      <c r="DX59" s="314"/>
      <c r="DY59" s="314"/>
      <c r="DZ59" s="314"/>
      <c r="EA59" s="314"/>
      <c r="EB59" s="314"/>
      <c r="EC59" s="314"/>
      <c r="ED59" s="314"/>
      <c r="EE59" s="314"/>
      <c r="EF59" s="314"/>
      <c r="EG59" s="314"/>
      <c r="EH59" s="314"/>
      <c r="EI59" s="314"/>
      <c r="EJ59" s="314"/>
      <c r="EK59" s="314"/>
      <c r="EL59" s="314"/>
      <c r="EM59" s="314"/>
      <c r="EN59" s="314"/>
      <c r="EO59" s="314"/>
      <c r="EP59" s="314"/>
      <c r="EQ59" s="314"/>
      <c r="ER59" s="314"/>
      <c r="ES59" s="314"/>
      <c r="ET59" s="314"/>
      <c r="EU59" s="314"/>
      <c r="EV59" s="314"/>
      <c r="EW59" s="314"/>
      <c r="EX59" s="314"/>
      <c r="EY59" s="314"/>
      <c r="EZ59" s="314"/>
      <c r="FA59" s="314"/>
      <c r="FB59" s="314"/>
      <c r="FC59" s="314"/>
      <c r="FD59" s="314"/>
      <c r="FE59" s="314"/>
      <c r="FF59" s="314"/>
      <c r="FG59" s="314"/>
      <c r="FH59" s="314"/>
      <c r="FI59" s="314"/>
      <c r="FJ59" s="314"/>
      <c r="FK59" s="314"/>
      <c r="FL59" s="314"/>
      <c r="FM59" s="314"/>
      <c r="FN59" s="314"/>
      <c r="FO59" s="314"/>
      <c r="FP59" s="314"/>
      <c r="FQ59" s="314"/>
      <c r="FR59" s="314"/>
      <c r="FS59" s="314"/>
      <c r="FT59" s="314"/>
      <c r="FU59" s="314"/>
      <c r="FV59" s="314"/>
      <c r="FW59" s="314"/>
      <c r="FX59" s="314"/>
      <c r="FY59" s="314"/>
      <c r="FZ59" s="314"/>
      <c r="GA59" s="314"/>
      <c r="GB59" s="314"/>
      <c r="GC59" s="314"/>
      <c r="GD59" s="314"/>
      <c r="GE59" s="314"/>
      <c r="GF59" s="314"/>
      <c r="GG59" s="314"/>
      <c r="GH59" s="314"/>
      <c r="GI59" s="314"/>
      <c r="GJ59" s="314"/>
      <c r="GK59" s="314"/>
      <c r="GL59" s="314"/>
      <c r="GM59" s="314"/>
      <c r="GN59" s="314"/>
      <c r="GO59" s="314"/>
      <c r="GP59" s="314"/>
      <c r="GQ59" s="314"/>
      <c r="GR59" s="314"/>
      <c r="GS59" s="314"/>
      <c r="GT59" s="314"/>
      <c r="GU59" s="314"/>
      <c r="GV59" s="314"/>
      <c r="GW59" s="314"/>
      <c r="GX59" s="314"/>
      <c r="GY59" s="314"/>
      <c r="GZ59" s="314"/>
      <c r="HA59" s="314"/>
      <c r="HB59" s="314"/>
      <c r="HC59" s="314"/>
      <c r="HD59" s="314"/>
      <c r="HE59" s="314"/>
      <c r="HF59" s="314"/>
      <c r="HG59" s="314"/>
      <c r="HH59" s="314"/>
      <c r="HI59" s="314"/>
      <c r="HJ59" s="314"/>
      <c r="HK59" s="314"/>
      <c r="HL59" s="314"/>
      <c r="HM59" s="314"/>
    </row>
    <row r="60" spans="1:221" x14ac:dyDescent="0.25">
      <c r="A60" s="338" t="s">
        <v>250</v>
      </c>
      <c r="B60" s="314"/>
      <c r="C60" s="314"/>
      <c r="D60" s="100">
        <f>D16</f>
        <v>0</v>
      </c>
      <c r="E60" s="336" t="s">
        <v>41</v>
      </c>
      <c r="F60" s="340" t="s">
        <v>8</v>
      </c>
      <c r="G60" s="103"/>
      <c r="H60" s="103"/>
      <c r="I60" s="103">
        <f>'Rider Rates'!$B$135</f>
        <v>0</v>
      </c>
      <c r="J60" s="339">
        <f>SUM(G60:I60)</f>
        <v>0</v>
      </c>
      <c r="K60" s="334" t="s">
        <v>42</v>
      </c>
      <c r="L60" s="105"/>
      <c r="M60" s="105"/>
      <c r="N60" s="105">
        <f>D60*J60</f>
        <v>0</v>
      </c>
      <c r="O60" s="105">
        <f t="shared" si="1"/>
        <v>0</v>
      </c>
      <c r="P60" s="245">
        <f>'Rider Rates'!$D$135</f>
        <v>44531</v>
      </c>
      <c r="Q60" s="332"/>
      <c r="R60" s="107"/>
      <c r="S60" s="331"/>
      <c r="T60" s="109"/>
      <c r="U60" s="314"/>
      <c r="V60" s="330"/>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14"/>
      <c r="CC60" s="314"/>
      <c r="CD60" s="314"/>
      <c r="CE60" s="314"/>
      <c r="CF60" s="314"/>
      <c r="CG60" s="314"/>
      <c r="CH60" s="314"/>
      <c r="CI60" s="314"/>
      <c r="CJ60" s="314"/>
      <c r="CK60" s="314"/>
      <c r="CL60" s="314"/>
      <c r="CM60" s="314"/>
      <c r="CN60" s="314"/>
      <c r="CO60" s="314"/>
      <c r="CP60" s="314"/>
      <c r="CQ60" s="314"/>
      <c r="CR60" s="314"/>
      <c r="CS60" s="314"/>
      <c r="CT60" s="314"/>
      <c r="CU60" s="314"/>
      <c r="CV60" s="314"/>
      <c r="CW60" s="314"/>
      <c r="CX60" s="314"/>
      <c r="CY60" s="314"/>
      <c r="CZ60" s="314"/>
      <c r="DA60" s="314"/>
      <c r="DB60" s="314"/>
      <c r="DC60" s="314"/>
      <c r="DD60" s="314"/>
      <c r="DE60" s="314"/>
      <c r="DF60" s="314"/>
      <c r="DG60" s="314"/>
      <c r="DH60" s="314"/>
      <c r="DI60" s="314"/>
      <c r="DJ60" s="314"/>
      <c r="DK60" s="314"/>
      <c r="DL60" s="314"/>
      <c r="DM60" s="314"/>
      <c r="DN60" s="314"/>
      <c r="DO60" s="314"/>
      <c r="DP60" s="314"/>
      <c r="DQ60" s="314"/>
      <c r="DR60" s="314"/>
      <c r="DS60" s="314"/>
      <c r="DT60" s="314"/>
      <c r="DU60" s="314"/>
      <c r="DV60" s="314"/>
      <c r="DW60" s="314"/>
      <c r="DX60" s="314"/>
      <c r="DY60" s="314"/>
      <c r="DZ60" s="314"/>
      <c r="EA60" s="314"/>
      <c r="EB60" s="314"/>
      <c r="EC60" s="314"/>
      <c r="ED60" s="314"/>
      <c r="EE60" s="314"/>
      <c r="EF60" s="314"/>
      <c r="EG60" s="314"/>
      <c r="EH60" s="314"/>
      <c r="EI60" s="314"/>
      <c r="EJ60" s="314"/>
      <c r="EK60" s="314"/>
      <c r="EL60" s="314"/>
      <c r="EM60" s="314"/>
      <c r="EN60" s="314"/>
      <c r="EO60" s="314"/>
      <c r="EP60" s="314"/>
      <c r="EQ60" s="314"/>
      <c r="ER60" s="314"/>
      <c r="ES60" s="314"/>
      <c r="ET60" s="314"/>
      <c r="EU60" s="314"/>
      <c r="EV60" s="314"/>
      <c r="EW60" s="314"/>
      <c r="EX60" s="314"/>
      <c r="EY60" s="314"/>
      <c r="EZ60" s="314"/>
      <c r="FA60" s="314"/>
      <c r="FB60" s="314"/>
      <c r="FC60" s="314"/>
      <c r="FD60" s="314"/>
      <c r="FE60" s="314"/>
      <c r="FF60" s="314"/>
      <c r="FG60" s="314"/>
      <c r="FH60" s="314"/>
      <c r="FI60" s="314"/>
      <c r="FJ60" s="314"/>
      <c r="FK60" s="314"/>
      <c r="FL60" s="314"/>
      <c r="FM60" s="314"/>
      <c r="FN60" s="314"/>
      <c r="FO60" s="314"/>
      <c r="FP60" s="314"/>
      <c r="FQ60" s="314"/>
      <c r="FR60" s="314"/>
      <c r="FS60" s="314"/>
      <c r="FT60" s="314"/>
      <c r="FU60" s="314"/>
      <c r="FV60" s="314"/>
      <c r="FW60" s="314"/>
      <c r="FX60" s="314"/>
      <c r="FY60" s="314"/>
      <c r="FZ60" s="314"/>
      <c r="GA60" s="314"/>
      <c r="GB60" s="314"/>
      <c r="GC60" s="314"/>
      <c r="GD60" s="314"/>
      <c r="GE60" s="314"/>
      <c r="GF60" s="314"/>
      <c r="GG60" s="314"/>
      <c r="GH60" s="314"/>
      <c r="GI60" s="314"/>
      <c r="GJ60" s="314"/>
      <c r="GK60" s="314"/>
      <c r="GL60" s="314"/>
      <c r="GM60" s="314"/>
      <c r="GN60" s="314"/>
      <c r="GO60" s="314"/>
      <c r="GP60" s="314"/>
      <c r="GQ60" s="314"/>
      <c r="GR60" s="314"/>
      <c r="GS60" s="314"/>
      <c r="GT60" s="314"/>
      <c r="GU60" s="314"/>
      <c r="GV60" s="314"/>
      <c r="GW60" s="314"/>
      <c r="GX60" s="314"/>
      <c r="GY60" s="314"/>
      <c r="GZ60" s="314"/>
      <c r="HA60" s="314"/>
      <c r="HB60" s="314"/>
      <c r="HC60" s="314"/>
      <c r="HD60" s="314"/>
      <c r="HE60" s="314"/>
      <c r="HF60" s="314"/>
      <c r="HG60" s="314"/>
      <c r="HH60" s="314"/>
      <c r="HI60" s="314"/>
      <c r="HJ60" s="314"/>
      <c r="HK60" s="314"/>
      <c r="HL60" s="314"/>
      <c r="HM60" s="314"/>
    </row>
    <row r="61" spans="1:221" x14ac:dyDescent="0.25">
      <c r="A61" s="338" t="s">
        <v>249</v>
      </c>
      <c r="B61" s="314"/>
      <c r="C61" s="314"/>
      <c r="D61" s="337"/>
      <c r="E61" s="336" t="s">
        <v>114</v>
      </c>
      <c r="F61" s="335" t="s">
        <v>8</v>
      </c>
      <c r="G61" s="263"/>
      <c r="H61" s="263"/>
      <c r="I61" s="263">
        <f>'Rider Rates'!$B$142</f>
        <v>0</v>
      </c>
      <c r="J61" s="263">
        <f>SUM(G61:I61)</f>
        <v>0</v>
      </c>
      <c r="K61" s="334"/>
      <c r="L61" s="209"/>
      <c r="M61" s="209"/>
      <c r="N61" s="209">
        <f>J61</f>
        <v>0</v>
      </c>
      <c r="O61" s="209">
        <f t="shared" si="1"/>
        <v>0</v>
      </c>
      <c r="P61" s="264">
        <f>'Rider Rates'!$D$142</f>
        <v>44531</v>
      </c>
      <c r="Q61" s="332"/>
      <c r="R61" s="107"/>
      <c r="S61" s="331"/>
      <c r="T61" s="109"/>
      <c r="U61" s="314"/>
      <c r="V61" s="330"/>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c r="BI61" s="314"/>
      <c r="BJ61" s="314"/>
      <c r="BK61" s="314"/>
      <c r="BL61" s="314"/>
      <c r="BM61" s="314"/>
      <c r="BN61" s="314"/>
      <c r="BO61" s="314"/>
      <c r="BP61" s="314"/>
      <c r="BQ61" s="314"/>
      <c r="BR61" s="314"/>
      <c r="BS61" s="314"/>
      <c r="BT61" s="314"/>
      <c r="BU61" s="314"/>
      <c r="BV61" s="314"/>
      <c r="BW61" s="314"/>
      <c r="BX61" s="314"/>
      <c r="BY61" s="314"/>
      <c r="BZ61" s="314"/>
      <c r="CA61" s="314"/>
      <c r="CB61" s="314"/>
      <c r="CC61" s="314"/>
      <c r="CD61" s="314"/>
      <c r="CE61" s="314"/>
      <c r="CF61" s="314"/>
      <c r="CG61" s="314"/>
      <c r="CH61" s="314"/>
      <c r="CI61" s="314"/>
      <c r="CJ61" s="314"/>
      <c r="CK61" s="314"/>
      <c r="CL61" s="314"/>
      <c r="CM61" s="314"/>
      <c r="CN61" s="314"/>
      <c r="CO61" s="314"/>
      <c r="CP61" s="314"/>
      <c r="CQ61" s="314"/>
      <c r="CR61" s="314"/>
      <c r="CS61" s="314"/>
      <c r="CT61" s="314"/>
      <c r="CU61" s="314"/>
      <c r="CV61" s="314"/>
      <c r="CW61" s="314"/>
      <c r="CX61" s="314"/>
      <c r="CY61" s="314"/>
      <c r="CZ61" s="314"/>
      <c r="DA61" s="314"/>
      <c r="DB61" s="314"/>
      <c r="DC61" s="314"/>
      <c r="DD61" s="314"/>
      <c r="DE61" s="314"/>
      <c r="DF61" s="314"/>
      <c r="DG61" s="314"/>
      <c r="DH61" s="314"/>
      <c r="DI61" s="314"/>
      <c r="DJ61" s="314"/>
      <c r="DK61" s="314"/>
      <c r="DL61" s="314"/>
      <c r="DM61" s="314"/>
      <c r="DN61" s="314"/>
      <c r="DO61" s="314"/>
      <c r="DP61" s="314"/>
      <c r="DQ61" s="314"/>
      <c r="DR61" s="314"/>
      <c r="DS61" s="314"/>
      <c r="DT61" s="314"/>
      <c r="DU61" s="314"/>
      <c r="DV61" s="314"/>
      <c r="DW61" s="314"/>
      <c r="DX61" s="314"/>
      <c r="DY61" s="314"/>
      <c r="DZ61" s="314"/>
      <c r="EA61" s="314"/>
      <c r="EB61" s="314"/>
      <c r="EC61" s="314"/>
      <c r="ED61" s="314"/>
      <c r="EE61" s="314"/>
      <c r="EF61" s="314"/>
      <c r="EG61" s="314"/>
      <c r="EH61" s="314"/>
      <c r="EI61" s="314"/>
      <c r="EJ61" s="314"/>
      <c r="EK61" s="314"/>
      <c r="EL61" s="314"/>
      <c r="EM61" s="314"/>
      <c r="EN61" s="314"/>
      <c r="EO61" s="314"/>
      <c r="EP61" s="314"/>
      <c r="EQ61" s="314"/>
      <c r="ER61" s="314"/>
      <c r="ES61" s="314"/>
      <c r="ET61" s="314"/>
      <c r="EU61" s="314"/>
      <c r="EV61" s="314"/>
      <c r="EW61" s="314"/>
      <c r="EX61" s="314"/>
      <c r="EY61" s="314"/>
      <c r="EZ61" s="314"/>
      <c r="FA61" s="314"/>
      <c r="FB61" s="314"/>
      <c r="FC61" s="314"/>
      <c r="FD61" s="314"/>
      <c r="FE61" s="314"/>
      <c r="FF61" s="314"/>
      <c r="FG61" s="314"/>
      <c r="FH61" s="314"/>
      <c r="FI61" s="314"/>
      <c r="FJ61" s="314"/>
      <c r="FK61" s="314"/>
      <c r="FL61" s="314"/>
      <c r="FM61" s="314"/>
      <c r="FN61" s="314"/>
      <c r="FO61" s="314"/>
      <c r="FP61" s="314"/>
      <c r="FQ61" s="314"/>
      <c r="FR61" s="314"/>
      <c r="FS61" s="314"/>
      <c r="FT61" s="314"/>
      <c r="FU61" s="314"/>
      <c r="FV61" s="314"/>
      <c r="FW61" s="314"/>
      <c r="FX61" s="314"/>
      <c r="FY61" s="314"/>
      <c r="FZ61" s="314"/>
      <c r="GA61" s="314"/>
      <c r="GB61" s="314"/>
      <c r="GC61" s="314"/>
      <c r="GD61" s="314"/>
      <c r="GE61" s="314"/>
      <c r="GF61" s="314"/>
      <c r="GG61" s="314"/>
      <c r="GH61" s="314"/>
      <c r="GI61" s="314"/>
      <c r="GJ61" s="314"/>
      <c r="GK61" s="314"/>
      <c r="GL61" s="314"/>
      <c r="GM61" s="314"/>
      <c r="GN61" s="314"/>
      <c r="GO61" s="314"/>
      <c r="GP61" s="314"/>
      <c r="GQ61" s="314"/>
      <c r="GR61" s="314"/>
      <c r="GS61" s="314"/>
      <c r="GT61" s="314"/>
      <c r="GU61" s="314"/>
      <c r="GV61" s="314"/>
      <c r="GW61" s="314"/>
      <c r="GX61" s="314"/>
      <c r="GY61" s="314"/>
      <c r="GZ61" s="314"/>
      <c r="HA61" s="314"/>
      <c r="HB61" s="314"/>
      <c r="HC61" s="314"/>
      <c r="HD61" s="314"/>
      <c r="HE61" s="314"/>
      <c r="HF61" s="314"/>
      <c r="HG61" s="314"/>
      <c r="HH61" s="314"/>
      <c r="HI61" s="314"/>
      <c r="HJ61" s="314"/>
      <c r="HK61" s="314"/>
      <c r="HL61" s="314"/>
      <c r="HM61" s="314"/>
    </row>
    <row r="62" spans="1:221" x14ac:dyDescent="0.25">
      <c r="A62" s="338" t="s">
        <v>251</v>
      </c>
      <c r="B62" s="314"/>
      <c r="C62" s="314"/>
      <c r="D62" s="337"/>
      <c r="E62" s="336"/>
      <c r="F62" s="335"/>
      <c r="G62" s="263"/>
      <c r="H62" s="263"/>
      <c r="I62" s="263"/>
      <c r="J62" s="263"/>
      <c r="K62" s="334"/>
      <c r="L62" s="209"/>
      <c r="M62" s="209"/>
      <c r="N62" s="209"/>
      <c r="O62" s="209"/>
      <c r="P62" s="333"/>
      <c r="Q62" s="332"/>
      <c r="R62" s="107"/>
      <c r="S62" s="331"/>
      <c r="T62" s="109"/>
      <c r="U62" s="314"/>
      <c r="V62" s="330"/>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14"/>
      <c r="DF62" s="314"/>
      <c r="DG62" s="314"/>
      <c r="DH62" s="314"/>
      <c r="DI62" s="314"/>
      <c r="DJ62" s="314"/>
      <c r="DK62" s="314"/>
      <c r="DL62" s="314"/>
      <c r="DM62" s="314"/>
      <c r="DN62" s="314"/>
      <c r="DO62" s="314"/>
      <c r="DP62" s="314"/>
      <c r="DQ62" s="314"/>
      <c r="DR62" s="314"/>
      <c r="DS62" s="314"/>
      <c r="DT62" s="314"/>
      <c r="DU62" s="314"/>
      <c r="DV62" s="314"/>
      <c r="DW62" s="314"/>
      <c r="DX62" s="314"/>
      <c r="DY62" s="314"/>
      <c r="DZ62" s="314"/>
      <c r="EA62" s="314"/>
      <c r="EB62" s="314"/>
      <c r="EC62" s="314"/>
      <c r="ED62" s="314"/>
      <c r="EE62" s="314"/>
      <c r="EF62" s="314"/>
      <c r="EG62" s="314"/>
      <c r="EH62" s="314"/>
      <c r="EI62" s="314"/>
      <c r="EJ62" s="314"/>
      <c r="EK62" s="314"/>
      <c r="EL62" s="314"/>
      <c r="EM62" s="314"/>
      <c r="EN62" s="314"/>
      <c r="EO62" s="314"/>
      <c r="EP62" s="314"/>
      <c r="EQ62" s="314"/>
      <c r="ER62" s="314"/>
      <c r="ES62" s="314"/>
      <c r="ET62" s="314"/>
      <c r="EU62" s="314"/>
      <c r="EV62" s="314"/>
      <c r="EW62" s="314"/>
      <c r="EX62" s="314"/>
      <c r="EY62" s="314"/>
      <c r="EZ62" s="314"/>
      <c r="FA62" s="314"/>
      <c r="FB62" s="314"/>
      <c r="FC62" s="314"/>
      <c r="FD62" s="314"/>
      <c r="FE62" s="314"/>
      <c r="FF62" s="314"/>
      <c r="FG62" s="314"/>
      <c r="FH62" s="314"/>
      <c r="FI62" s="314"/>
      <c r="FJ62" s="314"/>
      <c r="FK62" s="314"/>
      <c r="FL62" s="314"/>
      <c r="FM62" s="314"/>
      <c r="FN62" s="314"/>
      <c r="FO62" s="314"/>
      <c r="FP62" s="314"/>
      <c r="FQ62" s="314"/>
      <c r="FR62" s="314"/>
      <c r="FS62" s="314"/>
      <c r="FT62" s="314"/>
      <c r="FU62" s="314"/>
      <c r="FV62" s="314"/>
      <c r="FW62" s="314"/>
      <c r="FX62" s="314"/>
      <c r="FY62" s="314"/>
      <c r="FZ62" s="314"/>
      <c r="GA62" s="314"/>
      <c r="GB62" s="314"/>
      <c r="GC62" s="314"/>
      <c r="GD62" s="314"/>
      <c r="GE62" s="314"/>
      <c r="GF62" s="314"/>
      <c r="GG62" s="314"/>
      <c r="GH62" s="314"/>
      <c r="GI62" s="314"/>
      <c r="GJ62" s="314"/>
      <c r="GK62" s="314"/>
      <c r="GL62" s="314"/>
      <c r="GM62" s="314"/>
      <c r="GN62" s="314"/>
      <c r="GO62" s="314"/>
      <c r="GP62" s="314"/>
      <c r="GQ62" s="314"/>
      <c r="GR62" s="314"/>
      <c r="GS62" s="314"/>
      <c r="GT62" s="314"/>
      <c r="GU62" s="314"/>
      <c r="GV62" s="314"/>
      <c r="GW62" s="314"/>
      <c r="GX62" s="314"/>
      <c r="GY62" s="314"/>
      <c r="GZ62" s="314"/>
      <c r="HA62" s="314"/>
      <c r="HB62" s="314"/>
      <c r="HC62" s="314"/>
      <c r="HD62" s="314"/>
      <c r="HE62" s="314"/>
      <c r="HF62" s="314"/>
      <c r="HG62" s="314"/>
      <c r="HH62" s="314"/>
      <c r="HI62" s="314"/>
      <c r="HJ62" s="314"/>
      <c r="HK62" s="314"/>
      <c r="HL62" s="314"/>
      <c r="HM62" s="314"/>
    </row>
    <row r="63" spans="1:221" x14ac:dyDescent="0.25">
      <c r="A63" s="329" t="s">
        <v>70</v>
      </c>
      <c r="B63" s="328"/>
      <c r="C63" s="328"/>
      <c r="D63" s="327"/>
      <c r="E63" s="326"/>
      <c r="F63" s="325"/>
      <c r="G63" s="325"/>
      <c r="H63" s="325"/>
      <c r="I63" s="325"/>
      <c r="J63" s="325"/>
      <c r="K63" s="324"/>
      <c r="L63" s="323">
        <f>SUM(L34:L62)</f>
        <v>0</v>
      </c>
      <c r="M63" s="323">
        <f>SUM(M34:M62)</f>
        <v>0</v>
      </c>
      <c r="N63" s="323">
        <f>SUM(N34:N62)</f>
        <v>25.04</v>
      </c>
      <c r="O63" s="323">
        <f>SUM(O34:O62)</f>
        <v>25.04</v>
      </c>
      <c r="P63" s="322"/>
    </row>
    <row r="64" spans="1:221" x14ac:dyDescent="0.25">
      <c r="A64" s="302"/>
      <c r="D64" s="321"/>
      <c r="E64" s="320"/>
      <c r="F64" s="307"/>
      <c r="G64" s="42"/>
      <c r="H64" s="42"/>
      <c r="I64" s="42"/>
      <c r="J64" s="42"/>
      <c r="K64" s="311"/>
      <c r="L64" s="311"/>
      <c r="M64" s="311"/>
      <c r="N64" s="311"/>
      <c r="O64" s="34"/>
      <c r="P64" s="311"/>
    </row>
    <row r="65" spans="1:16" x14ac:dyDescent="0.25">
      <c r="A65" s="376" t="s">
        <v>71</v>
      </c>
      <c r="B65" s="319"/>
      <c r="C65" s="319"/>
      <c r="D65" s="319"/>
      <c r="E65" s="319"/>
      <c r="F65" s="319"/>
      <c r="G65" s="319"/>
      <c r="H65" s="319"/>
      <c r="I65" s="319"/>
      <c r="J65" s="319"/>
      <c r="K65" s="319"/>
      <c r="L65" s="98">
        <f>L30+L63</f>
        <v>0</v>
      </c>
      <c r="M65" s="98">
        <f>M30+M63</f>
        <v>0</v>
      </c>
      <c r="N65" s="98">
        <f>N30+N63</f>
        <v>34.44</v>
      </c>
      <c r="O65" s="98">
        <f>O30+O63</f>
        <v>34.44</v>
      </c>
      <c r="P65" s="98"/>
    </row>
    <row r="66" spans="1:16" x14ac:dyDescent="0.25">
      <c r="A66" s="302"/>
      <c r="B66" s="302"/>
      <c r="C66" s="302"/>
      <c r="D66" s="302"/>
      <c r="E66" s="302"/>
      <c r="F66" s="302"/>
      <c r="G66" s="302"/>
      <c r="H66" s="302"/>
      <c r="I66" s="302"/>
      <c r="J66" s="302"/>
      <c r="K66" s="302"/>
      <c r="L66" s="302"/>
      <c r="M66" s="302"/>
      <c r="N66" s="302"/>
      <c r="O66" s="40"/>
      <c r="P66" s="40"/>
    </row>
    <row r="67" spans="1:16" x14ac:dyDescent="0.25">
      <c r="A67" s="302" t="s">
        <v>37</v>
      </c>
      <c r="B67" s="302"/>
      <c r="C67" s="302"/>
      <c r="D67" s="302"/>
      <c r="E67" s="302"/>
      <c r="F67" s="302"/>
      <c r="G67" s="302"/>
      <c r="H67" s="302"/>
      <c r="I67" s="302"/>
      <c r="J67" s="302"/>
      <c r="K67" s="302"/>
      <c r="L67" s="302"/>
      <c r="M67" s="302"/>
      <c r="N67" s="302"/>
      <c r="O67" s="45">
        <f>O26+O28+O63</f>
        <v>34.44</v>
      </c>
      <c r="P67" s="318">
        <v>40967</v>
      </c>
    </row>
    <row r="68" spans="1:16" x14ac:dyDescent="0.25">
      <c r="A68" s="302"/>
      <c r="B68" s="302"/>
      <c r="C68" s="302"/>
      <c r="D68" s="302"/>
      <c r="E68" s="302"/>
      <c r="F68" s="302"/>
      <c r="G68" s="312"/>
      <c r="H68" s="312"/>
      <c r="I68" s="312"/>
      <c r="J68" s="312"/>
      <c r="K68" s="311"/>
      <c r="L68" s="311"/>
      <c r="M68" s="311"/>
      <c r="N68" s="311"/>
      <c r="O68" s="40"/>
    </row>
    <row r="69" spans="1:16" x14ac:dyDescent="0.25">
      <c r="A69" s="305" t="s">
        <v>116</v>
      </c>
      <c r="B69" s="302"/>
      <c r="C69" s="302"/>
      <c r="D69" s="302"/>
      <c r="E69" s="302"/>
      <c r="F69" s="302"/>
      <c r="G69" s="312"/>
      <c r="H69" s="312"/>
      <c r="I69" s="312"/>
      <c r="J69" s="312"/>
      <c r="K69" s="311"/>
      <c r="L69" s="311"/>
      <c r="M69" s="311"/>
      <c r="N69" s="311"/>
      <c r="O69" s="138">
        <f>MAX($O$65,$O$67)</f>
        <v>34.44</v>
      </c>
    </row>
    <row r="70" spans="1:16" x14ac:dyDescent="0.25">
      <c r="A70" s="302"/>
      <c r="B70" s="302"/>
      <c r="C70" s="302"/>
      <c r="D70" s="302"/>
      <c r="E70" s="302"/>
      <c r="F70" s="302"/>
      <c r="G70" s="312"/>
      <c r="H70" s="312"/>
      <c r="I70" s="312"/>
      <c r="J70" s="312"/>
      <c r="K70" s="311"/>
      <c r="L70" s="311"/>
      <c r="M70" s="311"/>
      <c r="N70" s="311"/>
      <c r="O70" s="40"/>
    </row>
    <row r="71" spans="1:16" x14ac:dyDescent="0.25">
      <c r="A71" s="302"/>
      <c r="B71" s="302"/>
      <c r="C71" s="302"/>
      <c r="D71" s="302"/>
      <c r="E71" s="302"/>
      <c r="F71" s="302"/>
      <c r="G71" s="304" t="s">
        <v>85</v>
      </c>
      <c r="H71" s="312"/>
      <c r="I71" s="302"/>
      <c r="J71" s="312"/>
      <c r="K71" s="311"/>
      <c r="L71" s="317"/>
      <c r="M71" s="317"/>
      <c r="N71" s="317"/>
      <c r="O71" s="317">
        <f>ROUND(IF($C$16&lt;1,0,$O$69/($C$16*100)*10000),2)</f>
        <v>0</v>
      </c>
      <c r="P71" s="302" t="s">
        <v>86</v>
      </c>
    </row>
    <row r="72" spans="1:16" x14ac:dyDescent="0.25">
      <c r="A72" s="302"/>
      <c r="B72" s="302"/>
      <c r="C72" s="302"/>
      <c r="D72" s="302"/>
      <c r="E72" s="302"/>
      <c r="F72" s="302"/>
      <c r="G72" s="316" t="s">
        <v>198</v>
      </c>
      <c r="H72" s="136"/>
      <c r="I72" s="301"/>
      <c r="J72" s="136"/>
      <c r="K72" s="315"/>
      <c r="L72" s="314"/>
      <c r="M72" s="314"/>
      <c r="N72" s="314"/>
      <c r="O72" s="313">
        <f>ROUND(IF($C$16&lt;1,0,(L65)/($C$16*100)*10000),2)</f>
        <v>0</v>
      </c>
      <c r="P72" s="299" t="s">
        <v>86</v>
      </c>
    </row>
    <row r="73" spans="1:16" x14ac:dyDescent="0.25">
      <c r="A73" s="302"/>
      <c r="B73" s="302"/>
      <c r="C73" s="302"/>
      <c r="D73" s="302"/>
      <c r="E73" s="302"/>
      <c r="F73" s="302"/>
      <c r="G73" s="304"/>
      <c r="H73" s="312"/>
      <c r="I73" s="304"/>
      <c r="J73" s="312"/>
      <c r="K73" s="311"/>
      <c r="L73" s="311"/>
      <c r="M73" s="311"/>
      <c r="N73" s="311"/>
      <c r="O73" s="130"/>
      <c r="P73" s="302"/>
    </row>
    <row r="74" spans="1:16" ht="20.25" customHeight="1" x14ac:dyDescent="0.4">
      <c r="A74" s="308"/>
      <c r="B74" s="302"/>
      <c r="C74" s="302"/>
      <c r="D74" s="228" t="s">
        <v>15</v>
      </c>
      <c r="E74" s="308"/>
      <c r="F74" s="307"/>
      <c r="G74" s="310"/>
      <c r="H74" s="306"/>
      <c r="I74" s="34"/>
      <c r="J74" s="306"/>
      <c r="K74" s="302"/>
      <c r="L74" s="302"/>
      <c r="M74" s="302"/>
      <c r="N74" s="34"/>
    </row>
    <row r="75" spans="1:16" x14ac:dyDescent="0.25">
      <c r="A75" s="302"/>
      <c r="B75" s="302"/>
      <c r="C75" s="302"/>
      <c r="D75" s="309"/>
      <c r="E75" s="308"/>
      <c r="F75" s="307"/>
      <c r="G75" s="306"/>
      <c r="H75" s="306"/>
      <c r="I75" s="93"/>
      <c r="J75" s="306"/>
      <c r="K75" s="302"/>
      <c r="L75" s="302"/>
      <c r="M75" s="302"/>
      <c r="N75" s="302"/>
      <c r="O75" s="40"/>
    </row>
    <row r="76" spans="1:16" x14ac:dyDescent="0.25">
      <c r="A76" s="302"/>
      <c r="B76" s="302"/>
      <c r="C76" s="302"/>
      <c r="D76" s="309"/>
      <c r="E76" s="308"/>
      <c r="F76" s="307"/>
      <c r="G76" s="306"/>
      <c r="H76" s="306"/>
      <c r="I76" s="306"/>
      <c r="J76" s="306"/>
      <c r="K76" s="302"/>
      <c r="L76" s="302"/>
      <c r="M76" s="302"/>
      <c r="N76" s="302"/>
      <c r="O76" s="40"/>
    </row>
    <row r="77" spans="1:16" x14ac:dyDescent="0.25">
      <c r="A77" s="305"/>
      <c r="B77" s="302"/>
      <c r="C77" s="302"/>
      <c r="D77" s="302"/>
      <c r="E77" s="302"/>
      <c r="F77" s="302"/>
      <c r="G77" s="302"/>
      <c r="H77" s="302"/>
      <c r="J77" s="302"/>
      <c r="K77" s="302"/>
      <c r="L77" s="40"/>
      <c r="M77" s="40"/>
      <c r="N77" s="40"/>
      <c r="O77" s="138"/>
    </row>
    <row r="78" spans="1:16" x14ac:dyDescent="0.25">
      <c r="B78" s="302"/>
      <c r="C78" s="302"/>
      <c r="D78" s="302"/>
      <c r="E78" s="302"/>
      <c r="F78" s="302"/>
      <c r="G78" s="304"/>
      <c r="H78" s="302"/>
      <c r="I78" s="302"/>
      <c r="J78" s="302"/>
      <c r="K78" s="302"/>
      <c r="L78" s="303"/>
      <c r="M78" s="303"/>
      <c r="N78" s="303"/>
      <c r="O78" s="130"/>
      <c r="P78" s="302"/>
    </row>
    <row r="79" spans="1:16" x14ac:dyDescent="0.25">
      <c r="G79" s="301"/>
      <c r="H79" s="300"/>
      <c r="I79" s="301"/>
      <c r="J79" s="300"/>
      <c r="K79" s="300"/>
      <c r="L79" s="134"/>
      <c r="M79" s="134"/>
      <c r="N79" s="134"/>
      <c r="O79" s="135"/>
      <c r="P79" s="299"/>
    </row>
    <row r="81" spans="1:1" x14ac:dyDescent="0.25">
      <c r="A81" s="583"/>
    </row>
    <row r="82" spans="1:1" x14ac:dyDescent="0.25">
      <c r="A82" s="583"/>
    </row>
    <row r="83" spans="1:1" x14ac:dyDescent="0.25">
      <c r="A83" s="583"/>
    </row>
    <row r="84" spans="1:1" x14ac:dyDescent="0.25">
      <c r="A84" s="583"/>
    </row>
    <row r="85" spans="1:1" x14ac:dyDescent="0.25">
      <c r="A85" s="583"/>
    </row>
    <row r="86" spans="1:1" x14ac:dyDescent="0.25">
      <c r="A86" s="583"/>
    </row>
    <row r="87" spans="1:1" x14ac:dyDescent="0.25">
      <c r="A87" s="583"/>
    </row>
    <row r="88" spans="1:1" x14ac:dyDescent="0.25">
      <c r="A88" s="583"/>
    </row>
    <row r="89" spans="1:1" x14ac:dyDescent="0.25">
      <c r="A89" s="583"/>
    </row>
    <row r="90" spans="1:1" x14ac:dyDescent="0.25">
      <c r="A90" s="583"/>
    </row>
    <row r="91" spans="1:1" x14ac:dyDescent="0.25">
      <c r="A91" s="583"/>
    </row>
    <row r="92" spans="1:1" x14ac:dyDescent="0.25">
      <c r="A92" s="583"/>
    </row>
    <row r="93" spans="1:1" x14ac:dyDescent="0.25">
      <c r="A93" s="583"/>
    </row>
    <row r="94" spans="1:1" x14ac:dyDescent="0.25">
      <c r="A94" s="583"/>
    </row>
    <row r="95" spans="1:1" x14ac:dyDescent="0.25">
      <c r="A95" s="583"/>
    </row>
  </sheetData>
  <sheetProtection algorithmName="SHA-512" hashValue="NzqqS+PDIUkgGD1CjburBSAOEqm/HR5q8+XUMBbi92D75TAJYI2s+yFeVUoz4KrkKHkVY9cZKzGNmL4tI6ZZZA==" saltValue="PyxkZy+9lsBypjTjJQCZcQ==" spinCount="100000" sheet="1" objects="1" scenarios="1"/>
  <mergeCells count="26">
    <mergeCell ref="A81:A95"/>
    <mergeCell ref="D22:H22"/>
    <mergeCell ref="G24:J24"/>
    <mergeCell ref="A2:P2"/>
    <mergeCell ref="A1:P1"/>
    <mergeCell ref="A3:P3"/>
    <mergeCell ref="A4:P4"/>
    <mergeCell ref="L24:O24"/>
    <mergeCell ref="A11:I11"/>
    <mergeCell ref="D21:H21"/>
    <mergeCell ref="HA2:HP2"/>
    <mergeCell ref="HQ2:IF2"/>
    <mergeCell ref="IG2:IV2"/>
    <mergeCell ref="A7:P7"/>
    <mergeCell ref="EO2:FD2"/>
    <mergeCell ref="FE2:FT2"/>
    <mergeCell ref="FU2:GJ2"/>
    <mergeCell ref="GK2:GZ2"/>
    <mergeCell ref="CC2:CR2"/>
    <mergeCell ref="CS2:DH2"/>
    <mergeCell ref="DI2:DX2"/>
    <mergeCell ref="DY2:EN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Button 1">
              <controlPr defaultSize="0" print="0" autoFill="0" autoPict="0" macro="[0]!Info">
                <anchor moveWithCells="1">
                  <from>
                    <xdr:col>0</xdr:col>
                    <xdr:colOff>30480</xdr:colOff>
                    <xdr:row>0</xdr:row>
                    <xdr:rowOff>30480</xdr:rowOff>
                  </from>
                  <to>
                    <xdr:col>0</xdr:col>
                    <xdr:colOff>373380</xdr:colOff>
                    <xdr:row>1</xdr:row>
                    <xdr:rowOff>30480</xdr:rowOff>
                  </to>
                </anchor>
              </controlPr>
            </control>
          </mc:Choice>
        </mc:AlternateContent>
        <mc:AlternateContent xmlns:mc="http://schemas.openxmlformats.org/markup-compatibility/2006">
          <mc:Choice Requires="x14">
            <control shapeId="158722" r:id="rId5" name="Button 2">
              <controlPr defaultSize="0" print="0" autoFill="0" autoPict="0" macro="[0]!Info">
                <anchor moveWithCells="1">
                  <from>
                    <xdr:col>15</xdr:col>
                    <xdr:colOff>274320</xdr:colOff>
                    <xdr:row>89</xdr:row>
                    <xdr:rowOff>45720</xdr:rowOff>
                  </from>
                  <to>
                    <xdr:col>16</xdr:col>
                    <xdr:colOff>30480</xdr:colOff>
                    <xdr:row>90</xdr:row>
                    <xdr:rowOff>106680</xdr:rowOff>
                  </to>
                </anchor>
              </controlPr>
            </control>
          </mc:Choice>
        </mc:AlternateContent>
        <mc:AlternateContent xmlns:mc="http://schemas.openxmlformats.org/markup-compatibility/2006">
          <mc:Choice Requires="x14">
            <control shapeId="158723"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58724"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58725" r:id="rId8" name="Button 5">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58726" r:id="rId9" name="Button 6">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58727" r:id="rId10" name="Button 7">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58728" r:id="rId11" name="Button 8">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58729" r:id="rId12" name="Button 9">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58730" r:id="rId13" name="Button 10">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58731" r:id="rId14" name="Button 11">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58732" r:id="rId15" name="Button 12">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58733" r:id="rId16" name="Button 13">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58734" r:id="rId17" name="Button 14">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58735" r:id="rId18" name="Button 15">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58736" r:id="rId19" name="Button 16">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58737" r:id="rId20" name="Button 17">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58738" r:id="rId21" name="Button 18">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58739" r:id="rId22" name="Button 19">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58740" r:id="rId23" name="Button 20">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58741" r:id="rId24" name="Button 21">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58742" r:id="rId25" name="Button 22">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58743" r:id="rId26" name="Button 23">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58744" r:id="rId27" name="Button 24">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58745" r:id="rId28" name="Button 25">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58746" r:id="rId29" name="Button 26">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58747" r:id="rId30" name="Button 27">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58748" r:id="rId31" name="Button 28">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58749" r:id="rId32" name="Button 29">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58750" r:id="rId33" name="Button 30">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58751" r:id="rId34" name="Button 31">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58752" r:id="rId35" name="Button 32">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58753" r:id="rId36" name="Button 33">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58754" r:id="rId37" name="Button 34">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58755" r:id="rId38" name="Button 35">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58756" r:id="rId39" name="Button 36">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58757" r:id="rId40" name="Button 37">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58758" r:id="rId41" name="Button 38">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58759" r:id="rId42" name="Button 39">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58760" r:id="rId43" name="Button 40">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58761" r:id="rId44" name="Button 41">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58762" r:id="rId45" name="Button 42">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58763" r:id="rId46" name="Button 43">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58764" r:id="rId47" name="Button 44">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58765" r:id="rId48" name="Button 45">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58766" r:id="rId49" name="Button 46">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58767" r:id="rId50" name="Button 47">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58768" r:id="rId51" name="Button 48">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58769" r:id="rId52" name="Button 49">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58770" r:id="rId53" name="Button 50">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58771" r:id="rId54" name="Button 51">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58772" r:id="rId55" name="Button 52">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58773" r:id="rId56" name="Button 53">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58774" r:id="rId57" name="Button 54">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58775" r:id="rId58" name="Button 55">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158776" r:id="rId59" name="Button 56">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158777" r:id="rId60" name="Button 57">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158778" r:id="rId61" name="Button 58">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1">
    <pageSetUpPr fitToPage="1"/>
  </sheetPr>
  <dimension ref="A1:IV95"/>
  <sheetViews>
    <sheetView showGridLines="0" topLeftCell="A28" zoomScale="80" zoomScaleNormal="80" workbookViewId="0">
      <selection activeCell="J55" sqref="J55"/>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0" hidden="1" customWidth="1"/>
  </cols>
  <sheetData>
    <row r="1" spans="1:256" ht="21" x14ac:dyDescent="0.4">
      <c r="A1" s="567" t="s">
        <v>119</v>
      </c>
      <c r="B1" s="567"/>
      <c r="C1" s="567"/>
      <c r="D1" s="567"/>
      <c r="E1" s="567"/>
      <c r="F1" s="567"/>
      <c r="G1" s="567"/>
      <c r="H1" s="567"/>
      <c r="I1" s="567"/>
      <c r="J1" s="567"/>
      <c r="K1" s="567"/>
      <c r="L1" s="567"/>
      <c r="M1" s="567"/>
      <c r="N1" s="567"/>
      <c r="O1" s="567"/>
      <c r="P1" s="567"/>
    </row>
    <row r="2" spans="1:256" ht="21" x14ac:dyDescent="0.4">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7.399999999999999" x14ac:dyDescent="0.3">
      <c r="A3" s="568" t="s">
        <v>272</v>
      </c>
      <c r="B3" s="568"/>
      <c r="C3" s="568"/>
      <c r="D3" s="568"/>
      <c r="E3" s="568"/>
      <c r="F3" s="568"/>
      <c r="G3" s="568"/>
      <c r="H3" s="568"/>
      <c r="I3" s="568"/>
      <c r="J3" s="568"/>
      <c r="K3" s="568"/>
      <c r="L3" s="568"/>
      <c r="M3" s="568"/>
      <c r="N3" s="568"/>
      <c r="O3" s="568"/>
      <c r="P3" s="568"/>
    </row>
    <row r="4" spans="1:256"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5">
      <c r="A5" s="75"/>
      <c r="B5" s="75"/>
      <c r="C5" s="75"/>
      <c r="D5" s="75"/>
      <c r="E5" s="75"/>
      <c r="F5" s="75"/>
      <c r="G5" s="75"/>
      <c r="H5" s="75"/>
      <c r="I5" s="75"/>
      <c r="J5" s="75"/>
      <c r="K5" s="75"/>
    </row>
    <row r="6" spans="1:256" x14ac:dyDescent="0.25">
      <c r="A6" s="76">
        <f ca="1">TODAY()</f>
        <v>45588</v>
      </c>
      <c r="B6" s="210" t="s">
        <v>271</v>
      </c>
      <c r="C6" s="274"/>
      <c r="D6" s="274"/>
      <c r="E6" s="274"/>
      <c r="F6" s="274"/>
      <c r="G6" s="274"/>
      <c r="H6" s="274"/>
      <c r="I6" s="274"/>
      <c r="J6" s="274"/>
      <c r="K6" s="274"/>
    </row>
    <row r="7" spans="1:256" ht="24.6" x14ac:dyDescent="0.4">
      <c r="A7" s="569"/>
      <c r="B7" s="569"/>
      <c r="C7" s="569"/>
      <c r="D7" s="569"/>
      <c r="E7" s="569"/>
      <c r="F7" s="569"/>
      <c r="G7" s="569"/>
      <c r="H7" s="569"/>
      <c r="I7" s="569"/>
      <c r="J7" s="569"/>
      <c r="K7" s="569"/>
      <c r="L7" s="569"/>
      <c r="M7" s="569"/>
      <c r="N7" s="569"/>
      <c r="O7" s="569"/>
      <c r="P7" s="569"/>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11</v>
      </c>
      <c r="C10" s="194" t="str">
        <f>LOOKUP(B10,R10:AD10,R11:AD11)</f>
        <v>November</v>
      </c>
      <c r="D10" s="133">
        <f>'Customer Info'!C9</f>
        <v>2024</v>
      </c>
      <c r="S10">
        <v>1</v>
      </c>
      <c r="T10">
        <v>2</v>
      </c>
      <c r="U10">
        <v>3</v>
      </c>
      <c r="V10">
        <v>4</v>
      </c>
      <c r="W10">
        <v>5</v>
      </c>
      <c r="X10">
        <v>6</v>
      </c>
      <c r="Y10">
        <v>7</v>
      </c>
      <c r="Z10">
        <v>8</v>
      </c>
      <c r="AA10">
        <v>9</v>
      </c>
      <c r="AB10">
        <v>10</v>
      </c>
      <c r="AC10">
        <v>11</v>
      </c>
      <c r="AD10">
        <v>12</v>
      </c>
    </row>
    <row r="11" spans="1:256" ht="15" customHeight="1" x14ac:dyDescent="0.25">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5">
      <c r="A12" s="28" t="s">
        <v>27</v>
      </c>
      <c r="B12" s="22"/>
      <c r="C12" s="22"/>
      <c r="D12" s="22"/>
      <c r="E12" s="22"/>
      <c r="F12" s="22"/>
      <c r="G12" s="22"/>
      <c r="H12" s="22"/>
      <c r="I12" s="22"/>
      <c r="J12" s="22"/>
      <c r="K12" s="22"/>
      <c r="L12" s="22"/>
      <c r="M12" s="22"/>
      <c r="N12" s="22"/>
      <c r="O12" s="22"/>
      <c r="P12" s="22"/>
      <c r="R12" s="3" t="s">
        <v>195</v>
      </c>
      <c r="S12" s="207">
        <f>'Rider Rates'!$C$24</f>
        <v>6.7849999999999994E-2</v>
      </c>
      <c r="T12" s="207">
        <f>'Rider Rates'!$C$24</f>
        <v>6.7849999999999994E-2</v>
      </c>
      <c r="U12" s="207">
        <f>'Rider Rates'!$C$24</f>
        <v>6.7849999999999994E-2</v>
      </c>
      <c r="V12" s="207">
        <f>'Rider Rates'!$C$24</f>
        <v>6.7849999999999994E-2</v>
      </c>
      <c r="W12" s="207">
        <f>'Rider Rates'!$C$24</f>
        <v>6.7849999999999994E-2</v>
      </c>
      <c r="X12" s="207">
        <f>'Rider Rates'!$B$24</f>
        <v>6.7849999999999994E-2</v>
      </c>
      <c r="Y12" s="207">
        <f>'Rider Rates'!$B$24</f>
        <v>6.7849999999999994E-2</v>
      </c>
      <c r="Z12" s="207">
        <f>'Rider Rates'!$B$24</f>
        <v>6.7849999999999994E-2</v>
      </c>
      <c r="AA12" s="207">
        <f>'Rider Rates'!$B$24</f>
        <v>6.7849999999999994E-2</v>
      </c>
      <c r="AB12" s="207">
        <f>'Rider Rates'!$C$24</f>
        <v>6.7849999999999994E-2</v>
      </c>
      <c r="AC12" s="207">
        <f>'Rider Rates'!$C$24</f>
        <v>6.7849999999999994E-2</v>
      </c>
      <c r="AD12" s="207">
        <f>'Rider Rates'!$C$24</f>
        <v>6.7849999999999994E-2</v>
      </c>
      <c r="AE12" s="207"/>
      <c r="AF12" s="207"/>
    </row>
    <row r="13" spans="1:256" x14ac:dyDescent="0.25">
      <c r="A13" s="18"/>
      <c r="B13" s="18"/>
      <c r="C13" s="59" t="s">
        <v>54</v>
      </c>
      <c r="D13" s="59" t="s">
        <v>55</v>
      </c>
      <c r="E13" s="18"/>
      <c r="F13" s="18"/>
      <c r="G13" s="18"/>
      <c r="H13" s="18"/>
      <c r="I13" s="18"/>
      <c r="J13" s="18"/>
      <c r="K13" s="18"/>
      <c r="L13" s="18"/>
      <c r="M13" s="18"/>
      <c r="N13" s="18"/>
      <c r="O13" s="18"/>
    </row>
    <row r="14" spans="1:256" x14ac:dyDescent="0.25">
      <c r="A14" s="29" t="s">
        <v>28</v>
      </c>
      <c r="B14" s="29"/>
      <c r="C14" s="44">
        <f>'Customer Info'!B19</f>
        <v>0</v>
      </c>
      <c r="D14" s="44">
        <f>ROUND(C14*C20,1)</f>
        <v>0</v>
      </c>
      <c r="E14" s="29" t="s">
        <v>45</v>
      </c>
      <c r="F14" s="30"/>
      <c r="G14" s="29" t="s">
        <v>15</v>
      </c>
      <c r="I14" s="53" t="s">
        <v>15</v>
      </c>
      <c r="J14" s="29"/>
      <c r="K14" s="29"/>
      <c r="L14" s="29"/>
      <c r="M14" s="29"/>
      <c r="N14" s="29"/>
    </row>
    <row r="15" spans="1:256" x14ac:dyDescent="0.25">
      <c r="A15" s="31" t="s">
        <v>29</v>
      </c>
      <c r="B15" s="31"/>
      <c r="C15" s="44">
        <f>'Customer Info'!B20</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Info'!B22+'Customer Info'!B23-'Customer Info'!B24&lt;0,0,'Customer Info'!B22+'Customer Info'!B23-'Customer Info'!B24)</f>
        <v>0</v>
      </c>
      <c r="D16" s="32">
        <f>C16*C20</f>
        <v>0</v>
      </c>
      <c r="E16" s="31" t="s">
        <v>41</v>
      </c>
      <c r="F16" s="33"/>
      <c r="G16" s="31"/>
      <c r="H16" s="31"/>
      <c r="I16" s="31"/>
      <c r="J16" s="31"/>
      <c r="K16" s="31"/>
      <c r="L16" s="31"/>
      <c r="M16" s="31"/>
      <c r="N16" s="31"/>
      <c r="O16" s="31"/>
    </row>
    <row r="17" spans="1:30" x14ac:dyDescent="0.25">
      <c r="A17" s="31" t="s">
        <v>293</v>
      </c>
      <c r="B17" s="31"/>
      <c r="C17" s="32">
        <f>'Customer Info'!$B$28</f>
        <v>0</v>
      </c>
      <c r="D17" s="32">
        <f>$C$17</f>
        <v>0</v>
      </c>
      <c r="E17" s="31" t="s">
        <v>296</v>
      </c>
      <c r="F17" s="33"/>
      <c r="G17" s="31"/>
      <c r="H17" s="31"/>
      <c r="I17" s="31"/>
      <c r="J17" s="31"/>
      <c r="K17" s="31"/>
      <c r="L17" s="31"/>
      <c r="M17" s="31"/>
      <c r="N17" s="31"/>
      <c r="O17" s="31"/>
    </row>
    <row r="18" spans="1:30" x14ac:dyDescent="0.25">
      <c r="A18" s="31" t="s">
        <v>294</v>
      </c>
      <c r="B18" s="31"/>
      <c r="C18" s="374">
        <f>IF('Customer Info'!$B$19=0,0,ROUND(MAX(ROUND('Customer Info'!$B$19*'GS PRI'!C20,1),ROUND('Customer Info'!$B$20*'GS PRI'!C20,1))/'Customer Info'!$D$30,1))</f>
        <v>0</v>
      </c>
      <c r="D18" s="285">
        <f>$C$18</f>
        <v>0</v>
      </c>
      <c r="E18" s="31" t="s">
        <v>297</v>
      </c>
      <c r="F18" s="33"/>
      <c r="G18" s="31"/>
      <c r="H18" s="31"/>
      <c r="I18" s="31"/>
      <c r="J18" s="31"/>
      <c r="K18" s="31"/>
      <c r="L18" s="31"/>
      <c r="M18" s="31"/>
      <c r="N18" s="31"/>
      <c r="O18" s="31"/>
    </row>
    <row r="19" spans="1:30" x14ac:dyDescent="0.25">
      <c r="A19" s="31" t="s">
        <v>295</v>
      </c>
      <c r="B19" s="31"/>
      <c r="C19" s="32"/>
      <c r="D19" s="374">
        <f>MAX(100,ROUND(1.15*(MAX('Customer Info'!$B$19*'GS PRI'!C20,'Customer Info'!$B$20*'GS PRI'!C20)),1))</f>
        <v>100</v>
      </c>
      <c r="E19" s="31" t="s">
        <v>297</v>
      </c>
      <c r="F19" s="33"/>
      <c r="K19" s="31"/>
      <c r="L19" s="31"/>
      <c r="M19" s="31"/>
      <c r="N19" s="31"/>
    </row>
    <row r="20" spans="1:30" x14ac:dyDescent="0.25">
      <c r="A20" s="31" t="s">
        <v>53</v>
      </c>
      <c r="B20" s="31"/>
      <c r="C20" s="58">
        <f>+'Customer Info'!E19</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71" t="s">
        <v>15</v>
      </c>
      <c r="E21" s="571"/>
      <c r="F21" s="571"/>
      <c r="G21" s="571"/>
      <c r="H21" s="571"/>
      <c r="K21" s="31"/>
      <c r="L21" s="31"/>
      <c r="M21" s="31"/>
      <c r="N21" s="31"/>
      <c r="O21" s="50"/>
    </row>
    <row r="22" spans="1:30" x14ac:dyDescent="0.25">
      <c r="A22" s="31" t="s">
        <v>15</v>
      </c>
      <c r="B22" s="31"/>
      <c r="C22" s="82" t="s">
        <v>15</v>
      </c>
      <c r="D22" s="571" t="s">
        <v>15</v>
      </c>
      <c r="E22" s="571"/>
      <c r="F22" s="571"/>
      <c r="G22" s="571"/>
      <c r="H22" s="571"/>
      <c r="I22" s="23"/>
      <c r="J22" s="23"/>
      <c r="K22" s="31"/>
      <c r="L22" s="31"/>
      <c r="M22" s="31"/>
      <c r="N22" s="31"/>
      <c r="O22" s="50"/>
    </row>
    <row r="23" spans="1:30" x14ac:dyDescent="0.25">
      <c r="A23" s="31"/>
      <c r="B23" s="31"/>
      <c r="C23" s="33"/>
      <c r="D23" s="33"/>
      <c r="E23" s="33"/>
      <c r="F23" s="33"/>
      <c r="G23" s="23"/>
      <c r="H23" s="23"/>
      <c r="I23" s="23"/>
      <c r="J23" s="23"/>
      <c r="K23" s="31"/>
      <c r="L23" s="31"/>
      <c r="M23" s="31"/>
      <c r="N23" s="31"/>
      <c r="O23" s="31"/>
    </row>
    <row r="24" spans="1:30" x14ac:dyDescent="0.25">
      <c r="A24" s="28" t="s">
        <v>31</v>
      </c>
      <c r="B24" s="22"/>
      <c r="C24" s="22"/>
      <c r="D24" s="22"/>
      <c r="E24" s="22"/>
      <c r="F24" s="22"/>
      <c r="G24" s="563" t="s">
        <v>67</v>
      </c>
      <c r="H24" s="564"/>
      <c r="I24" s="564"/>
      <c r="J24" s="565"/>
      <c r="K24" s="22"/>
      <c r="L24" s="566" t="s">
        <v>68</v>
      </c>
      <c r="M24" s="566"/>
      <c r="N24" s="566"/>
      <c r="O24" s="566"/>
    </row>
    <row r="25" spans="1:30" x14ac:dyDescent="0.25">
      <c r="A25" s="18"/>
      <c r="B25" s="18"/>
      <c r="C25" s="18"/>
      <c r="D25" s="18"/>
      <c r="E25" s="18"/>
      <c r="F25" s="18"/>
      <c r="G25" s="8" t="s">
        <v>64</v>
      </c>
      <c r="H25" s="8" t="s">
        <v>65</v>
      </c>
      <c r="I25" s="8" t="s">
        <v>66</v>
      </c>
      <c r="J25" s="112" t="s">
        <v>34</v>
      </c>
      <c r="K25" s="18"/>
      <c r="L25" s="131" t="s">
        <v>64</v>
      </c>
      <c r="M25" s="131" t="s">
        <v>65</v>
      </c>
      <c r="N25" s="131" t="s">
        <v>66</v>
      </c>
      <c r="O25" s="132" t="s">
        <v>34</v>
      </c>
      <c r="P25" s="43" t="s">
        <v>56</v>
      </c>
    </row>
    <row r="26" spans="1:30" x14ac:dyDescent="0.25">
      <c r="A26" t="s">
        <v>32</v>
      </c>
      <c r="G26" s="86"/>
      <c r="H26" s="86"/>
      <c r="I26" s="86">
        <v>138.5</v>
      </c>
      <c r="J26" s="86">
        <f>SUM(G26:I26)</f>
        <v>138.5</v>
      </c>
      <c r="L26" s="88"/>
      <c r="M26" s="88"/>
      <c r="N26" s="88">
        <f>I26</f>
        <v>138.5</v>
      </c>
      <c r="O26" s="209">
        <f>SUM(L26:N26)</f>
        <v>138.5</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292">
        <f>ROUND(MAX(D14,D15,('Customer Info'!B15-100)*0.6,('Customer Info'!B17-100)*0.6),1)</f>
        <v>0</v>
      </c>
      <c r="E28" s="29" t="s">
        <v>45</v>
      </c>
      <c r="F28" s="4" t="s">
        <v>8</v>
      </c>
      <c r="G28" s="85"/>
      <c r="H28" s="85"/>
      <c r="I28" s="85">
        <v>6.17</v>
      </c>
      <c r="J28" s="85">
        <f>SUM(G28:I28)</f>
        <v>6.17</v>
      </c>
      <c r="K28" s="36" t="s">
        <v>44</v>
      </c>
      <c r="L28" s="87"/>
      <c r="M28" s="87"/>
      <c r="N28" s="87">
        <f>ROUND($D28*I28,2)</f>
        <v>0</v>
      </c>
      <c r="O28" s="209">
        <f>SUM(L28:N28)</f>
        <v>0</v>
      </c>
      <c r="P28" s="245">
        <v>45261</v>
      </c>
    </row>
    <row r="29" spans="1:30" x14ac:dyDescent="0.25">
      <c r="A29" t="s">
        <v>270</v>
      </c>
      <c r="D29" s="49">
        <f>IF(D18&lt;=100,0,ROUND(IF(D18-D19&gt;0,D18-D19),1))</f>
        <v>0</v>
      </c>
      <c r="E29" s="29" t="s">
        <v>268</v>
      </c>
      <c r="F29" s="4" t="s">
        <v>8</v>
      </c>
      <c r="G29" s="116"/>
      <c r="H29" s="85"/>
      <c r="I29" s="85">
        <v>1.21</v>
      </c>
      <c r="J29" s="116">
        <f>SUM(G29:I29)</f>
        <v>1.21</v>
      </c>
      <c r="K29" s="36" t="s">
        <v>44</v>
      </c>
      <c r="L29" s="87"/>
      <c r="M29" s="87"/>
      <c r="N29" s="87">
        <f>ROUND($D29*I29,2)</f>
        <v>0</v>
      </c>
      <c r="O29" s="87">
        <f>SUM(L29:N29)</f>
        <v>0</v>
      </c>
      <c r="P29" s="245">
        <v>44531</v>
      </c>
    </row>
    <row r="30" spans="1:30" x14ac:dyDescent="0.25">
      <c r="A30" s="37" t="s">
        <v>50</v>
      </c>
      <c r="B30" s="37"/>
      <c r="C30" s="37"/>
      <c r="D30" s="38"/>
      <c r="E30" s="38"/>
      <c r="F30" s="37"/>
      <c r="G30" s="37"/>
      <c r="H30" s="37"/>
      <c r="I30" s="37"/>
      <c r="J30" s="37"/>
      <c r="K30" s="39"/>
      <c r="L30" s="40"/>
      <c r="M30" s="40"/>
      <c r="N30" s="40">
        <f>SUM(N26:N29)</f>
        <v>138.5</v>
      </c>
      <c r="O30" s="40">
        <f>SUM(O26:O29)</f>
        <v>138.5</v>
      </c>
    </row>
    <row r="31" spans="1:30" x14ac:dyDescent="0.25">
      <c r="A31" s="89"/>
      <c r="B31" s="89"/>
      <c r="C31" s="90"/>
      <c r="D31" s="90"/>
      <c r="E31" s="90"/>
      <c r="F31" s="90"/>
      <c r="G31" s="91"/>
      <c r="H31" s="91"/>
      <c r="I31" s="91"/>
      <c r="J31" s="91"/>
      <c r="K31" s="89"/>
      <c r="L31" s="89"/>
      <c r="M31" s="89"/>
      <c r="N31" s="89"/>
      <c r="O31" s="89"/>
      <c r="P31" s="89"/>
    </row>
    <row r="32" spans="1:30" x14ac:dyDescent="0.25">
      <c r="A32" s="41" t="s">
        <v>69</v>
      </c>
      <c r="D32" s="1"/>
      <c r="E32" s="1"/>
      <c r="K32" s="36"/>
      <c r="L32" s="36"/>
      <c r="M32" s="36"/>
      <c r="N32" s="36"/>
      <c r="O32" s="34"/>
      <c r="P32" s="34"/>
    </row>
    <row r="33" spans="1:220" x14ac:dyDescent="0.25">
      <c r="A33" s="37"/>
      <c r="D33" s="1"/>
      <c r="E33" s="1"/>
      <c r="K33" s="36"/>
      <c r="L33" s="36"/>
      <c r="M33" s="36"/>
      <c r="N33" s="36"/>
      <c r="O33" s="34"/>
    </row>
    <row r="34" spans="1:220" x14ac:dyDescent="0.25">
      <c r="A34" s="78" t="s">
        <v>78</v>
      </c>
      <c r="D34" s="1">
        <f>IF($C$16&lt;0,0,IF($C$16&gt;833000,833000,$C$16))</f>
        <v>0</v>
      </c>
      <c r="E34" s="35" t="s">
        <v>41</v>
      </c>
      <c r="F34" s="4" t="s">
        <v>8</v>
      </c>
      <c r="G34" s="83"/>
      <c r="H34" s="84"/>
      <c r="I34" s="103">
        <f>'Rider Rates'!$B$4</f>
        <v>5.9216E-3</v>
      </c>
      <c r="J34" s="6">
        <f>SUM(G34:I34)</f>
        <v>5.9216E-3</v>
      </c>
      <c r="K34" s="36" t="s">
        <v>42</v>
      </c>
      <c r="L34" s="87"/>
      <c r="M34" s="87"/>
      <c r="N34" s="87">
        <f>ROUND($D34*I34,2)</f>
        <v>0</v>
      </c>
      <c r="O34" s="87">
        <f>SUM(L34:N34)</f>
        <v>0</v>
      </c>
      <c r="P34" s="245">
        <f>'Rider Rates'!$D$4</f>
        <v>45293</v>
      </c>
    </row>
    <row r="35" spans="1:220" x14ac:dyDescent="0.25">
      <c r="A35" s="78" t="s">
        <v>79</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45293</v>
      </c>
    </row>
    <row r="36" spans="1:220" x14ac:dyDescent="0.25">
      <c r="A36" s="78" t="s">
        <v>47</v>
      </c>
      <c r="B36" t="s">
        <v>15</v>
      </c>
      <c r="D36" s="1">
        <f>IF('Customer Info'!$C$33=TRUE,0,IF(C16&lt;0,0,IF(C16&gt;2000,2000,C16)))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5">
      <c r="A37" s="78" t="s">
        <v>48</v>
      </c>
      <c r="B37" t="s">
        <v>15</v>
      </c>
      <c r="D37" s="1">
        <f>IF('Customer Info'!$C$33=TRUE,0,IF(C16&gt;15000,13000,IF(C16&gt;2000,C16-2000,0)))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5">
      <c r="A38" s="78" t="s">
        <v>49</v>
      </c>
      <c r="B38" t="s">
        <v>15</v>
      </c>
      <c r="D38" s="1">
        <f>IF('Customer Info'!$C$33=TRUE,0,IF(C16-D36-D37&gt;0,C16-D36-D37,0))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5">
      <c r="A39" s="241" t="s">
        <v>245</v>
      </c>
      <c r="B39" s="78"/>
      <c r="C39" s="78"/>
      <c r="D39" s="208">
        <f>$N$30</f>
        <v>138.5</v>
      </c>
      <c r="E39" s="101" t="s">
        <v>121</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5">
      <c r="A40" s="210" t="s">
        <v>194</v>
      </c>
      <c r="B40" s="78"/>
      <c r="C40" s="78"/>
      <c r="D40" s="100">
        <f>'Customer Info'!$B$22+'Customer Info'!$B$23-'Customer Info'!$B$24</f>
        <v>0</v>
      </c>
      <c r="E40" s="101" t="s">
        <v>41</v>
      </c>
      <c r="F40" s="102" t="s">
        <v>8</v>
      </c>
      <c r="G40" s="103">
        <f>'Rider Rates'!B24</f>
        <v>6.7849999999999994E-2</v>
      </c>
      <c r="H40" s="103"/>
      <c r="I40" s="103"/>
      <c r="J40" s="237">
        <f>SUM(G40:H40)</f>
        <v>6.7849999999999994E-2</v>
      </c>
      <c r="K40" s="104" t="s">
        <v>42</v>
      </c>
      <c r="L40" s="105">
        <f>ROUND(D40*G40,2)</f>
        <v>0</v>
      </c>
      <c r="M40" s="105"/>
      <c r="N40" s="105"/>
      <c r="O40" s="105">
        <f t="shared" si="0"/>
        <v>0</v>
      </c>
      <c r="P40" s="245">
        <f>'Rider Rates'!$D$23</f>
        <v>45444</v>
      </c>
    </row>
    <row r="41" spans="1:220" x14ac:dyDescent="0.25">
      <c r="A41" s="241" t="s">
        <v>161</v>
      </c>
      <c r="B41" s="78"/>
      <c r="C41" s="78"/>
      <c r="D41" s="100">
        <f>'Customer Info'!$B$22+'Customer Info'!$B$23-'Customer Info'!$B$24</f>
        <v>0</v>
      </c>
      <c r="E41" s="101" t="s">
        <v>41</v>
      </c>
      <c r="F41" s="102" t="s">
        <v>8</v>
      </c>
      <c r="G41" s="103">
        <f>'Rider Rates'!$B$42</f>
        <v>2.14E-3</v>
      </c>
      <c r="H41" s="103"/>
      <c r="I41" s="103"/>
      <c r="J41" s="237">
        <f>SUM(G41:H41)</f>
        <v>2.14E-3</v>
      </c>
      <c r="K41" s="104" t="s">
        <v>42</v>
      </c>
      <c r="L41" s="105">
        <f>ROUND(D41*G41,2)</f>
        <v>0</v>
      </c>
      <c r="M41" s="105"/>
      <c r="N41" s="105"/>
      <c r="O41" s="105">
        <f t="shared" si="0"/>
        <v>0</v>
      </c>
      <c r="P41" s="245">
        <f>'Rider Rates'!$D$42</f>
        <v>45444</v>
      </c>
    </row>
    <row r="42" spans="1:220" x14ac:dyDescent="0.25">
      <c r="A42" s="210" t="s">
        <v>201</v>
      </c>
      <c r="B42" s="78"/>
      <c r="C42" s="78"/>
      <c r="D42" s="100">
        <f>'Customer Info'!$B$22+'Customer Info'!$B$23-'Customer Info'!$B$24</f>
        <v>0</v>
      </c>
      <c r="E42" s="101" t="s">
        <v>41</v>
      </c>
      <c r="F42" s="102" t="s">
        <v>8</v>
      </c>
      <c r="G42" s="103">
        <f>'Rider Rates'!$B$49</f>
        <v>-1.2408E-3</v>
      </c>
      <c r="H42" s="103"/>
      <c r="I42" s="103"/>
      <c r="J42" s="237">
        <f>SUM(G42:H42)</f>
        <v>-1.2408E-3</v>
      </c>
      <c r="K42" s="104" t="s">
        <v>42</v>
      </c>
      <c r="L42" s="105">
        <f>ROUND(D42*G42,2)</f>
        <v>0</v>
      </c>
      <c r="M42" s="105"/>
      <c r="N42" s="105"/>
      <c r="O42" s="105">
        <f t="shared" si="0"/>
        <v>0</v>
      </c>
      <c r="P42" s="245">
        <f>'Rider Rates'!$D$49</f>
        <v>45562</v>
      </c>
    </row>
    <row r="43" spans="1:220" x14ac:dyDescent="0.25">
      <c r="A43" s="241" t="s">
        <v>218</v>
      </c>
      <c r="B43" s="78"/>
      <c r="C43" s="78"/>
      <c r="D43" s="1">
        <f>IF($C$16&lt;0,0,IF($C$16&gt;833000,833000,$C$16))</f>
        <v>0</v>
      </c>
      <c r="E43" s="101" t="s">
        <v>41</v>
      </c>
      <c r="F43" s="102" t="s">
        <v>8</v>
      </c>
      <c r="G43" s="103"/>
      <c r="H43" s="103"/>
      <c r="I43" s="103">
        <f>'Rider Rates'!D53</f>
        <v>1.8006999999999999E-3</v>
      </c>
      <c r="J43" s="103">
        <f>SUM(G43:I43)</f>
        <v>1.8006999999999999E-3</v>
      </c>
      <c r="K43" s="104" t="s">
        <v>42</v>
      </c>
      <c r="L43" s="105"/>
      <c r="M43" s="105"/>
      <c r="N43" s="87">
        <f>D43*J43</f>
        <v>0</v>
      </c>
      <c r="O43" s="105">
        <f t="shared" si="0"/>
        <v>0</v>
      </c>
      <c r="P43" s="245">
        <f>'Rider Rates'!E53</f>
        <v>45474</v>
      </c>
    </row>
    <row r="44" spans="1:220" x14ac:dyDescent="0.25">
      <c r="A44" s="210" t="s">
        <v>197</v>
      </c>
      <c r="B44" s="78"/>
      <c r="C44" s="78"/>
      <c r="D44" s="1">
        <f>IF($C$16&lt;0,0,$C$16)</f>
        <v>0</v>
      </c>
      <c r="E44" s="113" t="s">
        <v>41</v>
      </c>
      <c r="F44" s="102" t="s">
        <v>8</v>
      </c>
      <c r="G44" s="103"/>
      <c r="H44" s="103">
        <f>'Rider Rates'!B62</f>
        <v>5.8060000000000002E-4</v>
      </c>
      <c r="I44" s="103"/>
      <c r="J44" s="103">
        <f>SUM(G44:I44)</f>
        <v>5.8060000000000002E-4</v>
      </c>
      <c r="K44" s="104" t="s">
        <v>42</v>
      </c>
      <c r="L44" s="105"/>
      <c r="M44" s="105">
        <f>ROUND(D44*H44,2)</f>
        <v>0</v>
      </c>
      <c r="N44" s="205"/>
      <c r="O44" s="105">
        <f t="shared" si="0"/>
        <v>0</v>
      </c>
      <c r="P44" s="245">
        <f>'Rider Rates'!$D$61</f>
        <v>45383</v>
      </c>
    </row>
    <row r="45" spans="1:220" x14ac:dyDescent="0.25">
      <c r="A45" s="210" t="s">
        <v>197</v>
      </c>
      <c r="B45" s="78"/>
      <c r="C45" s="78"/>
      <c r="D45" s="49">
        <f>D14</f>
        <v>0</v>
      </c>
      <c r="E45" s="35" t="s">
        <v>63</v>
      </c>
      <c r="F45" s="4" t="s">
        <v>8</v>
      </c>
      <c r="G45" s="103"/>
      <c r="H45" s="239">
        <f>'Rider Rates'!B67</f>
        <v>6.76</v>
      </c>
      <c r="I45" s="103"/>
      <c r="J45" s="239">
        <f>SUM(G45:I45)</f>
        <v>6.76</v>
      </c>
      <c r="K45" s="104" t="s">
        <v>44</v>
      </c>
      <c r="L45" s="105"/>
      <c r="M45" s="105">
        <f>ROUND(D45*H45,2)</f>
        <v>0</v>
      </c>
      <c r="N45" s="205"/>
      <c r="O45" s="105">
        <f t="shared" si="0"/>
        <v>0</v>
      </c>
      <c r="P45" s="245">
        <f>'Rider Rates'!$D$66</f>
        <v>45383</v>
      </c>
    </row>
    <row r="46" spans="1:220" x14ac:dyDescent="0.25">
      <c r="A46" s="99" t="s">
        <v>82</v>
      </c>
      <c r="B46" s="78"/>
      <c r="C46" s="78"/>
      <c r="D46" s="1">
        <f>IF('Customer Info'!C35=TRUE,0,IF($C$16&lt;0,0,$C$16))</f>
        <v>0</v>
      </c>
      <c r="E46" s="101" t="s">
        <v>41</v>
      </c>
      <c r="F46" s="102" t="s">
        <v>8</v>
      </c>
      <c r="G46" s="103"/>
      <c r="H46" s="103"/>
      <c r="I46" s="103">
        <f>'Rider Rates'!$B$75+'Rider Rates'!$C$75</f>
        <v>0</v>
      </c>
      <c r="J46" s="103">
        <f>SUM(G46:I46)</f>
        <v>0</v>
      </c>
      <c r="K46" s="104" t="s">
        <v>42</v>
      </c>
      <c r="L46" s="105"/>
      <c r="M46" s="105"/>
      <c r="N46" s="87">
        <f>ROUND($D$46*'Rider Rates'!$B$75,2)+ROUND($D$46*'Rider Rates'!$C$75,2)</f>
        <v>0</v>
      </c>
      <c r="O46" s="209">
        <f t="shared" ref="O46:O53" si="1">SUM(L46:N46)</f>
        <v>0</v>
      </c>
      <c r="P46" s="245">
        <f>'Rider Rates'!$D$75</f>
        <v>44531</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5">
      <c r="A47" s="99" t="s">
        <v>82</v>
      </c>
      <c r="B47" s="78"/>
      <c r="C47" s="78"/>
      <c r="D47" s="49">
        <f>IF('Customer Info'!C35=TRUE,0,$D$28)</f>
        <v>0</v>
      </c>
      <c r="E47" s="101" t="s">
        <v>45</v>
      </c>
      <c r="F47" s="102" t="s">
        <v>8</v>
      </c>
      <c r="G47" s="103"/>
      <c r="H47" s="103"/>
      <c r="I47" s="239">
        <f>'Rider Rates'!$B$85</f>
        <v>0</v>
      </c>
      <c r="J47" s="239">
        <f>SUM(G47:I47)</f>
        <v>0</v>
      </c>
      <c r="K47" s="104" t="s">
        <v>42</v>
      </c>
      <c r="L47" s="105"/>
      <c r="M47" s="105"/>
      <c r="N47" s="87">
        <f>ROUND($D47*I47,2)</f>
        <v>0</v>
      </c>
      <c r="O47" s="209">
        <f>SUM(L47:N47)</f>
        <v>0</v>
      </c>
      <c r="P47" s="245">
        <f>'Rider Rates'!$D$85</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5">
      <c r="A48" s="99" t="s">
        <v>80</v>
      </c>
      <c r="B48" s="78"/>
      <c r="C48" s="78"/>
      <c r="D48" s="208">
        <f>$N$30</f>
        <v>138.5</v>
      </c>
      <c r="E48" s="101" t="s">
        <v>121</v>
      </c>
      <c r="F48" s="102" t="s">
        <v>8</v>
      </c>
      <c r="G48" s="111"/>
      <c r="H48" s="112"/>
      <c r="I48" s="120">
        <f>'Rider Rates'!$B$89</f>
        <v>4.94232E-2</v>
      </c>
      <c r="J48" s="120">
        <f>SUM(H48:I48)</f>
        <v>4.94232E-2</v>
      </c>
      <c r="K48" s="104"/>
      <c r="L48" s="105"/>
      <c r="M48" s="105"/>
      <c r="N48" s="105">
        <f>ROUND(N$30*I48,2)</f>
        <v>6.85</v>
      </c>
      <c r="O48" s="209">
        <f t="shared" si="1"/>
        <v>6.85</v>
      </c>
      <c r="P48" s="245">
        <f>'Rider Rates'!$D$89</f>
        <v>45562</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5">
      <c r="A49" s="99" t="s">
        <v>81</v>
      </c>
      <c r="B49" s="78"/>
      <c r="C49" s="78"/>
      <c r="D49" s="208">
        <f>$N$30</f>
        <v>138.5</v>
      </c>
      <c r="E49" s="101" t="s">
        <v>121</v>
      </c>
      <c r="F49" s="102" t="s">
        <v>8</v>
      </c>
      <c r="G49" s="114"/>
      <c r="H49" s="115"/>
      <c r="I49" s="120">
        <f>'Rider Rates'!$B$91</f>
        <v>6.6985699999999995E-2</v>
      </c>
      <c r="J49" s="120">
        <f>SUM(H49:I49)</f>
        <v>6.6985699999999995E-2</v>
      </c>
      <c r="K49" s="104"/>
      <c r="L49" s="105"/>
      <c r="M49" s="105"/>
      <c r="N49" s="105">
        <f>ROUND(N$30*I49,2)</f>
        <v>9.2799999999999994</v>
      </c>
      <c r="O49" s="209">
        <f t="shared" si="1"/>
        <v>9.2799999999999994</v>
      </c>
      <c r="P49" s="245">
        <f>'Rider Rates'!$D$91</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5">
      <c r="A50" s="210" t="s">
        <v>214</v>
      </c>
      <c r="B50" s="78"/>
      <c r="C50" s="78"/>
      <c r="D50" s="195"/>
      <c r="E50" s="113" t="s">
        <v>114</v>
      </c>
      <c r="F50" s="106"/>
      <c r="G50" s="114"/>
      <c r="H50" s="115"/>
      <c r="I50" s="196">
        <f>'Rider Rates'!$B$95</f>
        <v>17.12</v>
      </c>
      <c r="J50" s="196">
        <f>SUM(G50:I50)</f>
        <v>17.12</v>
      </c>
      <c r="K50" s="104"/>
      <c r="L50" s="105"/>
      <c r="M50" s="105"/>
      <c r="N50" s="105">
        <f>I50</f>
        <v>17.12</v>
      </c>
      <c r="O50" s="105">
        <f>SUM(L50:N50)</f>
        <v>17.12</v>
      </c>
      <c r="P50" s="245">
        <f>'Rider Rates'!$D$95</f>
        <v>45562</v>
      </c>
    </row>
    <row r="51" spans="1:221" x14ac:dyDescent="0.25">
      <c r="A51" s="241" t="s">
        <v>261</v>
      </c>
      <c r="B51" s="78"/>
      <c r="C51" s="78"/>
      <c r="D51" s="1">
        <f>$D$34</f>
        <v>0</v>
      </c>
      <c r="E51" s="101" t="s">
        <v>41</v>
      </c>
      <c r="F51" s="102" t="s">
        <v>8</v>
      </c>
      <c r="G51" s="103"/>
      <c r="H51" s="103"/>
      <c r="I51" s="103"/>
      <c r="J51" s="103">
        <f>'Rider Rates'!$B$100</f>
        <v>0</v>
      </c>
      <c r="K51" s="104" t="s">
        <v>42</v>
      </c>
      <c r="L51" s="105"/>
      <c r="M51" s="105"/>
      <c r="N51" s="87"/>
      <c r="O51" s="105">
        <f>ROUND($D51*('Rider Rates'!B$100),2)</f>
        <v>0</v>
      </c>
      <c r="P51" s="245">
        <f>'Rider Rates'!$D$100</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262</v>
      </c>
      <c r="B52" s="78"/>
      <c r="C52" s="78"/>
      <c r="D52" s="1">
        <f>$D$35</f>
        <v>0</v>
      </c>
      <c r="E52" s="101" t="s">
        <v>41</v>
      </c>
      <c r="F52" s="102" t="s">
        <v>8</v>
      </c>
      <c r="G52" s="103"/>
      <c r="H52" s="103"/>
      <c r="I52" s="103"/>
      <c r="J52" s="103">
        <f>'Rider Rates'!$B$101</f>
        <v>0</v>
      </c>
      <c r="K52" s="104" t="s">
        <v>42</v>
      </c>
      <c r="L52" s="105"/>
      <c r="M52" s="105"/>
      <c r="N52" s="87"/>
      <c r="O52" s="105">
        <f>ROUND($D52*('Rider Rates'!B$101),2)</f>
        <v>0</v>
      </c>
      <c r="P52" s="245">
        <f>'Rider Rates'!$D$101</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156</v>
      </c>
      <c r="B53" s="78"/>
      <c r="C53" s="78"/>
      <c r="D53" s="208">
        <f>$N$30</f>
        <v>138.5</v>
      </c>
      <c r="E53" s="101" t="s">
        <v>121</v>
      </c>
      <c r="F53" s="102" t="s">
        <v>8</v>
      </c>
      <c r="G53" s="114"/>
      <c r="H53" s="115"/>
      <c r="I53" s="120">
        <f>'Rider Rates'!$B$109</f>
        <v>0.211176</v>
      </c>
      <c r="J53" s="120">
        <f>SUM(H53:I53)</f>
        <v>0.211176</v>
      </c>
      <c r="K53" s="104"/>
      <c r="L53" s="105"/>
      <c r="M53" s="105"/>
      <c r="N53" s="105">
        <f>ROUND(N$30*I53,2)</f>
        <v>29.25</v>
      </c>
      <c r="O53" s="105">
        <f t="shared" si="1"/>
        <v>29.25</v>
      </c>
      <c r="P53" s="245">
        <f>'Rider Rates'!$D$109</f>
        <v>45532</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217</v>
      </c>
      <c r="B54" s="78"/>
      <c r="C54" s="78"/>
      <c r="D54" s="195"/>
      <c r="E54" s="113" t="s">
        <v>114</v>
      </c>
      <c r="F54" s="106"/>
      <c r="G54" s="114"/>
      <c r="H54" s="115"/>
      <c r="I54" s="196">
        <f>'Rider Rates'!$B$113</f>
        <v>0</v>
      </c>
      <c r="J54" s="196">
        <f>SUM(G54:I54)</f>
        <v>0</v>
      </c>
      <c r="K54" s="104"/>
      <c r="L54" s="105"/>
      <c r="M54" s="105"/>
      <c r="N54" s="105">
        <f>I54</f>
        <v>0</v>
      </c>
      <c r="O54" s="105">
        <f t="shared" ref="O54:O59" si="2">SUM(L54:N54)</f>
        <v>0</v>
      </c>
      <c r="P54" s="245">
        <f>'Rider Rates'!$D$113</f>
        <v>44894</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10" t="s">
        <v>225</v>
      </c>
      <c r="B55" s="78"/>
      <c r="C55" s="78"/>
      <c r="D55" s="195"/>
      <c r="E55" s="113" t="s">
        <v>114</v>
      </c>
      <c r="F55" s="106"/>
      <c r="G55" s="114"/>
      <c r="H55" s="115"/>
      <c r="I55" s="258">
        <f>'Rider Rates'!B126</f>
        <v>4.84</v>
      </c>
      <c r="J55" s="196">
        <f>SUM(G55:I55)</f>
        <v>4.84</v>
      </c>
      <c r="K55" s="104"/>
      <c r="L55" s="105"/>
      <c r="M55" s="105"/>
      <c r="N55" s="260">
        <f>I55</f>
        <v>4.84</v>
      </c>
      <c r="O55" s="105">
        <f t="shared" si="2"/>
        <v>4.84</v>
      </c>
      <c r="P55" s="245">
        <f>'Rider Rates'!D126</f>
        <v>45593</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99" t="s">
        <v>157</v>
      </c>
      <c r="B56" s="78"/>
      <c r="C56" s="78"/>
      <c r="D56" s="100">
        <f>IF('Customer Info'!$C$33=TRUE,0,'Customer Info'!$B$22+'Customer Info'!$B$23-'Customer Info'!$B$24)</f>
        <v>0</v>
      </c>
      <c r="E56" s="101" t="s">
        <v>41</v>
      </c>
      <c r="F56" s="102" t="s">
        <v>8</v>
      </c>
      <c r="G56" s="103">
        <f>'Rider Rates'!$B$117</f>
        <v>3.7618E-3</v>
      </c>
      <c r="H56" s="103"/>
      <c r="I56" s="120"/>
      <c r="J56" s="237">
        <f>SUM(G56:H56)</f>
        <v>3.7618E-3</v>
      </c>
      <c r="K56" s="104" t="s">
        <v>42</v>
      </c>
      <c r="L56" s="105">
        <f>ROUND(D56*G56,2)</f>
        <v>0</v>
      </c>
      <c r="M56" s="105"/>
      <c r="N56" s="105"/>
      <c r="O56" s="105">
        <f t="shared" si="2"/>
        <v>0</v>
      </c>
      <c r="P56" s="245">
        <f>'Rider Rates'!$D$117</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10" t="s">
        <v>216</v>
      </c>
      <c r="B57" s="78"/>
      <c r="C57" s="78"/>
      <c r="D57" s="1">
        <f>IF($C$16&lt;1,0,$C$16)</f>
        <v>0</v>
      </c>
      <c r="E57" s="101" t="s">
        <v>41</v>
      </c>
      <c r="F57" s="249" t="s">
        <v>8</v>
      </c>
      <c r="G57" s="165"/>
      <c r="H57" s="165"/>
      <c r="I57" s="251">
        <f>'Rider Rates'!B122</f>
        <v>-6.2E-4</v>
      </c>
      <c r="J57" s="251">
        <f>SUM(G57:I57)</f>
        <v>-6.2E-4</v>
      </c>
      <c r="K57" s="104" t="s">
        <v>42</v>
      </c>
      <c r="L57" s="105"/>
      <c r="M57" s="105"/>
      <c r="N57" s="105">
        <f>D57*I57</f>
        <v>0</v>
      </c>
      <c r="O57" s="105">
        <f t="shared" si="2"/>
        <v>0</v>
      </c>
      <c r="P57" s="245">
        <f>'Rider Rates'!D122</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78" t="s">
        <v>241</v>
      </c>
      <c r="B58" s="78"/>
      <c r="C58" s="78"/>
      <c r="D58" s="100">
        <f>IF(C16&lt;0,0,IF(C16&gt;833000,833000,C16))</f>
        <v>0</v>
      </c>
      <c r="E58" s="101" t="s">
        <v>41</v>
      </c>
      <c r="F58" s="102" t="s">
        <v>8</v>
      </c>
      <c r="G58" s="265"/>
      <c r="H58" s="265"/>
      <c r="I58" s="265">
        <f>'Rider Rates'!$B$130</f>
        <v>2.9050000000000001E-4</v>
      </c>
      <c r="J58" s="265">
        <f>SUM(G58:I58)</f>
        <v>2.9050000000000001E-4</v>
      </c>
      <c r="K58" s="104" t="s">
        <v>42</v>
      </c>
      <c r="L58" s="266"/>
      <c r="M58" s="266"/>
      <c r="N58" s="266">
        <f>IF(D58*J58&gt;'Rider Rates'!$C$130,'Rider Rates'!$C$130,D58*J58)</f>
        <v>0</v>
      </c>
      <c r="O58" s="266">
        <f t="shared" si="2"/>
        <v>0</v>
      </c>
      <c r="P58" s="264">
        <f>'Rider Rates'!$E$130</f>
        <v>45292</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78" t="s">
        <v>242</v>
      </c>
      <c r="B59" s="78"/>
      <c r="C59" s="78"/>
      <c r="D59" s="123">
        <f>IF(C16&gt;833000,C16-833000,0)</f>
        <v>0</v>
      </c>
      <c r="E59" s="101" t="s">
        <v>41</v>
      </c>
      <c r="F59" s="102" t="s">
        <v>8</v>
      </c>
      <c r="G59" s="265"/>
      <c r="H59" s="265"/>
      <c r="I59" s="265">
        <f>'Rider Rates'!$B$131</f>
        <v>0</v>
      </c>
      <c r="J59" s="265">
        <f>SUM(G59:I59)</f>
        <v>0</v>
      </c>
      <c r="K59" s="104" t="s">
        <v>42</v>
      </c>
      <c r="L59" s="266"/>
      <c r="M59" s="266"/>
      <c r="N59" s="266">
        <f>D59*J59</f>
        <v>0</v>
      </c>
      <c r="O59" s="266">
        <f t="shared" si="2"/>
        <v>0</v>
      </c>
      <c r="P59" s="264">
        <f>'Rider Rates'!$E$131</f>
        <v>44927</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250</v>
      </c>
      <c r="B60" s="78"/>
      <c r="C60" s="78"/>
      <c r="D60" s="100">
        <f>D16</f>
        <v>0</v>
      </c>
      <c r="E60" s="101" t="s">
        <v>41</v>
      </c>
      <c r="F60" s="249" t="s">
        <v>8</v>
      </c>
      <c r="G60" s="103"/>
      <c r="H60" s="103"/>
      <c r="I60" s="103">
        <f>'Rider Rates'!$B$137</f>
        <v>0</v>
      </c>
      <c r="J60" s="237">
        <f>SUM(G60:I60)</f>
        <v>0</v>
      </c>
      <c r="K60" s="104" t="s">
        <v>42</v>
      </c>
      <c r="L60" s="105"/>
      <c r="M60" s="105"/>
      <c r="N60" s="105">
        <f>D60*J60</f>
        <v>0</v>
      </c>
      <c r="O60" s="105">
        <f>SUM(L60:N60)</f>
        <v>0</v>
      </c>
      <c r="P60" s="245">
        <f>'Rider Rates'!$D$135</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241" t="s">
        <v>249</v>
      </c>
      <c r="B61" s="78"/>
      <c r="C61" s="78"/>
      <c r="D61" s="100"/>
      <c r="E61" s="101" t="s">
        <v>114</v>
      </c>
      <c r="F61" s="102" t="s">
        <v>8</v>
      </c>
      <c r="G61" s="263"/>
      <c r="H61" s="263"/>
      <c r="I61" s="263">
        <f>'Rider Rates'!$B$142</f>
        <v>0</v>
      </c>
      <c r="J61" s="263">
        <f>SUM(G61:I61)</f>
        <v>0</v>
      </c>
      <c r="K61" s="104"/>
      <c r="L61" s="209"/>
      <c r="M61" s="209"/>
      <c r="N61" s="209">
        <f>J61</f>
        <v>0</v>
      </c>
      <c r="O61" s="209">
        <f>SUM(L61:N61)</f>
        <v>0</v>
      </c>
      <c r="P61" s="264">
        <f>'Rider Rates'!$D$142</f>
        <v>44531</v>
      </c>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241" t="s">
        <v>251</v>
      </c>
      <c r="B62" s="78"/>
      <c r="C62" s="78"/>
      <c r="D62" s="100"/>
      <c r="E62" s="101"/>
      <c r="F62" s="102"/>
      <c r="G62" s="263"/>
      <c r="H62" s="263"/>
      <c r="I62" s="263"/>
      <c r="J62" s="263"/>
      <c r="K62" s="104"/>
      <c r="L62" s="209"/>
      <c r="M62" s="209"/>
      <c r="N62" s="209"/>
      <c r="O62" s="209"/>
      <c r="P62" s="264"/>
      <c r="Q62" s="106"/>
      <c r="R62" s="107"/>
      <c r="S62" s="108"/>
      <c r="T62" s="109"/>
      <c r="U62" s="78"/>
      <c r="V62" s="110"/>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179" t="s">
        <v>70</v>
      </c>
      <c r="B63" s="148"/>
      <c r="C63" s="148"/>
      <c r="D63" s="180"/>
      <c r="E63" s="181"/>
      <c r="F63" s="182"/>
      <c r="G63" s="182"/>
      <c r="H63" s="182"/>
      <c r="I63" s="182"/>
      <c r="J63" s="182"/>
      <c r="K63" s="183"/>
      <c r="L63" s="169">
        <f>SUM(L34:L62)</f>
        <v>0</v>
      </c>
      <c r="M63" s="169">
        <f>SUM(M34:M62)</f>
        <v>0</v>
      </c>
      <c r="N63" s="169">
        <f>SUM(N34:N62)</f>
        <v>67.34</v>
      </c>
      <c r="O63" s="169">
        <f>SUM(O34:O62)</f>
        <v>67.34</v>
      </c>
      <c r="P63" s="184"/>
    </row>
    <row r="64" spans="1:221" x14ac:dyDescent="0.25">
      <c r="A64" s="37"/>
      <c r="D64" s="1"/>
      <c r="E64" s="35"/>
      <c r="F64" s="4"/>
      <c r="G64" s="42"/>
      <c r="H64" s="42"/>
      <c r="I64" s="42"/>
      <c r="J64" s="42"/>
      <c r="K64" s="36"/>
      <c r="L64" s="36"/>
      <c r="M64" s="36"/>
      <c r="N64" s="36"/>
      <c r="O64" s="34"/>
      <c r="P64" s="36"/>
    </row>
    <row r="65" spans="1:16" x14ac:dyDescent="0.25">
      <c r="A65" s="81" t="s">
        <v>71</v>
      </c>
      <c r="B65" s="92"/>
      <c r="C65" s="92"/>
      <c r="D65" s="92"/>
      <c r="E65" s="92"/>
      <c r="F65" s="92"/>
      <c r="G65" s="92"/>
      <c r="H65" s="92"/>
      <c r="I65" s="92"/>
      <c r="J65" s="92"/>
      <c r="K65" s="92"/>
      <c r="L65" s="98">
        <f>L30+L63</f>
        <v>0</v>
      </c>
      <c r="M65" s="98">
        <f>M30+M63</f>
        <v>0</v>
      </c>
      <c r="N65" s="98">
        <f>N30+N63</f>
        <v>205.84</v>
      </c>
      <c r="O65" s="98">
        <f>O30+O63</f>
        <v>205.84</v>
      </c>
      <c r="P65" s="98"/>
    </row>
    <row r="66" spans="1:16" x14ac:dyDescent="0.25">
      <c r="A66" s="37"/>
      <c r="B66" s="37"/>
      <c r="C66" s="37"/>
      <c r="D66" s="37"/>
      <c r="E66" s="37"/>
      <c r="F66" s="37"/>
      <c r="G66" s="37"/>
      <c r="H66" s="37"/>
      <c r="I66" s="37"/>
      <c r="J66" s="37"/>
      <c r="K66" s="37"/>
      <c r="L66" s="37"/>
      <c r="M66" s="37"/>
      <c r="N66" s="37"/>
      <c r="O66" s="40"/>
      <c r="P66" s="40"/>
    </row>
    <row r="67" spans="1:16" x14ac:dyDescent="0.25">
      <c r="A67" s="37" t="s">
        <v>37</v>
      </c>
      <c r="B67" s="37"/>
      <c r="C67" s="37"/>
      <c r="D67" s="37"/>
      <c r="E67" s="37"/>
      <c r="F67" s="37"/>
      <c r="G67" s="37"/>
      <c r="H67" s="37"/>
      <c r="I67" s="37"/>
      <c r="J67" s="37"/>
      <c r="K67" s="37"/>
      <c r="L67" s="37"/>
      <c r="M67" s="37"/>
      <c r="N67" s="37"/>
      <c r="O67" s="45">
        <f>O26+O28+O63</f>
        <v>205.84</v>
      </c>
      <c r="P67" s="245">
        <v>40967</v>
      </c>
    </row>
    <row r="68" spans="1:16" x14ac:dyDescent="0.25">
      <c r="A68" s="37"/>
      <c r="B68" s="37"/>
      <c r="C68" s="37"/>
      <c r="D68" s="37"/>
      <c r="E68" s="37"/>
      <c r="F68" s="37"/>
      <c r="G68" s="46"/>
      <c r="H68" s="46"/>
      <c r="I68" s="46"/>
      <c r="J68" s="46"/>
      <c r="K68" s="36"/>
      <c r="L68" s="36"/>
      <c r="M68" s="36"/>
      <c r="N68" s="36"/>
      <c r="O68" s="40"/>
    </row>
    <row r="69" spans="1:16" x14ac:dyDescent="0.25">
      <c r="A69" s="41" t="s">
        <v>116</v>
      </c>
      <c r="B69" s="37"/>
      <c r="C69" s="37"/>
      <c r="D69" s="37"/>
      <c r="E69" s="37"/>
      <c r="F69" s="37"/>
      <c r="G69" s="46"/>
      <c r="H69" s="46"/>
      <c r="I69" s="46"/>
      <c r="J69" s="46"/>
      <c r="K69" s="36"/>
      <c r="L69" s="36"/>
      <c r="M69" s="36"/>
      <c r="N69" s="36"/>
      <c r="O69" s="138">
        <f>MAX($O$65,$O$67)</f>
        <v>205.84</v>
      </c>
    </row>
    <row r="70" spans="1:16" x14ac:dyDescent="0.25">
      <c r="A70" s="37"/>
      <c r="B70" s="37"/>
      <c r="C70" s="37"/>
      <c r="D70" s="37"/>
      <c r="E70" s="37"/>
      <c r="F70" s="37"/>
      <c r="G70" s="46"/>
      <c r="H70" s="46"/>
      <c r="I70" s="46"/>
      <c r="J70" s="46"/>
      <c r="K70" s="36"/>
      <c r="L70" s="36"/>
      <c r="M70" s="36"/>
      <c r="N70" s="36"/>
      <c r="O70" s="40"/>
    </row>
    <row r="71" spans="1:16" x14ac:dyDescent="0.25">
      <c r="A71" s="37"/>
      <c r="B71" s="37"/>
      <c r="C71" s="37"/>
      <c r="D71" s="37"/>
      <c r="E71" s="37"/>
      <c r="F71" s="37"/>
      <c r="G71" s="96" t="s">
        <v>85</v>
      </c>
      <c r="H71" s="46"/>
      <c r="I71" s="37"/>
      <c r="J71" s="46"/>
      <c r="K71" s="36"/>
      <c r="L71" s="191"/>
      <c r="M71" s="191"/>
      <c r="N71" s="191"/>
      <c r="O71" s="191">
        <f>ROUND(IF($C$16&lt;1,0,$O$69/($C$16*100)*10000),2)</f>
        <v>0</v>
      </c>
      <c r="P71" s="37" t="s">
        <v>86</v>
      </c>
    </row>
    <row r="72" spans="1:16" x14ac:dyDescent="0.25">
      <c r="A72" s="37"/>
      <c r="B72" s="37"/>
      <c r="C72" s="37"/>
      <c r="D72" s="37"/>
      <c r="E72" s="37"/>
      <c r="F72" s="37"/>
      <c r="G72" s="242" t="s">
        <v>198</v>
      </c>
      <c r="H72" s="136"/>
      <c r="I72" s="133"/>
      <c r="J72" s="136"/>
      <c r="K72" s="137"/>
      <c r="L72" s="78"/>
      <c r="M72" s="78"/>
      <c r="N72" s="78"/>
      <c r="O72" s="243">
        <f>ROUND(IF($C$16&lt;1,0,(L65)/($C$16*100)*10000),2)</f>
        <v>0</v>
      </c>
      <c r="P72" s="25" t="s">
        <v>86</v>
      </c>
    </row>
    <row r="73" spans="1:16" x14ac:dyDescent="0.25">
      <c r="A73" s="37"/>
      <c r="B73" s="37"/>
      <c r="C73" s="37"/>
      <c r="D73" s="37"/>
      <c r="E73" s="37"/>
      <c r="F73" s="37"/>
      <c r="G73" s="96"/>
      <c r="H73" s="46"/>
      <c r="I73" s="96"/>
      <c r="J73" s="46"/>
      <c r="K73" s="36"/>
      <c r="L73" s="36"/>
      <c r="M73" s="36"/>
      <c r="N73" s="36"/>
      <c r="O73" s="130"/>
      <c r="P73" s="37"/>
    </row>
    <row r="74" spans="1:16" ht="20.25" customHeight="1" x14ac:dyDescent="0.4">
      <c r="A74" s="3"/>
      <c r="B74" s="37"/>
      <c r="C74" s="37"/>
      <c r="D74" s="228" t="str">
        <f>IF('Customer Info'!$C$33=TRUE,"Notice: Billing Charge does not include Self Assessed KWH Tax"," ")</f>
        <v xml:space="preserve"> </v>
      </c>
      <c r="E74" s="3"/>
      <c r="F74" s="4"/>
      <c r="G74" s="121"/>
      <c r="H74" s="55"/>
      <c r="I74" s="34"/>
      <c r="J74" s="55"/>
      <c r="K74" s="37"/>
      <c r="L74" s="37"/>
      <c r="M74" s="37"/>
      <c r="N74" s="34"/>
    </row>
    <row r="75" spans="1:16" x14ac:dyDescent="0.25">
      <c r="A75" s="37"/>
      <c r="B75" s="37"/>
      <c r="C75" s="37"/>
      <c r="D75" s="54"/>
      <c r="E75" s="3"/>
      <c r="F75" s="4"/>
      <c r="G75" s="55"/>
      <c r="H75" s="55"/>
      <c r="I75" s="93"/>
      <c r="J75" s="55"/>
      <c r="K75" s="37"/>
      <c r="L75" s="37"/>
      <c r="M75" s="37"/>
      <c r="N75" s="37"/>
      <c r="O75" s="40"/>
    </row>
    <row r="76" spans="1:16" x14ac:dyDescent="0.25">
      <c r="A76" s="37"/>
      <c r="B76" s="37"/>
      <c r="C76" s="37"/>
      <c r="D76" s="54"/>
      <c r="E76" s="3"/>
      <c r="F76" s="4"/>
      <c r="G76" s="55"/>
      <c r="H76" s="55"/>
      <c r="I76" s="55"/>
      <c r="J76" s="55"/>
      <c r="K76" s="37"/>
      <c r="L76" s="37"/>
      <c r="M76" s="37"/>
      <c r="N76" s="37"/>
      <c r="O76" s="40"/>
    </row>
    <row r="77" spans="1:16" x14ac:dyDescent="0.25">
      <c r="A77" s="41"/>
      <c r="B77" s="37"/>
      <c r="C77" s="37"/>
      <c r="D77" s="37"/>
      <c r="E77" s="37"/>
      <c r="F77" s="37"/>
      <c r="G77" s="37"/>
      <c r="H77" s="37"/>
      <c r="J77" s="37"/>
      <c r="K77" s="37"/>
      <c r="L77" s="40"/>
      <c r="M77" s="40"/>
      <c r="N77" s="40"/>
      <c r="O77" s="138"/>
    </row>
    <row r="78" spans="1:16" x14ac:dyDescent="0.25">
      <c r="B78" s="37"/>
      <c r="C78" s="37"/>
      <c r="D78" s="37"/>
      <c r="E78" s="37"/>
      <c r="F78" s="37"/>
      <c r="G78" s="96"/>
      <c r="H78" s="37"/>
      <c r="I78" s="37"/>
      <c r="J78" s="37"/>
      <c r="K78" s="37"/>
      <c r="L78" s="60"/>
      <c r="M78" s="60"/>
      <c r="N78" s="60"/>
      <c r="O78" s="130"/>
      <c r="P78" s="37"/>
    </row>
    <row r="79" spans="1:16" x14ac:dyDescent="0.25">
      <c r="G79" s="133"/>
      <c r="H79" s="56"/>
      <c r="I79" s="133"/>
      <c r="J79" s="56"/>
      <c r="K79" s="56"/>
      <c r="L79" s="134"/>
      <c r="M79" s="134"/>
      <c r="N79" s="134"/>
      <c r="O79" s="135"/>
      <c r="P79" s="25"/>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row r="90" spans="1:1" x14ac:dyDescent="0.25">
      <c r="A90" s="550"/>
    </row>
    <row r="91" spans="1:1" x14ac:dyDescent="0.25">
      <c r="A91" s="550"/>
    </row>
    <row r="92" spans="1:1" x14ac:dyDescent="0.25">
      <c r="A92" s="550"/>
    </row>
    <row r="93" spans="1:1" x14ac:dyDescent="0.25">
      <c r="A93" s="550"/>
    </row>
    <row r="94" spans="1:1" x14ac:dyDescent="0.25">
      <c r="A94" s="550"/>
    </row>
    <row r="95" spans="1:1" x14ac:dyDescent="0.25">
      <c r="A95" s="550"/>
    </row>
  </sheetData>
  <sheetProtection algorithmName="SHA-512" hashValue="4zT8jA+aFoeLF7JgKjP4/ucyq71/NdEFJqzJKNeQZW0zm2OslI6OI/UBlhDW9ZahMMvyx9oki3RPI5c6Rl9PVw==" saltValue="IMAv5P2P6gbV0aDYC+UrJQ==" spinCount="100000" sheet="1" objects="1" scenarios="1"/>
  <mergeCells count="26">
    <mergeCell ref="A81:A95"/>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Button 1">
              <controlPr defaultSize="0" print="0" autoFill="0" autoPict="0" macro="[0]!Info">
                <anchor moveWithCells="1">
                  <from>
                    <xdr:col>0</xdr:col>
                    <xdr:colOff>30480</xdr:colOff>
                    <xdr:row>0</xdr:row>
                    <xdr:rowOff>30480</xdr:rowOff>
                  </from>
                  <to>
                    <xdr:col>0</xdr:col>
                    <xdr:colOff>373380</xdr:colOff>
                    <xdr:row>1</xdr:row>
                    <xdr:rowOff>30480</xdr:rowOff>
                  </to>
                </anchor>
              </controlPr>
            </control>
          </mc:Choice>
        </mc:AlternateContent>
        <mc:AlternateContent xmlns:mc="http://schemas.openxmlformats.org/markup-compatibility/2006">
          <mc:Choice Requires="x14">
            <control shapeId="76802" r:id="rId5" name="Button 2">
              <controlPr defaultSize="0" print="0" autoFill="0" autoPict="0" macro="[0]!Info">
                <anchor moveWithCells="1">
                  <from>
                    <xdr:col>15</xdr:col>
                    <xdr:colOff>274320</xdr:colOff>
                    <xdr:row>89</xdr:row>
                    <xdr:rowOff>45720</xdr:rowOff>
                  </from>
                  <to>
                    <xdr:col>16</xdr:col>
                    <xdr:colOff>30480</xdr:colOff>
                    <xdr:row>90</xdr:row>
                    <xdr:rowOff>83820</xdr:rowOff>
                  </to>
                </anchor>
              </controlPr>
            </control>
          </mc:Choice>
        </mc:AlternateContent>
        <mc:AlternateContent xmlns:mc="http://schemas.openxmlformats.org/markup-compatibility/2006">
          <mc:Choice Requires="x14">
            <control shapeId="76803"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6804"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6805" r:id="rId8" name="Button 5">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6806" r:id="rId9" name="Button 6">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6807" r:id="rId10" name="Button 7">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76808" r:id="rId11" name="Button 8">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76809" r:id="rId12" name="Button 9">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76810" r:id="rId13" name="Button 10">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76811" r:id="rId14" name="Button 11">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76812" r:id="rId15" name="Button 12">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76813" r:id="rId16" name="Button 13">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76814" r:id="rId17" name="Button 14">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76815" r:id="rId18" name="Button 15">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76816" r:id="rId19" name="Button 16">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76817" r:id="rId20" name="Button 17">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76818" r:id="rId21" name="Button 18">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76819" r:id="rId22" name="Button 19">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76820" r:id="rId23" name="Button 20">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76821" r:id="rId24" name="Button 21">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76822" r:id="rId25" name="Button 22">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76823" r:id="rId26" name="Button 23">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76824" r:id="rId27" name="Button 24">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76825" r:id="rId28" name="Button 25">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76826" r:id="rId29" name="Button 26">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76827" r:id="rId30" name="Button 27">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76828" r:id="rId31" name="Button 28">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76829" r:id="rId32" name="Button 29">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76830" r:id="rId33" name="Button 30">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76831" r:id="rId34" name="Button 31">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76832" r:id="rId35" name="Button 32">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76833" r:id="rId36" name="Button 33">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76834" r:id="rId37" name="Button 34">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76835" r:id="rId38" name="Button 35">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76836" r:id="rId39" name="Button 36">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76837" r:id="rId40" name="Button 37">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76838" r:id="rId41" name="Button 38">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76839" r:id="rId42" name="Button 39">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76840" r:id="rId43" name="Button 40">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76841" r:id="rId44" name="Button 41">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76842" r:id="rId45" name="Button 42">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76843" r:id="rId46" name="Button 43">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76844" r:id="rId47" name="Button 44">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76845" r:id="rId48" name="Button 45">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76846" r:id="rId49" name="Button 46">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76847" r:id="rId50" name="Button 47">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76848" r:id="rId51" name="Button 48">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76849" r:id="rId52" name="Button 49">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76850" r:id="rId53" name="Button 50">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76851" r:id="rId54" name="Button 51">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76852" r:id="rId55" name="Button 52">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76853" r:id="rId56" name="Button 53">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76854" r:id="rId57" name="Button 54">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76855" r:id="rId58" name="Button 55">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76856" r:id="rId59" name="Button 56">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76857" r:id="rId60" name="Button 57">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76858" r:id="rId61" name="Button 58">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1">
    <pageSetUpPr fitToPage="1"/>
  </sheetPr>
  <dimension ref="A1:IV94"/>
  <sheetViews>
    <sheetView showGridLines="0" topLeftCell="A22" zoomScale="80" zoomScaleNormal="80" workbookViewId="0">
      <selection activeCell="J54" sqref="J54"/>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9.109375" hidden="1" customWidth="1"/>
  </cols>
  <sheetData>
    <row r="1" spans="1:256" ht="21" x14ac:dyDescent="0.4">
      <c r="A1" s="567" t="s">
        <v>119</v>
      </c>
      <c r="B1" s="567"/>
      <c r="C1" s="567"/>
      <c r="D1" s="567"/>
      <c r="E1" s="567"/>
      <c r="F1" s="567"/>
      <c r="G1" s="567"/>
      <c r="H1" s="567"/>
      <c r="I1" s="567"/>
      <c r="J1" s="567"/>
      <c r="K1" s="567"/>
      <c r="L1" s="567"/>
      <c r="M1" s="567"/>
      <c r="N1" s="567"/>
      <c r="O1" s="567"/>
      <c r="P1" s="567"/>
    </row>
    <row r="2" spans="1:256" ht="21" x14ac:dyDescent="0.4">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7.399999999999999" x14ac:dyDescent="0.3">
      <c r="A3" s="568" t="s">
        <v>273</v>
      </c>
      <c r="B3" s="568"/>
      <c r="C3" s="568"/>
      <c r="D3" s="568"/>
      <c r="E3" s="568"/>
      <c r="F3" s="568"/>
      <c r="G3" s="568"/>
      <c r="H3" s="568"/>
      <c r="I3" s="568"/>
      <c r="J3" s="568"/>
      <c r="K3" s="568"/>
      <c r="L3" s="568"/>
      <c r="M3" s="568"/>
      <c r="N3" s="568"/>
      <c r="O3" s="568"/>
      <c r="P3" s="568"/>
    </row>
    <row r="4" spans="1:256"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5">
      <c r="A5" s="75"/>
      <c r="B5" s="75"/>
      <c r="C5" s="75"/>
      <c r="D5" s="75"/>
      <c r="E5" s="75"/>
      <c r="F5" s="75"/>
      <c r="G5" s="75"/>
      <c r="H5" s="75"/>
      <c r="I5" s="75"/>
      <c r="J5" s="75"/>
      <c r="K5" s="75"/>
    </row>
    <row r="6" spans="1:256" x14ac:dyDescent="0.25">
      <c r="A6" s="76">
        <f ca="1">TODAY()</f>
        <v>45588</v>
      </c>
      <c r="B6" s="210" t="s">
        <v>274</v>
      </c>
      <c r="C6" s="274"/>
      <c r="D6" s="274"/>
      <c r="E6" s="274"/>
      <c r="F6" s="274"/>
      <c r="G6" s="274"/>
      <c r="H6" s="274"/>
      <c r="I6" s="274"/>
      <c r="J6" s="274"/>
      <c r="K6" s="274"/>
    </row>
    <row r="7" spans="1:256" ht="24.6" x14ac:dyDescent="0.4">
      <c r="A7" s="569"/>
      <c r="B7" s="569"/>
      <c r="C7" s="569"/>
      <c r="D7" s="569"/>
      <c r="E7" s="569"/>
      <c r="F7" s="569"/>
      <c r="G7" s="569"/>
      <c r="H7" s="569"/>
      <c r="I7" s="569"/>
      <c r="J7" s="569"/>
      <c r="K7" s="569"/>
      <c r="L7" s="569"/>
      <c r="M7" s="569"/>
      <c r="N7" s="569"/>
      <c r="O7" s="569"/>
      <c r="P7" s="569"/>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11</v>
      </c>
      <c r="C10" s="194" t="str">
        <f>LOOKUP(B10,R10:AD10,R11:AD11)</f>
        <v>November</v>
      </c>
      <c r="D10" s="133">
        <f>'Customer Info'!C9</f>
        <v>2024</v>
      </c>
      <c r="S10">
        <v>1</v>
      </c>
      <c r="T10">
        <v>2</v>
      </c>
      <c r="U10">
        <v>3</v>
      </c>
      <c r="V10">
        <v>4</v>
      </c>
      <c r="W10">
        <v>5</v>
      </c>
      <c r="X10">
        <v>6</v>
      </c>
      <c r="Y10">
        <v>7</v>
      </c>
      <c r="Z10">
        <v>8</v>
      </c>
      <c r="AA10">
        <v>9</v>
      </c>
      <c r="AB10">
        <v>10</v>
      </c>
      <c r="AC10">
        <v>11</v>
      </c>
      <c r="AD10">
        <v>12</v>
      </c>
    </row>
    <row r="11" spans="1:256" ht="15" customHeight="1" x14ac:dyDescent="0.25">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5">
      <c r="A12" s="28" t="s">
        <v>27</v>
      </c>
      <c r="B12" s="22"/>
      <c r="C12" s="22"/>
      <c r="D12" s="22"/>
      <c r="E12" s="22"/>
      <c r="F12" s="22"/>
      <c r="G12" s="22"/>
      <c r="H12" s="22"/>
      <c r="I12" s="22"/>
      <c r="J12" s="22"/>
      <c r="K12" s="22"/>
      <c r="L12" s="22"/>
      <c r="M12" s="22"/>
      <c r="N12" s="22"/>
      <c r="O12" s="22"/>
      <c r="P12" s="22"/>
      <c r="R12" s="3" t="s">
        <v>195</v>
      </c>
      <c r="S12" s="207">
        <f>'Rider Rates'!$C$25</f>
        <v>6.6629999999999995E-2</v>
      </c>
      <c r="T12" s="207">
        <f>'Rider Rates'!$C$25</f>
        <v>6.6629999999999995E-2</v>
      </c>
      <c r="U12" s="207">
        <f>'Rider Rates'!$C$25</f>
        <v>6.6629999999999995E-2</v>
      </c>
      <c r="V12" s="207">
        <f>'Rider Rates'!$C$25</f>
        <v>6.6629999999999995E-2</v>
      </c>
      <c r="W12" s="207">
        <f>'Rider Rates'!$C$25</f>
        <v>6.6629999999999995E-2</v>
      </c>
      <c r="X12" s="207">
        <f>'Rider Rates'!$C$25</f>
        <v>6.6629999999999995E-2</v>
      </c>
      <c r="Y12" s="207">
        <f>'Rider Rates'!$C$25</f>
        <v>6.6629999999999995E-2</v>
      </c>
      <c r="Z12" s="207">
        <f>'Rider Rates'!$C$25</f>
        <v>6.6629999999999995E-2</v>
      </c>
      <c r="AA12" s="207">
        <f>'Rider Rates'!$C$25</f>
        <v>6.6629999999999995E-2</v>
      </c>
      <c r="AB12" s="207">
        <f>'Rider Rates'!$C$25</f>
        <v>6.6629999999999995E-2</v>
      </c>
      <c r="AC12" s="207">
        <f>'Rider Rates'!$C$25</f>
        <v>6.6629999999999995E-2</v>
      </c>
      <c r="AD12" s="207">
        <f>'Rider Rates'!$C$25</f>
        <v>6.6629999999999995E-2</v>
      </c>
      <c r="AE12" s="207"/>
      <c r="AF12" s="207"/>
    </row>
    <row r="13" spans="1:256" x14ac:dyDescent="0.25">
      <c r="A13" s="18"/>
      <c r="B13" s="18"/>
      <c r="C13" s="59" t="s">
        <v>54</v>
      </c>
      <c r="D13" s="59" t="s">
        <v>55</v>
      </c>
      <c r="E13" s="18"/>
      <c r="F13" s="18"/>
      <c r="G13" s="18"/>
      <c r="H13" s="18"/>
      <c r="I13" s="18"/>
      <c r="J13" s="18"/>
      <c r="K13" s="18"/>
      <c r="L13" s="18"/>
      <c r="M13" s="18"/>
      <c r="N13" s="18"/>
      <c r="O13" s="18"/>
    </row>
    <row r="14" spans="1:256" x14ac:dyDescent="0.25">
      <c r="A14" s="29" t="s">
        <v>28</v>
      </c>
      <c r="B14" s="29"/>
      <c r="C14" s="44">
        <f>'Customer Info'!B19</f>
        <v>0</v>
      </c>
      <c r="D14" s="44">
        <f>ROUND(C14*C19,1)</f>
        <v>0</v>
      </c>
      <c r="E14" s="29" t="s">
        <v>45</v>
      </c>
      <c r="F14" s="30"/>
      <c r="G14" s="29" t="s">
        <v>15</v>
      </c>
      <c r="I14" s="53" t="s">
        <v>15</v>
      </c>
      <c r="J14" s="29"/>
      <c r="K14" s="29"/>
      <c r="L14" s="29"/>
      <c r="M14" s="29"/>
      <c r="N14" s="29"/>
    </row>
    <row r="15" spans="1:256" x14ac:dyDescent="0.25">
      <c r="A15" s="31" t="s">
        <v>29</v>
      </c>
      <c r="B15" s="31"/>
      <c r="C15" s="44">
        <f>'Customer Info'!B20</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Info'!B22+'Customer Info'!B23-'Customer Info'!B24&lt;0,0,'Customer Info'!B22+'Customer Info'!B23-'Customer Info'!B24)</f>
        <v>0</v>
      </c>
      <c r="D16" s="32">
        <f>C16*C19</f>
        <v>0</v>
      </c>
      <c r="E16" s="31" t="s">
        <v>41</v>
      </c>
      <c r="F16" s="33"/>
      <c r="G16" s="31"/>
      <c r="H16" s="31"/>
      <c r="I16" s="31"/>
      <c r="J16" s="31"/>
      <c r="K16" s="31"/>
      <c r="L16" s="31"/>
      <c r="M16" s="31"/>
      <c r="N16" s="31"/>
      <c r="O16" s="31"/>
    </row>
    <row r="17" spans="1:32" x14ac:dyDescent="0.25">
      <c r="A17" s="31" t="s">
        <v>129</v>
      </c>
      <c r="B17" s="31"/>
      <c r="C17" s="32">
        <f>'Customer Info'!$B$27</f>
        <v>0</v>
      </c>
      <c r="D17" s="32">
        <f>C17*C19</f>
        <v>0</v>
      </c>
      <c r="E17" s="31" t="s">
        <v>266</v>
      </c>
      <c r="F17" s="33"/>
      <c r="K17" s="31"/>
      <c r="L17" s="31"/>
      <c r="M17" s="31"/>
      <c r="N17" s="31"/>
    </row>
    <row r="18" spans="1:32" x14ac:dyDescent="0.25">
      <c r="A18" s="31" t="s">
        <v>265</v>
      </c>
      <c r="B18" s="31"/>
      <c r="C18" s="32"/>
      <c r="D18" s="32">
        <f>IF((D17-(ROUND(MAX(D14,D15)*0.5,1)))&lt;0,0,(D17-(ROUND(MAX(D14,D15)*0.5,1))))</f>
        <v>0</v>
      </c>
      <c r="E18" s="31" t="s">
        <v>269</v>
      </c>
      <c r="F18" s="33"/>
      <c r="K18" s="31"/>
      <c r="L18" s="31"/>
      <c r="M18" s="31"/>
      <c r="N18" s="31"/>
    </row>
    <row r="19" spans="1:32" x14ac:dyDescent="0.25">
      <c r="A19" s="31" t="s">
        <v>53</v>
      </c>
      <c r="B19" s="31"/>
      <c r="C19" s="58">
        <f>+'Customer Info'!E19</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2" x14ac:dyDescent="0.25">
      <c r="A20" s="31" t="s">
        <v>15</v>
      </c>
      <c r="B20" s="31"/>
      <c r="C20" s="82" t="s">
        <v>15</v>
      </c>
      <c r="D20" s="571" t="s">
        <v>15</v>
      </c>
      <c r="E20" s="571"/>
      <c r="F20" s="571"/>
      <c r="G20" s="571"/>
      <c r="H20" s="571"/>
      <c r="K20" s="31"/>
      <c r="L20" s="31"/>
      <c r="M20" s="31"/>
      <c r="N20" s="31"/>
      <c r="O20" s="50"/>
    </row>
    <row r="21" spans="1:32" x14ac:dyDescent="0.25">
      <c r="A21" s="31" t="s">
        <v>15</v>
      </c>
      <c r="B21" s="31"/>
      <c r="C21" s="82" t="s">
        <v>15</v>
      </c>
      <c r="D21" s="571" t="s">
        <v>15</v>
      </c>
      <c r="E21" s="571"/>
      <c r="F21" s="571"/>
      <c r="G21" s="571"/>
      <c r="H21" s="571"/>
      <c r="I21" s="23"/>
      <c r="J21" s="23"/>
      <c r="K21" s="31"/>
      <c r="L21" s="31"/>
      <c r="M21" s="31"/>
      <c r="N21" s="31"/>
      <c r="O21" s="50"/>
    </row>
    <row r="22" spans="1:32" x14ac:dyDescent="0.25">
      <c r="A22" s="31"/>
      <c r="B22" s="31"/>
      <c r="C22" s="33"/>
      <c r="D22" s="33"/>
      <c r="E22" s="33"/>
      <c r="F22" s="33"/>
      <c r="G22" s="23"/>
      <c r="H22" s="23"/>
      <c r="I22" s="23"/>
      <c r="J22" s="23"/>
      <c r="K22" s="31"/>
      <c r="L22" s="31"/>
      <c r="M22" s="31"/>
      <c r="N22" s="31"/>
      <c r="O22" s="31"/>
    </row>
    <row r="23" spans="1:32" x14ac:dyDescent="0.25">
      <c r="A23" s="28" t="s">
        <v>31</v>
      </c>
      <c r="B23" s="22"/>
      <c r="C23" s="22"/>
      <c r="D23" s="22"/>
      <c r="E23" s="22"/>
      <c r="F23" s="22"/>
      <c r="G23" s="563" t="s">
        <v>67</v>
      </c>
      <c r="H23" s="564"/>
      <c r="I23" s="564"/>
      <c r="J23" s="565"/>
      <c r="K23" s="22"/>
      <c r="L23" s="566" t="s">
        <v>68</v>
      </c>
      <c r="M23" s="566"/>
      <c r="N23" s="566"/>
      <c r="O23" s="566"/>
    </row>
    <row r="24" spans="1:32" x14ac:dyDescent="0.25">
      <c r="A24" s="18"/>
      <c r="B24" s="18"/>
      <c r="C24" s="18"/>
      <c r="D24" s="18"/>
      <c r="E24" s="18"/>
      <c r="F24" s="18"/>
      <c r="G24" s="8" t="s">
        <v>64</v>
      </c>
      <c r="H24" s="8" t="s">
        <v>65</v>
      </c>
      <c r="I24" s="8" t="s">
        <v>66</v>
      </c>
      <c r="J24" s="112" t="s">
        <v>34</v>
      </c>
      <c r="K24" s="18"/>
      <c r="L24" s="131" t="s">
        <v>64</v>
      </c>
      <c r="M24" s="131" t="s">
        <v>65</v>
      </c>
      <c r="N24" s="131" t="s">
        <v>66</v>
      </c>
      <c r="O24" s="132" t="s">
        <v>34</v>
      </c>
      <c r="P24" s="43" t="s">
        <v>56</v>
      </c>
      <c r="AF24" s="226"/>
    </row>
    <row r="25" spans="1:32" x14ac:dyDescent="0.25">
      <c r="A25" t="s">
        <v>32</v>
      </c>
      <c r="G25" s="86"/>
      <c r="H25" s="86"/>
      <c r="I25" s="86">
        <f>IF(D14&gt;2000,3600,825)</f>
        <v>825</v>
      </c>
      <c r="J25" s="86">
        <f>SUM(G25:I25)</f>
        <v>825</v>
      </c>
      <c r="L25" s="88"/>
      <c r="M25" s="88"/>
      <c r="N25" s="88">
        <f>I25</f>
        <v>825</v>
      </c>
      <c r="O25" s="209">
        <f>SUM(L25:N25)</f>
        <v>825</v>
      </c>
      <c r="P25" s="245">
        <v>44531</v>
      </c>
      <c r="AF25" s="226"/>
    </row>
    <row r="26" spans="1:32" x14ac:dyDescent="0.25">
      <c r="A26" t="s">
        <v>132</v>
      </c>
      <c r="D26" s="1">
        <f>D16</f>
        <v>0</v>
      </c>
      <c r="E26" s="101" t="s">
        <v>41</v>
      </c>
      <c r="F26" s="102" t="s">
        <v>8</v>
      </c>
      <c r="G26" s="84"/>
      <c r="H26" s="86"/>
      <c r="I26" s="86"/>
      <c r="J26" s="84"/>
      <c r="K26" s="104" t="s">
        <v>42</v>
      </c>
      <c r="L26" s="87"/>
      <c r="M26" s="88"/>
      <c r="N26" s="87"/>
      <c r="O26" s="209"/>
      <c r="P26" s="245"/>
      <c r="AF26" s="226"/>
    </row>
    <row r="27" spans="1:32" x14ac:dyDescent="0.25">
      <c r="A27" t="s">
        <v>33</v>
      </c>
      <c r="D27" s="292">
        <f>ROUND(MAX(D14,D15,('Customer Info'!B15-100)*0.6,('Customer Info'!B17-100)*0.6),1)</f>
        <v>0</v>
      </c>
      <c r="E27" s="29" t="s">
        <v>45</v>
      </c>
      <c r="F27" s="4" t="s">
        <v>8</v>
      </c>
      <c r="G27" s="85"/>
      <c r="H27" s="85"/>
      <c r="I27" s="85">
        <v>0</v>
      </c>
      <c r="J27" s="85">
        <f>SUM(G27:I27)</f>
        <v>0</v>
      </c>
      <c r="K27" s="36" t="s">
        <v>44</v>
      </c>
      <c r="L27" s="87"/>
      <c r="M27" s="87"/>
      <c r="N27" s="87">
        <f>ROUND($D27*I27,2)</f>
        <v>0</v>
      </c>
      <c r="O27" s="209">
        <f>SUM(L27:N27)</f>
        <v>0</v>
      </c>
      <c r="P27" s="245">
        <v>44531</v>
      </c>
      <c r="AF27" s="293"/>
    </row>
    <row r="28" spans="1:32" x14ac:dyDescent="0.25">
      <c r="A28" t="s">
        <v>270</v>
      </c>
      <c r="D28" s="49">
        <f>D18</f>
        <v>0</v>
      </c>
      <c r="E28" s="29" t="s">
        <v>268</v>
      </c>
      <c r="F28" s="4" t="s">
        <v>8</v>
      </c>
      <c r="G28" s="116"/>
      <c r="H28" s="85"/>
      <c r="I28" s="85">
        <v>0.7</v>
      </c>
      <c r="J28" s="116">
        <f>SUM(G28:I28)</f>
        <v>0.7</v>
      </c>
      <c r="K28" s="36" t="s">
        <v>44</v>
      </c>
      <c r="L28" s="87"/>
      <c r="M28" s="87"/>
      <c r="N28" s="87">
        <f>ROUND($D28*I28,2)</f>
        <v>0</v>
      </c>
      <c r="O28" s="87">
        <f>SUM(L28:N28)</f>
        <v>0</v>
      </c>
      <c r="P28" s="245">
        <v>44531</v>
      </c>
      <c r="AF28" s="293"/>
    </row>
    <row r="29" spans="1:32" x14ac:dyDescent="0.25">
      <c r="A29" s="37" t="s">
        <v>50</v>
      </c>
      <c r="B29" s="37"/>
      <c r="C29" s="37"/>
      <c r="D29" s="38"/>
      <c r="E29" s="38"/>
      <c r="F29" s="37"/>
      <c r="G29" s="37"/>
      <c r="H29" s="37"/>
      <c r="I29" s="37"/>
      <c r="J29" s="37"/>
      <c r="K29" s="39"/>
      <c r="L29" s="40"/>
      <c r="M29" s="40"/>
      <c r="N29" s="40">
        <f>SUM(N25:N28)</f>
        <v>825</v>
      </c>
      <c r="O29" s="40">
        <f>SUM(O25:O28)</f>
        <v>825</v>
      </c>
      <c r="AF29" s="226"/>
    </row>
    <row r="30" spans="1:32" x14ac:dyDescent="0.25">
      <c r="A30" s="89"/>
      <c r="B30" s="89"/>
      <c r="C30" s="90"/>
      <c r="D30" s="90"/>
      <c r="E30" s="90"/>
      <c r="F30" s="90"/>
      <c r="G30" s="91"/>
      <c r="H30" s="91"/>
      <c r="I30" s="91"/>
      <c r="J30" s="91"/>
      <c r="K30" s="89"/>
      <c r="L30" s="89"/>
      <c r="M30" s="89"/>
      <c r="N30" s="89"/>
      <c r="O30" s="89"/>
      <c r="P30" s="89"/>
      <c r="AF30" s="226"/>
    </row>
    <row r="31" spans="1:32" x14ac:dyDescent="0.25">
      <c r="A31" s="41" t="s">
        <v>69</v>
      </c>
      <c r="D31" s="1"/>
      <c r="E31" s="1"/>
      <c r="K31" s="36"/>
      <c r="L31" s="36"/>
      <c r="M31" s="36"/>
      <c r="N31" s="36"/>
      <c r="O31" s="34"/>
      <c r="P31" s="34"/>
      <c r="AF31" s="226"/>
    </row>
    <row r="32" spans="1:32" x14ac:dyDescent="0.25">
      <c r="A32" s="37"/>
      <c r="D32" s="1"/>
      <c r="E32" s="1"/>
      <c r="K32" s="36"/>
      <c r="L32" s="36"/>
      <c r="M32" s="36"/>
      <c r="N32" s="36"/>
      <c r="O32" s="34"/>
      <c r="AF32" s="226"/>
    </row>
    <row r="33" spans="1:220" x14ac:dyDescent="0.25">
      <c r="A33" s="78" t="s">
        <v>78</v>
      </c>
      <c r="D33" s="295">
        <f>IF($C$16&lt;0,0,IF($C$16&gt;833000,833000,$C$16))</f>
        <v>0</v>
      </c>
      <c r="E33" s="35" t="s">
        <v>41</v>
      </c>
      <c r="F33" s="4" t="s">
        <v>8</v>
      </c>
      <c r="G33" s="83"/>
      <c r="H33" s="84"/>
      <c r="I33" s="103">
        <f>'Rider Rates'!$B$4</f>
        <v>5.9216E-3</v>
      </c>
      <c r="J33" s="6">
        <f>SUM(G33:I33)</f>
        <v>5.9216E-3</v>
      </c>
      <c r="K33" s="36" t="s">
        <v>42</v>
      </c>
      <c r="L33" s="87"/>
      <c r="M33" s="87"/>
      <c r="N33" s="87">
        <f>ROUND($D33*I33,2)</f>
        <v>0</v>
      </c>
      <c r="O33" s="87">
        <f>SUM(L33:N33)</f>
        <v>0</v>
      </c>
      <c r="P33" s="245">
        <f>'Rider Rates'!$D$4</f>
        <v>45293</v>
      </c>
      <c r="AF33" s="226"/>
    </row>
    <row r="34" spans="1:220" x14ac:dyDescent="0.25">
      <c r="A34" s="78" t="s">
        <v>79</v>
      </c>
      <c r="D34" s="295">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45293</v>
      </c>
      <c r="AF34" s="226"/>
    </row>
    <row r="35" spans="1:220" x14ac:dyDescent="0.25">
      <c r="A35" s="78" t="s">
        <v>47</v>
      </c>
      <c r="B35" t="s">
        <v>15</v>
      </c>
      <c r="D35" s="295">
        <f>IF('Customer Info'!$C$33=TRUE,0,IF(C16&lt;0,0,IF(C16&gt;2000,2000,C16)))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c r="AF35" s="226"/>
    </row>
    <row r="36" spans="1:220" x14ac:dyDescent="0.25">
      <c r="A36" s="78" t="s">
        <v>48</v>
      </c>
      <c r="B36" t="s">
        <v>15</v>
      </c>
      <c r="D36" s="295">
        <f>IF('Customer Info'!$C$33=TRUE,0,IF(C16&gt;15000,13000,IF(C16&gt;2000,C16-2000,0)))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c r="AF36" s="226"/>
    </row>
    <row r="37" spans="1:220" x14ac:dyDescent="0.25">
      <c r="A37" s="78" t="s">
        <v>49</v>
      </c>
      <c r="B37" t="s">
        <v>15</v>
      </c>
      <c r="D37" s="295">
        <f>IF('Customer Info'!$C$33=TRUE,0,IF(C16-D35-D36&gt;0,C16-D35-D36,0))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c r="AF37" s="226"/>
    </row>
    <row r="38" spans="1:220" x14ac:dyDescent="0.25">
      <c r="A38" s="241" t="s">
        <v>245</v>
      </c>
      <c r="B38" s="78"/>
      <c r="C38" s="78"/>
      <c r="D38" s="296">
        <f>$N$29</f>
        <v>825</v>
      </c>
      <c r="E38" s="101" t="s">
        <v>121</v>
      </c>
      <c r="F38" s="102" t="s">
        <v>8</v>
      </c>
      <c r="G38" s="103"/>
      <c r="H38" s="103"/>
      <c r="I38" s="178">
        <f>'Rider Rates'!$B$18+'Rider Rates'!$E$18</f>
        <v>0</v>
      </c>
      <c r="J38" s="120">
        <f>SUM(H38:I38)</f>
        <v>0</v>
      </c>
      <c r="K38" s="104"/>
      <c r="L38" s="105"/>
      <c r="M38" s="105"/>
      <c r="N38" s="105">
        <f>ROUND($D$38*'Rider Rates'!$B$18,2)+ROUND($D$38*'Rider Rates'!$E$18,2)</f>
        <v>0</v>
      </c>
      <c r="O38" s="105">
        <f t="shared" ref="O38:O44" si="0">SUM(L38:N38)</f>
        <v>0</v>
      </c>
      <c r="P38" s="245">
        <f>MAX('Rider Rates'!$D$18,'Rider Rates'!$F$18)</f>
        <v>44531</v>
      </c>
      <c r="AF38" s="226"/>
    </row>
    <row r="39" spans="1:220" x14ac:dyDescent="0.25">
      <c r="A39" s="210" t="s">
        <v>194</v>
      </c>
      <c r="B39" s="78"/>
      <c r="C39" s="78"/>
      <c r="D39" s="295">
        <f>'Customer Info'!$B$22+'Customer Info'!$B$23-'Customer Info'!$B$24</f>
        <v>0</v>
      </c>
      <c r="E39" s="101" t="s">
        <v>41</v>
      </c>
      <c r="F39" s="102" t="s">
        <v>8</v>
      </c>
      <c r="G39" s="103">
        <f>'Rider Rates'!B25</f>
        <v>6.6629999999999995E-2</v>
      </c>
      <c r="H39" s="103"/>
      <c r="I39" s="103"/>
      <c r="J39" s="237">
        <f>SUM(G39:H39)</f>
        <v>6.6629999999999995E-2</v>
      </c>
      <c r="K39" s="104" t="s">
        <v>42</v>
      </c>
      <c r="L39" s="105">
        <f>ROUND(D39*G39,2)</f>
        <v>0</v>
      </c>
      <c r="M39" s="105"/>
      <c r="N39" s="105"/>
      <c r="O39" s="105">
        <f t="shared" si="0"/>
        <v>0</v>
      </c>
      <c r="P39" s="245">
        <f>'Rider Rates'!$D$23</f>
        <v>45444</v>
      </c>
      <c r="AF39" s="226"/>
    </row>
    <row r="40" spans="1:220" x14ac:dyDescent="0.25">
      <c r="A40" s="241" t="s">
        <v>161</v>
      </c>
      <c r="B40" s="78"/>
      <c r="C40" s="78"/>
      <c r="D40" s="295">
        <f>'Customer Info'!$B$22+'Customer Info'!$B$23-'Customer Info'!$B$24</f>
        <v>0</v>
      </c>
      <c r="E40" s="101" t="s">
        <v>41</v>
      </c>
      <c r="F40" s="102" t="s">
        <v>8</v>
      </c>
      <c r="G40" s="103">
        <f>'Rider Rates'!$B$43</f>
        <v>1.66E-3</v>
      </c>
      <c r="H40" s="103"/>
      <c r="I40" s="103"/>
      <c r="J40" s="237">
        <f>SUM(G40:H40)</f>
        <v>1.66E-3</v>
      </c>
      <c r="K40" s="104" t="s">
        <v>42</v>
      </c>
      <c r="L40" s="105">
        <f>ROUND(D40*G40,2)</f>
        <v>0</v>
      </c>
      <c r="M40" s="105"/>
      <c r="N40" s="105"/>
      <c r="O40" s="105">
        <f t="shared" si="0"/>
        <v>0</v>
      </c>
      <c r="P40" s="245">
        <f>'Rider Rates'!$D$43</f>
        <v>45444</v>
      </c>
      <c r="AF40" s="226"/>
    </row>
    <row r="41" spans="1:220" x14ac:dyDescent="0.25">
      <c r="A41" s="210" t="s">
        <v>201</v>
      </c>
      <c r="B41" s="78"/>
      <c r="C41" s="78"/>
      <c r="D41" s="295">
        <f>'Customer Info'!$B$22+'Customer Info'!$B$23-'Customer Info'!$B$24</f>
        <v>0</v>
      </c>
      <c r="E41" s="101" t="s">
        <v>41</v>
      </c>
      <c r="F41" s="102" t="s">
        <v>8</v>
      </c>
      <c r="G41" s="103">
        <f>'Rider Rates'!$B$49</f>
        <v>-1.2408E-3</v>
      </c>
      <c r="H41" s="103"/>
      <c r="I41" s="103"/>
      <c r="J41" s="237">
        <f>SUM(G41:H41)</f>
        <v>-1.2408E-3</v>
      </c>
      <c r="K41" s="104" t="s">
        <v>42</v>
      </c>
      <c r="L41" s="105">
        <f>ROUND(D41*G41,2)</f>
        <v>0</v>
      </c>
      <c r="M41" s="105"/>
      <c r="N41" s="105"/>
      <c r="O41" s="105">
        <f t="shared" si="0"/>
        <v>0</v>
      </c>
      <c r="P41" s="245">
        <f>'Rider Rates'!$D$49</f>
        <v>45562</v>
      </c>
      <c r="AF41" s="226"/>
    </row>
    <row r="42" spans="1:220" x14ac:dyDescent="0.25">
      <c r="A42" s="241" t="s">
        <v>218</v>
      </c>
      <c r="B42" s="78"/>
      <c r="C42" s="78"/>
      <c r="D42" s="295">
        <f>IF($C$16&lt;0,0,IF($C$16&gt;833000,833000,$C$16))</f>
        <v>0</v>
      </c>
      <c r="E42" s="101" t="s">
        <v>41</v>
      </c>
      <c r="F42" s="102" t="s">
        <v>8</v>
      </c>
      <c r="G42" s="103"/>
      <c r="H42" s="103"/>
      <c r="I42" s="103">
        <f>'Rider Rates'!D53</f>
        <v>1.8006999999999999E-3</v>
      </c>
      <c r="J42" s="103">
        <f>SUM(G42:I42)</f>
        <v>1.8006999999999999E-3</v>
      </c>
      <c r="K42" s="104" t="s">
        <v>42</v>
      </c>
      <c r="L42" s="105"/>
      <c r="M42" s="105"/>
      <c r="N42" s="87">
        <f>D42*J42</f>
        <v>0</v>
      </c>
      <c r="O42" s="105">
        <f t="shared" si="0"/>
        <v>0</v>
      </c>
      <c r="P42" s="245">
        <f>'Rider Rates'!E53</f>
        <v>45474</v>
      </c>
      <c r="AF42" s="226"/>
    </row>
    <row r="43" spans="1:220" x14ac:dyDescent="0.25">
      <c r="A43" s="210" t="s">
        <v>197</v>
      </c>
      <c r="B43" s="78"/>
      <c r="C43" s="78"/>
      <c r="D43" s="295">
        <f>IF($C$16&lt;0,0,$C$16)</f>
        <v>0</v>
      </c>
      <c r="E43" s="113" t="s">
        <v>41</v>
      </c>
      <c r="F43" s="102" t="s">
        <v>8</v>
      </c>
      <c r="G43" s="103"/>
      <c r="H43" s="103">
        <f>'Rider Rates'!$B$63</f>
        <v>5.7019999999999998E-4</v>
      </c>
      <c r="I43" s="103"/>
      <c r="J43" s="103">
        <f>SUM(G43:I43)</f>
        <v>5.7019999999999998E-4</v>
      </c>
      <c r="K43" s="104" t="s">
        <v>42</v>
      </c>
      <c r="L43" s="105"/>
      <c r="M43" s="105">
        <f>ROUND(D43*H43,2)</f>
        <v>0</v>
      </c>
      <c r="N43" s="205"/>
      <c r="O43" s="105">
        <f t="shared" si="0"/>
        <v>0</v>
      </c>
      <c r="P43" s="245">
        <f>'Rider Rates'!$D$63</f>
        <v>45383</v>
      </c>
      <c r="AF43" s="226"/>
    </row>
    <row r="44" spans="1:220" x14ac:dyDescent="0.25">
      <c r="A44" s="210" t="s">
        <v>197</v>
      </c>
      <c r="B44" s="78"/>
      <c r="C44" s="78"/>
      <c r="D44" s="293">
        <f>D14</f>
        <v>0</v>
      </c>
      <c r="E44" s="35" t="s">
        <v>63</v>
      </c>
      <c r="F44" s="4" t="s">
        <v>8</v>
      </c>
      <c r="G44" s="103"/>
      <c r="H44" s="239">
        <f>'Rider Rates'!$B$68</f>
        <v>7.45</v>
      </c>
      <c r="I44" s="103"/>
      <c r="J44" s="239">
        <f>SUM(G44:I44)</f>
        <v>7.45</v>
      </c>
      <c r="K44" s="104" t="s">
        <v>44</v>
      </c>
      <c r="L44" s="105"/>
      <c r="M44" s="105">
        <f>ROUND(D44*H44,2)</f>
        <v>0</v>
      </c>
      <c r="N44" s="205"/>
      <c r="O44" s="105">
        <f t="shared" si="0"/>
        <v>0</v>
      </c>
      <c r="P44" s="245">
        <f>'Rider Rates'!$D$68</f>
        <v>45383</v>
      </c>
      <c r="AF44" s="294"/>
    </row>
    <row r="45" spans="1:220" x14ac:dyDescent="0.25">
      <c r="A45" s="99" t="s">
        <v>82</v>
      </c>
      <c r="B45" s="78"/>
      <c r="C45" s="78"/>
      <c r="D45" s="295">
        <f>IF('Customer Info'!C35=TRUE,0,IF($C$16&lt;0,0,$C$16))</f>
        <v>0</v>
      </c>
      <c r="E45" s="101" t="s">
        <v>41</v>
      </c>
      <c r="F45" s="102" t="s">
        <v>8</v>
      </c>
      <c r="G45" s="103"/>
      <c r="H45" s="103"/>
      <c r="I45" s="103">
        <f>'Rider Rates'!$B$75+'Rider Rates'!$C$75</f>
        <v>0</v>
      </c>
      <c r="J45" s="103">
        <f>SUM(G45:I45)</f>
        <v>0</v>
      </c>
      <c r="K45" s="104" t="s">
        <v>42</v>
      </c>
      <c r="L45" s="105"/>
      <c r="M45" s="105"/>
      <c r="N45" s="87">
        <f>ROUND($D$45*'Rider Rates'!$B$75,2)+ROUND($D$45*'Rider Rates'!$C$75,2)</f>
        <v>0</v>
      </c>
      <c r="O45" s="209">
        <f t="shared" ref="O45:O52" si="1">SUM(L45:N45)</f>
        <v>0</v>
      </c>
      <c r="P45" s="245">
        <f>'Rider Rates'!$D$75</f>
        <v>44531</v>
      </c>
      <c r="Q45" s="107"/>
      <c r="R45" s="108"/>
      <c r="S45" s="109"/>
      <c r="T45" s="78"/>
      <c r="U45" s="110"/>
      <c r="V45" s="78"/>
      <c r="W45" s="78"/>
      <c r="X45" s="78"/>
      <c r="Y45" s="78"/>
      <c r="Z45" s="78"/>
      <c r="AA45" s="78"/>
      <c r="AB45" s="78"/>
      <c r="AC45" s="78"/>
      <c r="AD45" s="78"/>
      <c r="AE45" s="78"/>
      <c r="AF45" s="276"/>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0" x14ac:dyDescent="0.25">
      <c r="A46" s="99" t="s">
        <v>82</v>
      </c>
      <c r="B46" s="78"/>
      <c r="C46" s="78"/>
      <c r="D46" s="294">
        <f>IF('Customer Info'!C35=TRUE,0,$D$27)</f>
        <v>0</v>
      </c>
      <c r="E46" s="101" t="s">
        <v>45</v>
      </c>
      <c r="F46" s="102" t="s">
        <v>8</v>
      </c>
      <c r="G46" s="103"/>
      <c r="H46" s="103"/>
      <c r="I46" s="239">
        <f>'Rider Rates'!$B$85</f>
        <v>0</v>
      </c>
      <c r="J46" s="239">
        <f>SUM(G46:I46)</f>
        <v>0</v>
      </c>
      <c r="K46" s="104" t="s">
        <v>42</v>
      </c>
      <c r="L46" s="105"/>
      <c r="M46" s="105"/>
      <c r="N46" s="87">
        <f>ROUND($D46*I46,2)</f>
        <v>0</v>
      </c>
      <c r="O46" s="209">
        <f>SUM(L46:N46)</f>
        <v>0</v>
      </c>
      <c r="P46" s="245">
        <v>44531</v>
      </c>
      <c r="Q46" s="107"/>
      <c r="R46" s="108"/>
      <c r="S46" s="109"/>
      <c r="T46" s="78"/>
      <c r="U46" s="110"/>
      <c r="V46" s="78"/>
      <c r="W46" s="78"/>
      <c r="X46" s="78"/>
      <c r="Y46" s="78"/>
      <c r="Z46" s="78"/>
      <c r="AA46" s="78"/>
      <c r="AB46" s="78"/>
      <c r="AC46" s="78"/>
      <c r="AD46" s="78"/>
      <c r="AE46" s="78"/>
      <c r="AF46" s="294"/>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5">
      <c r="A47" s="99" t="s">
        <v>80</v>
      </c>
      <c r="B47" s="78"/>
      <c r="C47" s="78"/>
      <c r="D47" s="296">
        <f>$N$29</f>
        <v>825</v>
      </c>
      <c r="E47" s="101" t="s">
        <v>121</v>
      </c>
      <c r="F47" s="102" t="s">
        <v>8</v>
      </c>
      <c r="G47" s="111"/>
      <c r="H47" s="112"/>
      <c r="I47" s="120">
        <f>'Rider Rates'!$B$89</f>
        <v>4.94232E-2</v>
      </c>
      <c r="J47" s="120">
        <f>SUM(H47:I47)</f>
        <v>4.94232E-2</v>
      </c>
      <c r="K47" s="104"/>
      <c r="L47" s="105"/>
      <c r="M47" s="105"/>
      <c r="N47" s="105">
        <f>ROUND(N$29*I47,2)</f>
        <v>40.770000000000003</v>
      </c>
      <c r="O47" s="209">
        <f t="shared" si="1"/>
        <v>40.770000000000003</v>
      </c>
      <c r="P47" s="245">
        <f>'Rider Rates'!$D$89</f>
        <v>45562</v>
      </c>
      <c r="Q47" s="107"/>
      <c r="R47" s="108"/>
      <c r="S47" s="109"/>
      <c r="T47" s="78"/>
      <c r="U47" s="110"/>
      <c r="V47" s="78"/>
      <c r="W47" s="78"/>
      <c r="X47" s="78"/>
      <c r="Y47" s="78"/>
      <c r="Z47" s="78"/>
      <c r="AA47" s="78"/>
      <c r="AB47" s="78"/>
      <c r="AC47" s="78"/>
      <c r="AD47" s="78"/>
      <c r="AE47" s="78"/>
      <c r="AF47" s="276"/>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5">
      <c r="A48" s="99" t="s">
        <v>81</v>
      </c>
      <c r="B48" s="78"/>
      <c r="C48" s="78"/>
      <c r="D48" s="296">
        <f>$N$29</f>
        <v>825</v>
      </c>
      <c r="E48" s="101" t="s">
        <v>121</v>
      </c>
      <c r="F48" s="102" t="s">
        <v>8</v>
      </c>
      <c r="G48" s="114"/>
      <c r="H48" s="115"/>
      <c r="I48" s="120">
        <f>'Rider Rates'!$B$91</f>
        <v>6.6985699999999995E-2</v>
      </c>
      <c r="J48" s="120">
        <f>SUM(H48:I48)</f>
        <v>6.6985699999999995E-2</v>
      </c>
      <c r="K48" s="104"/>
      <c r="L48" s="105"/>
      <c r="M48" s="105"/>
      <c r="N48" s="105">
        <f>ROUND(N$29*I48,2)</f>
        <v>55.26</v>
      </c>
      <c r="O48" s="209">
        <f t="shared" si="1"/>
        <v>55.26</v>
      </c>
      <c r="P48" s="245">
        <f>'Rider Rates'!$D$91</f>
        <v>45167</v>
      </c>
      <c r="Q48" s="107"/>
      <c r="R48" s="108"/>
      <c r="S48" s="109"/>
      <c r="T48" s="78"/>
      <c r="U48" s="110"/>
      <c r="V48" s="78"/>
      <c r="W48" s="78"/>
      <c r="X48" s="78"/>
      <c r="Y48" s="78"/>
      <c r="Z48" s="78"/>
      <c r="AA48" s="78"/>
      <c r="AB48" s="78"/>
      <c r="AC48" s="78"/>
      <c r="AD48" s="78"/>
      <c r="AE48" s="78"/>
      <c r="AF48" s="276"/>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5">
      <c r="A49" s="210" t="s">
        <v>214</v>
      </c>
      <c r="B49" s="78"/>
      <c r="C49" s="78"/>
      <c r="D49" s="297"/>
      <c r="E49" s="113" t="s">
        <v>114</v>
      </c>
      <c r="F49" s="106"/>
      <c r="G49" s="114"/>
      <c r="H49" s="115"/>
      <c r="I49" s="196">
        <f>'Rider Rates'!$B$95</f>
        <v>17.12</v>
      </c>
      <c r="J49" s="196">
        <f>SUM(G49:I49)</f>
        <v>17.12</v>
      </c>
      <c r="K49" s="104"/>
      <c r="L49" s="105"/>
      <c r="M49" s="105"/>
      <c r="N49" s="105">
        <f>I49</f>
        <v>17.12</v>
      </c>
      <c r="O49" s="105">
        <f>SUM(L49:N49)</f>
        <v>17.12</v>
      </c>
      <c r="P49" s="245">
        <f>'Rider Rates'!$D$95</f>
        <v>45562</v>
      </c>
      <c r="AF49" s="226"/>
    </row>
    <row r="50" spans="1:221" x14ac:dyDescent="0.25">
      <c r="A50" s="241" t="s">
        <v>261</v>
      </c>
      <c r="B50" s="78"/>
      <c r="C50" s="78"/>
      <c r="D50" s="295">
        <f>$D$33</f>
        <v>0</v>
      </c>
      <c r="E50" s="101" t="s">
        <v>41</v>
      </c>
      <c r="F50" s="102" t="s">
        <v>8</v>
      </c>
      <c r="G50" s="103"/>
      <c r="H50" s="103"/>
      <c r="I50" s="103"/>
      <c r="J50" s="103">
        <f>'Rider Rates'!$B$100</f>
        <v>0</v>
      </c>
      <c r="K50" s="104" t="s">
        <v>42</v>
      </c>
      <c r="L50" s="105"/>
      <c r="M50" s="105"/>
      <c r="N50" s="87"/>
      <c r="O50" s="105">
        <f>ROUND($D50*('Rider Rates'!B$100),2)</f>
        <v>0</v>
      </c>
      <c r="P50" s="245">
        <f>'Rider Rates'!$D$100</f>
        <v>44531</v>
      </c>
      <c r="Q50" s="106"/>
      <c r="R50" s="107"/>
      <c r="S50" s="108"/>
      <c r="T50" s="109"/>
      <c r="U50" s="78"/>
      <c r="V50" s="110"/>
      <c r="W50" s="78"/>
      <c r="X50" s="78"/>
      <c r="Y50" s="78"/>
      <c r="Z50" s="78"/>
      <c r="AA50" s="78"/>
      <c r="AB50" s="78"/>
      <c r="AC50" s="78"/>
      <c r="AD50" s="78"/>
      <c r="AE50" s="78"/>
      <c r="AF50" s="276"/>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262</v>
      </c>
      <c r="B51" s="78"/>
      <c r="C51" s="78"/>
      <c r="D51" s="1">
        <f>$D$34</f>
        <v>0</v>
      </c>
      <c r="E51" s="101" t="s">
        <v>41</v>
      </c>
      <c r="F51" s="102" t="s">
        <v>8</v>
      </c>
      <c r="G51" s="103"/>
      <c r="H51" s="103"/>
      <c r="I51" s="103"/>
      <c r="J51" s="103">
        <f>'Rider Rates'!$B$101</f>
        <v>0</v>
      </c>
      <c r="K51" s="104" t="s">
        <v>42</v>
      </c>
      <c r="L51" s="105"/>
      <c r="M51" s="105"/>
      <c r="N51" s="87"/>
      <c r="O51" s="105">
        <f>ROUND($D51*('Rider Rates'!B$101),2)</f>
        <v>0</v>
      </c>
      <c r="P51" s="245">
        <f>'Rider Rates'!$D$101</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99" t="s">
        <v>156</v>
      </c>
      <c r="B52" s="78"/>
      <c r="C52" s="78"/>
      <c r="D52" s="208">
        <f>$N$29</f>
        <v>825</v>
      </c>
      <c r="E52" s="101" t="s">
        <v>121</v>
      </c>
      <c r="F52" s="102" t="s">
        <v>8</v>
      </c>
      <c r="G52" s="114"/>
      <c r="H52" s="115"/>
      <c r="I52" s="120">
        <f>'Rider Rates'!$B$109</f>
        <v>0.211176</v>
      </c>
      <c r="J52" s="120">
        <f>SUM(H52:I52)</f>
        <v>0.211176</v>
      </c>
      <c r="K52" s="104"/>
      <c r="L52" s="105"/>
      <c r="M52" s="105"/>
      <c r="N52" s="105">
        <f>ROUND(N$29*I52,2)</f>
        <v>174.22</v>
      </c>
      <c r="O52" s="105">
        <f t="shared" si="1"/>
        <v>174.22</v>
      </c>
      <c r="P52" s="245">
        <f>'Rider Rates'!$D$109</f>
        <v>45532</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10" t="s">
        <v>217</v>
      </c>
      <c r="B53" s="78"/>
      <c r="C53" s="78"/>
      <c r="D53" s="195"/>
      <c r="E53" s="113" t="s">
        <v>114</v>
      </c>
      <c r="F53" s="106"/>
      <c r="G53" s="114"/>
      <c r="H53" s="115"/>
      <c r="I53" s="196">
        <f>'Rider Rates'!$B$113</f>
        <v>0</v>
      </c>
      <c r="J53" s="196">
        <f>SUM(G53:I53)</f>
        <v>0</v>
      </c>
      <c r="K53" s="104"/>
      <c r="L53" s="105"/>
      <c r="M53" s="105"/>
      <c r="N53" s="105">
        <f>I53</f>
        <v>0</v>
      </c>
      <c r="O53" s="105">
        <f t="shared" ref="O53:O58" si="2">SUM(L53:N53)</f>
        <v>0</v>
      </c>
      <c r="P53" s="245">
        <f>'Rider Rates'!$D$113</f>
        <v>44894</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225</v>
      </c>
      <c r="B54" s="78"/>
      <c r="C54" s="78"/>
      <c r="D54" s="195"/>
      <c r="E54" s="113" t="s">
        <v>114</v>
      </c>
      <c r="F54" s="106"/>
      <c r="G54" s="114"/>
      <c r="H54" s="115"/>
      <c r="I54" s="258">
        <f>'Rider Rates'!B126</f>
        <v>4.84</v>
      </c>
      <c r="J54" s="196">
        <f>SUM(G54:I54)</f>
        <v>4.84</v>
      </c>
      <c r="K54" s="104"/>
      <c r="L54" s="105"/>
      <c r="M54" s="105"/>
      <c r="N54" s="260">
        <f>I54</f>
        <v>4.84</v>
      </c>
      <c r="O54" s="105">
        <f t="shared" si="2"/>
        <v>4.84</v>
      </c>
      <c r="P54" s="245">
        <f>'Rider Rates'!D126</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99" t="s">
        <v>157</v>
      </c>
      <c r="B55" s="78"/>
      <c r="C55" s="78"/>
      <c r="D55" s="100">
        <f>IF('Customer Info'!$C$33=TRUE,0,'Customer Info'!$B$22+'Customer Info'!$B$23-'Customer Info'!$B$24)</f>
        <v>0</v>
      </c>
      <c r="E55" s="101" t="s">
        <v>41</v>
      </c>
      <c r="F55" s="102" t="s">
        <v>8</v>
      </c>
      <c r="G55" s="103">
        <f>'Rider Rates'!$B$118</f>
        <v>3.6865999999999999E-3</v>
      </c>
      <c r="H55" s="103"/>
      <c r="I55" s="120"/>
      <c r="J55" s="237">
        <f>SUM(G55:H55)</f>
        <v>3.6865999999999999E-3</v>
      </c>
      <c r="K55" s="104" t="s">
        <v>42</v>
      </c>
      <c r="L55" s="105">
        <f>ROUND(D55*G55,2)</f>
        <v>0</v>
      </c>
      <c r="M55" s="105"/>
      <c r="N55" s="105"/>
      <c r="O55" s="105">
        <f t="shared" si="2"/>
        <v>0</v>
      </c>
      <c r="P55" s="245">
        <f>'Rider Rates'!$D$118</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10" t="s">
        <v>216</v>
      </c>
      <c r="B56" s="78"/>
      <c r="C56" s="78"/>
      <c r="D56" s="1">
        <f>IF($C$16&lt;1,0,$C$16)</f>
        <v>0</v>
      </c>
      <c r="E56" s="101" t="s">
        <v>41</v>
      </c>
      <c r="F56" s="249" t="s">
        <v>8</v>
      </c>
      <c r="G56" s="165"/>
      <c r="H56" s="165"/>
      <c r="I56" s="251">
        <f>'Rider Rates'!B122</f>
        <v>-6.2E-4</v>
      </c>
      <c r="J56" s="251">
        <f>SUM(G56:I56)</f>
        <v>-6.2E-4</v>
      </c>
      <c r="K56" s="104" t="s">
        <v>42</v>
      </c>
      <c r="L56" s="105"/>
      <c r="M56" s="105"/>
      <c r="N56" s="105">
        <f>D56*I56</f>
        <v>0</v>
      </c>
      <c r="O56" s="105">
        <f t="shared" si="2"/>
        <v>0</v>
      </c>
      <c r="P56" s="245">
        <f>'Rider Rates'!D122</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78" t="s">
        <v>241</v>
      </c>
      <c r="B57" s="78"/>
      <c r="C57" s="78"/>
      <c r="D57" s="100">
        <f>IF(C16&lt;0,0,IF(C16&gt;833000,833000,C16))</f>
        <v>0</v>
      </c>
      <c r="E57" s="101" t="s">
        <v>41</v>
      </c>
      <c r="F57" s="102" t="s">
        <v>8</v>
      </c>
      <c r="G57" s="265"/>
      <c r="H57" s="265"/>
      <c r="I57" s="265">
        <f>'Rider Rates'!$B$130</f>
        <v>2.9050000000000001E-4</v>
      </c>
      <c r="J57" s="265">
        <f>SUM(G57:I57)</f>
        <v>2.9050000000000001E-4</v>
      </c>
      <c r="K57" s="104" t="s">
        <v>42</v>
      </c>
      <c r="L57" s="266"/>
      <c r="M57" s="266"/>
      <c r="N57" s="266">
        <f>IF(D57*J57&gt;'Rider Rates'!$C$130,'Rider Rates'!$C$130,D57*J57)</f>
        <v>0</v>
      </c>
      <c r="O57" s="266">
        <f t="shared" si="2"/>
        <v>0</v>
      </c>
      <c r="P57" s="264">
        <f>'Rider Rates'!$E$130</f>
        <v>45292</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78" t="s">
        <v>242</v>
      </c>
      <c r="B58" s="78"/>
      <c r="C58" s="78"/>
      <c r="D58" s="123">
        <f>IF(C16&gt;833000,C16-833000,0)</f>
        <v>0</v>
      </c>
      <c r="E58" s="101" t="s">
        <v>41</v>
      </c>
      <c r="F58" s="102" t="s">
        <v>8</v>
      </c>
      <c r="G58" s="265"/>
      <c r="H58" s="265"/>
      <c r="I58" s="265">
        <f>'Rider Rates'!$B$131</f>
        <v>0</v>
      </c>
      <c r="J58" s="265">
        <f>SUM(G58:I58)</f>
        <v>0</v>
      </c>
      <c r="K58" s="104" t="s">
        <v>42</v>
      </c>
      <c r="L58" s="266"/>
      <c r="M58" s="266"/>
      <c r="N58" s="266">
        <f>D58*J58</f>
        <v>0</v>
      </c>
      <c r="O58" s="266">
        <f t="shared" si="2"/>
        <v>0</v>
      </c>
      <c r="P58" s="264">
        <f>'Rider Rates'!$E$131</f>
        <v>44927</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250</v>
      </c>
      <c r="B59" s="78"/>
      <c r="C59" s="78"/>
      <c r="D59" s="100">
        <f>D16</f>
        <v>0</v>
      </c>
      <c r="E59" s="101" t="s">
        <v>41</v>
      </c>
      <c r="F59" s="249" t="s">
        <v>8</v>
      </c>
      <c r="G59" s="103"/>
      <c r="H59" s="103"/>
      <c r="I59" s="103">
        <f>'Rider Rates'!$B$137</f>
        <v>0</v>
      </c>
      <c r="J59" s="237">
        <f>SUM(G59:I59)</f>
        <v>0</v>
      </c>
      <c r="K59" s="104" t="s">
        <v>42</v>
      </c>
      <c r="L59" s="105"/>
      <c r="M59" s="105"/>
      <c r="N59" s="105">
        <f>D59*J59</f>
        <v>0</v>
      </c>
      <c r="O59" s="105">
        <f>SUM(L59:N59)</f>
        <v>0</v>
      </c>
      <c r="P59" s="245">
        <f>'Rider Rates'!$D$135</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249</v>
      </c>
      <c r="B60" s="78"/>
      <c r="C60" s="78"/>
      <c r="D60" s="100"/>
      <c r="E60" s="101" t="s">
        <v>114</v>
      </c>
      <c r="F60" s="102" t="s">
        <v>8</v>
      </c>
      <c r="G60" s="263"/>
      <c r="H60" s="263"/>
      <c r="I60" s="263">
        <f>'Rider Rates'!$B$142</f>
        <v>0</v>
      </c>
      <c r="J60" s="263">
        <f>SUM(G60:I60)</f>
        <v>0</v>
      </c>
      <c r="K60" s="104"/>
      <c r="L60" s="209"/>
      <c r="M60" s="209"/>
      <c r="N60" s="209">
        <f>J60</f>
        <v>0</v>
      </c>
      <c r="O60" s="209">
        <f>SUM(L60:N60)</f>
        <v>0</v>
      </c>
      <c r="P60" s="264">
        <f>'Rider Rates'!$D$142</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241" t="s">
        <v>251</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179" t="s">
        <v>70</v>
      </c>
      <c r="B62" s="148"/>
      <c r="C62" s="148"/>
      <c r="D62" s="180"/>
      <c r="E62" s="181"/>
      <c r="F62" s="182"/>
      <c r="G62" s="182"/>
      <c r="H62" s="182"/>
      <c r="I62" s="182"/>
      <c r="J62" s="182"/>
      <c r="K62" s="183"/>
      <c r="L62" s="169">
        <f>SUM(L33:L61)</f>
        <v>0</v>
      </c>
      <c r="M62" s="169">
        <f>SUM(M33:M61)</f>
        <v>0</v>
      </c>
      <c r="N62" s="169">
        <f>SUM(N33:N61)</f>
        <v>292.20999999999998</v>
      </c>
      <c r="O62" s="169">
        <f>SUM(O33:O61)</f>
        <v>292.20999999999998</v>
      </c>
      <c r="P62" s="184"/>
    </row>
    <row r="63" spans="1:221" x14ac:dyDescent="0.25">
      <c r="A63" s="37"/>
      <c r="D63" s="1"/>
      <c r="E63" s="35"/>
      <c r="F63" s="4"/>
      <c r="G63" s="42"/>
      <c r="H63" s="42"/>
      <c r="I63" s="42"/>
      <c r="J63" s="42"/>
      <c r="K63" s="36"/>
      <c r="L63" s="36"/>
      <c r="M63" s="36"/>
      <c r="N63" s="36"/>
      <c r="O63" s="34"/>
      <c r="P63" s="36"/>
    </row>
    <row r="64" spans="1:221" x14ac:dyDescent="0.25">
      <c r="A64" s="81" t="s">
        <v>71</v>
      </c>
      <c r="B64" s="92"/>
      <c r="C64" s="92"/>
      <c r="D64" s="92"/>
      <c r="E64" s="92"/>
      <c r="F64" s="92"/>
      <c r="G64" s="92"/>
      <c r="H64" s="92"/>
      <c r="I64" s="92"/>
      <c r="J64" s="92"/>
      <c r="K64" s="92"/>
      <c r="L64" s="98">
        <f>L29+L62</f>
        <v>0</v>
      </c>
      <c r="M64" s="98">
        <f>M29+M62</f>
        <v>0</v>
      </c>
      <c r="N64" s="98">
        <f>N29+N62</f>
        <v>1117.21</v>
      </c>
      <c r="O64" s="98">
        <f>O29+O62</f>
        <v>1117.21</v>
      </c>
      <c r="P64" s="98"/>
    </row>
    <row r="65" spans="1:16" x14ac:dyDescent="0.25">
      <c r="A65" s="37"/>
      <c r="B65" s="37"/>
      <c r="C65" s="37"/>
      <c r="D65" s="37"/>
      <c r="E65" s="37"/>
      <c r="F65" s="37"/>
      <c r="G65" s="37"/>
      <c r="H65" s="37"/>
      <c r="I65" s="37"/>
      <c r="J65" s="37"/>
      <c r="K65" s="37"/>
      <c r="L65" s="37"/>
      <c r="M65" s="37"/>
      <c r="N65" s="37"/>
      <c r="O65" s="40"/>
      <c r="P65" s="40"/>
    </row>
    <row r="66" spans="1:16" x14ac:dyDescent="0.25">
      <c r="A66" s="37" t="s">
        <v>37</v>
      </c>
      <c r="B66" s="37"/>
      <c r="C66" s="37"/>
      <c r="D66" s="37"/>
      <c r="E66" s="37"/>
      <c r="F66" s="37"/>
      <c r="G66" s="37"/>
      <c r="H66" s="37"/>
      <c r="I66" s="37"/>
      <c r="J66" s="37"/>
      <c r="K66" s="37"/>
      <c r="L66" s="37"/>
      <c r="M66" s="37"/>
      <c r="N66" s="37"/>
      <c r="O66" s="45">
        <f>O25+O27+O62</f>
        <v>1117.21</v>
      </c>
      <c r="P66" s="245">
        <v>40967</v>
      </c>
    </row>
    <row r="67" spans="1:16" x14ac:dyDescent="0.25">
      <c r="A67" s="37"/>
      <c r="B67" s="37"/>
      <c r="C67" s="37"/>
      <c r="D67" s="37"/>
      <c r="E67" s="37"/>
      <c r="F67" s="37"/>
      <c r="G67" s="46"/>
      <c r="H67" s="46"/>
      <c r="I67" s="46"/>
      <c r="J67" s="46"/>
      <c r="K67" s="36"/>
      <c r="L67" s="36"/>
      <c r="M67" s="36"/>
      <c r="N67" s="36"/>
      <c r="O67" s="40"/>
    </row>
    <row r="68" spans="1:16" x14ac:dyDescent="0.25">
      <c r="A68" s="41" t="s">
        <v>116</v>
      </c>
      <c r="B68" s="37"/>
      <c r="C68" s="37"/>
      <c r="D68" s="37"/>
      <c r="E68" s="37"/>
      <c r="F68" s="37"/>
      <c r="G68" s="46"/>
      <c r="H68" s="46"/>
      <c r="I68" s="46"/>
      <c r="J68" s="46"/>
      <c r="K68" s="36"/>
      <c r="L68" s="36"/>
      <c r="M68" s="36"/>
      <c r="N68" s="36"/>
      <c r="O68" s="138">
        <f>MAX($O$64,$O$66)</f>
        <v>1117.21</v>
      </c>
    </row>
    <row r="69" spans="1:16" x14ac:dyDescent="0.25">
      <c r="A69" s="37"/>
      <c r="B69" s="37"/>
      <c r="C69" s="37"/>
      <c r="D69" s="37"/>
      <c r="E69" s="37"/>
      <c r="F69" s="37"/>
      <c r="G69" s="46"/>
      <c r="H69" s="46"/>
      <c r="I69" s="46"/>
      <c r="J69" s="46"/>
      <c r="K69" s="36"/>
      <c r="L69" s="36"/>
      <c r="M69" s="36"/>
      <c r="N69" s="36"/>
      <c r="O69" s="40"/>
    </row>
    <row r="70" spans="1:16" x14ac:dyDescent="0.25">
      <c r="A70" s="37"/>
      <c r="B70" s="37"/>
      <c r="C70" s="37"/>
      <c r="D70" s="37"/>
      <c r="E70" s="37"/>
      <c r="F70" s="37"/>
      <c r="G70" s="96" t="s">
        <v>85</v>
      </c>
      <c r="H70" s="46"/>
      <c r="I70" s="37"/>
      <c r="J70" s="46"/>
      <c r="K70" s="36"/>
      <c r="L70" s="191"/>
      <c r="M70" s="191"/>
      <c r="N70" s="191"/>
      <c r="O70" s="191">
        <f>ROUND(IF($C$16&lt;1,0,$O$68/($C$16*100)*10000),2)</f>
        <v>0</v>
      </c>
      <c r="P70" s="37" t="s">
        <v>86</v>
      </c>
    </row>
    <row r="71" spans="1:16" x14ac:dyDescent="0.25">
      <c r="A71" s="37"/>
      <c r="B71" s="37"/>
      <c r="C71" s="37"/>
      <c r="D71" s="37"/>
      <c r="E71" s="37"/>
      <c r="F71" s="37"/>
      <c r="G71" s="242" t="s">
        <v>198</v>
      </c>
      <c r="H71" s="136"/>
      <c r="I71" s="133"/>
      <c r="J71" s="136"/>
      <c r="K71" s="137"/>
      <c r="L71" s="78"/>
      <c r="M71" s="78"/>
      <c r="N71" s="78"/>
      <c r="O71" s="243">
        <f>ROUND(IF($C$16&lt;1,0,(L64)/($C$16*100)*10000),2)</f>
        <v>0</v>
      </c>
      <c r="P71" s="25" t="s">
        <v>86</v>
      </c>
    </row>
    <row r="72" spans="1:16" x14ac:dyDescent="0.25">
      <c r="A72" s="37"/>
      <c r="B72" s="37"/>
      <c r="C72" s="37"/>
      <c r="D72" s="37"/>
      <c r="E72" s="37"/>
      <c r="F72" s="37"/>
      <c r="G72" s="96"/>
      <c r="H72" s="46"/>
      <c r="I72" s="96"/>
      <c r="J72" s="46"/>
      <c r="K72" s="36"/>
      <c r="L72" s="36"/>
      <c r="M72" s="36"/>
      <c r="N72" s="36"/>
      <c r="O72" s="130"/>
      <c r="P72" s="37"/>
    </row>
    <row r="73" spans="1:16" ht="20.25" customHeight="1" x14ac:dyDescent="0.4">
      <c r="A73" s="3"/>
      <c r="B73" s="37"/>
      <c r="C73" s="37"/>
      <c r="D73" s="228" t="str">
        <f>IF('Customer Info'!$C$33=TRUE,"Notice: Billing Charge does not include Self Assessed KWH Tax"," ")</f>
        <v xml:space="preserve"> </v>
      </c>
      <c r="E73" s="3"/>
      <c r="F73" s="4"/>
      <c r="G73" s="121"/>
      <c r="H73" s="55"/>
      <c r="I73" s="34"/>
      <c r="J73" s="55"/>
      <c r="K73" s="37"/>
      <c r="L73" s="37"/>
      <c r="M73" s="37"/>
      <c r="N73" s="34"/>
    </row>
    <row r="74" spans="1:16" x14ac:dyDescent="0.25">
      <c r="A74" s="37"/>
      <c r="B74" s="37"/>
      <c r="C74" s="37"/>
      <c r="D74" s="54"/>
      <c r="E74" s="3"/>
      <c r="F74" s="4"/>
      <c r="G74" s="55"/>
      <c r="H74" s="55"/>
      <c r="I74" s="93"/>
      <c r="J74" s="55"/>
      <c r="K74" s="37"/>
      <c r="L74" s="37"/>
      <c r="M74" s="37"/>
      <c r="N74" s="37"/>
      <c r="O74" s="40"/>
    </row>
    <row r="75" spans="1:16" x14ac:dyDescent="0.25">
      <c r="A75" s="37"/>
      <c r="B75" s="37"/>
      <c r="C75" s="37"/>
      <c r="D75" s="54"/>
      <c r="E75" s="3"/>
      <c r="F75" s="4"/>
      <c r="G75" s="55"/>
      <c r="H75" s="55"/>
      <c r="I75" s="55"/>
      <c r="J75" s="55"/>
      <c r="K75" s="37"/>
      <c r="L75" s="37"/>
      <c r="M75" s="37"/>
      <c r="N75" s="37"/>
      <c r="O75" s="40"/>
    </row>
    <row r="76" spans="1:16" x14ac:dyDescent="0.25">
      <c r="A76" s="41"/>
      <c r="B76" s="37"/>
      <c r="C76" s="37"/>
      <c r="D76" s="37"/>
      <c r="E76" s="37"/>
      <c r="F76" s="37"/>
      <c r="G76" s="37"/>
      <c r="H76" s="37"/>
      <c r="J76" s="37"/>
      <c r="K76" s="37"/>
      <c r="L76" s="40"/>
      <c r="M76" s="40"/>
      <c r="N76" s="40"/>
      <c r="O76" s="138"/>
    </row>
    <row r="77" spans="1:16" x14ac:dyDescent="0.25">
      <c r="B77" s="37"/>
      <c r="C77" s="37"/>
      <c r="D77" s="37"/>
      <c r="E77" s="37"/>
      <c r="F77" s="37"/>
      <c r="G77" s="96"/>
      <c r="H77" s="37"/>
      <c r="I77" s="37"/>
      <c r="J77" s="37"/>
      <c r="K77" s="37"/>
      <c r="L77" s="60"/>
      <c r="M77" s="60"/>
      <c r="N77" s="60"/>
      <c r="O77" s="130"/>
      <c r="P77" s="37"/>
    </row>
    <row r="78" spans="1:16" x14ac:dyDescent="0.25">
      <c r="G78" s="133"/>
      <c r="H78" s="56"/>
      <c r="I78" s="133"/>
      <c r="J78" s="56"/>
      <c r="K78" s="56"/>
      <c r="L78" s="134"/>
      <c r="M78" s="134"/>
      <c r="N78" s="134"/>
      <c r="O78" s="135"/>
      <c r="P78" s="25"/>
    </row>
    <row r="80" spans="1:1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row r="90" spans="1:1" x14ac:dyDescent="0.25">
      <c r="A90" s="550"/>
    </row>
    <row r="91" spans="1:1" x14ac:dyDescent="0.25">
      <c r="A91" s="550"/>
    </row>
    <row r="92" spans="1:1" x14ac:dyDescent="0.25">
      <c r="A92" s="550"/>
    </row>
    <row r="93" spans="1:1" x14ac:dyDescent="0.25">
      <c r="A93" s="550"/>
    </row>
    <row r="94" spans="1:1" x14ac:dyDescent="0.25">
      <c r="A94" s="550"/>
    </row>
  </sheetData>
  <sheetProtection algorithmName="SHA-512" hashValue="o1bzU6sh7bDZJlTchMQW+vtS6TzRlj8gzak2w+EwWcLG9wpkzHT9b+rJuNsEZEuk3fYYVawtdq9uhkClHRWjhw==" saltValue="91oRJy1/d07DDs8G0vztwA==" spinCount="100000" sheet="1" objects="1" scenarios="1"/>
  <mergeCells count="26">
    <mergeCell ref="A80:A94"/>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6"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Button 1">
              <controlPr defaultSize="0" print="0" autoFill="0" autoPict="0" macro="[0]!Info">
                <anchor moveWithCells="1">
                  <from>
                    <xdr:col>0</xdr:col>
                    <xdr:colOff>30480</xdr:colOff>
                    <xdr:row>0</xdr:row>
                    <xdr:rowOff>30480</xdr:rowOff>
                  </from>
                  <to>
                    <xdr:col>0</xdr:col>
                    <xdr:colOff>373380</xdr:colOff>
                    <xdr:row>1</xdr:row>
                    <xdr:rowOff>30480</xdr:rowOff>
                  </to>
                </anchor>
              </controlPr>
            </control>
          </mc:Choice>
        </mc:AlternateContent>
        <mc:AlternateContent xmlns:mc="http://schemas.openxmlformats.org/markup-compatibility/2006">
          <mc:Choice Requires="x14">
            <control shapeId="77826" r:id="rId5" name="Button 2">
              <controlPr defaultSize="0" print="0" autoFill="0" autoPict="0" macro="[0]!Info">
                <anchor moveWithCells="1">
                  <from>
                    <xdr:col>15</xdr:col>
                    <xdr:colOff>274320</xdr:colOff>
                    <xdr:row>88</xdr:row>
                    <xdr:rowOff>45720</xdr:rowOff>
                  </from>
                  <to>
                    <xdr:col>16</xdr:col>
                    <xdr:colOff>30480</xdr:colOff>
                    <xdr:row>89</xdr:row>
                    <xdr:rowOff>83820</xdr:rowOff>
                  </to>
                </anchor>
              </controlPr>
            </control>
          </mc:Choice>
        </mc:AlternateContent>
        <mc:AlternateContent xmlns:mc="http://schemas.openxmlformats.org/markup-compatibility/2006">
          <mc:Choice Requires="x14">
            <control shapeId="77827"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7828"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7829" r:id="rId8" name="Button 5">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7830" r:id="rId9" name="Button 6">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7831" r:id="rId10" name="Button 7">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77832" r:id="rId11" name="Button 8">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77833" r:id="rId12" name="Button 9">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77834" r:id="rId13" name="Button 10">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77835" r:id="rId14" name="Button 11">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77836" r:id="rId15" name="Button 12">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77837" r:id="rId16" name="Button 13">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77838" r:id="rId17" name="Button 14">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77839" r:id="rId18" name="Button 15">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77840" r:id="rId19" name="Button 16">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77841" r:id="rId20" name="Button 17">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77842" r:id="rId21" name="Button 18">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77843" r:id="rId22" name="Button 19">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77844" r:id="rId23" name="Button 20">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77845" r:id="rId24" name="Button 21">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77846" r:id="rId25" name="Button 22">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77847" r:id="rId26" name="Button 23">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77848" r:id="rId27" name="Button 24">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77849" r:id="rId28" name="Button 25">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77850" r:id="rId29" name="Button 26">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77851" r:id="rId30" name="Button 27">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77852" r:id="rId31" name="Button 28">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77853" r:id="rId32" name="Button 29">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77854" r:id="rId33" name="Button 30">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77855" r:id="rId34" name="Button 31">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77856" r:id="rId35" name="Button 32">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77857" r:id="rId36" name="Button 33">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77858" r:id="rId37" name="Button 34">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77859" r:id="rId38" name="Button 35">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77860" r:id="rId39" name="Button 36">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77861" r:id="rId40" name="Button 37">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77862" r:id="rId41" name="Button 38">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77863" r:id="rId42" name="Button 39">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77864" r:id="rId43" name="Button 40">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77865" r:id="rId44" name="Button 41">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77866" r:id="rId45" name="Button 42">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77867" r:id="rId46" name="Button 43">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77868" r:id="rId47" name="Button 44">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77869" r:id="rId48" name="Button 45">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77870" r:id="rId49" name="Button 46">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77871" r:id="rId50" name="Button 47">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77872" r:id="rId51" name="Button 48">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77873" r:id="rId52" name="Button 49">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77874" r:id="rId53" name="Button 50">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77875" r:id="rId54" name="Button 51">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77876" r:id="rId55" name="Button 52">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77877" r:id="rId56" name="Button 53">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77878" r:id="rId57" name="Button 54">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77879" r:id="rId58" name="Button 55">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77880" r:id="rId59" name="Button 56">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77881" r:id="rId60" name="Button 57">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77882" r:id="rId61" name="Button 58">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IB89"/>
  <sheetViews>
    <sheetView showGridLines="0" topLeftCell="A19" zoomScale="80" zoomScaleNormal="80" workbookViewId="0">
      <selection activeCell="J48" sqref="J48"/>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552" t="s">
        <v>119</v>
      </c>
      <c r="B1" s="552"/>
      <c r="C1" s="552"/>
      <c r="D1" s="552"/>
      <c r="E1" s="552"/>
      <c r="F1" s="552"/>
      <c r="G1" s="552"/>
      <c r="H1" s="552"/>
      <c r="I1" s="552"/>
      <c r="J1" s="552"/>
      <c r="K1" s="552"/>
      <c r="L1" s="552"/>
      <c r="M1" s="552"/>
      <c r="N1" s="552"/>
      <c r="O1" s="552"/>
      <c r="P1" s="552"/>
      <c r="Q1" s="197"/>
    </row>
    <row r="2" spans="1:59" ht="18" customHeight="1" x14ac:dyDescent="0.25">
      <c r="A2" s="561" t="s">
        <v>276</v>
      </c>
      <c r="B2" s="561"/>
      <c r="C2" s="561"/>
      <c r="D2" s="561"/>
      <c r="E2" s="561"/>
      <c r="F2" s="561"/>
      <c r="G2" s="561"/>
      <c r="H2" s="561"/>
      <c r="I2" s="561"/>
      <c r="J2" s="561"/>
      <c r="K2" s="561"/>
      <c r="L2" s="561"/>
      <c r="M2" s="561"/>
      <c r="N2" s="561"/>
      <c r="O2" s="561"/>
      <c r="P2" s="561"/>
    </row>
    <row r="3" spans="1:59" ht="17.399999999999999" x14ac:dyDescent="0.3">
      <c r="A3" s="561"/>
      <c r="B3" s="561"/>
      <c r="C3" s="561"/>
      <c r="D3" s="561"/>
      <c r="E3" s="561"/>
      <c r="F3" s="561"/>
      <c r="G3" s="561"/>
      <c r="H3" s="561"/>
      <c r="I3" s="561"/>
      <c r="J3" s="561"/>
      <c r="K3" s="561"/>
      <c r="L3" s="561"/>
      <c r="M3" s="561"/>
      <c r="N3" s="561"/>
      <c r="O3" s="561"/>
      <c r="P3" s="561"/>
      <c r="Q3" s="198"/>
    </row>
    <row r="4" spans="1:59" ht="15.6" x14ac:dyDescent="0.3">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5">
      <c r="A5" s="75"/>
      <c r="B5" s="75"/>
      <c r="C5" s="75"/>
      <c r="D5" s="75"/>
      <c r="E5" s="75"/>
      <c r="F5" s="75"/>
      <c r="G5" s="75"/>
      <c r="H5" s="75"/>
      <c r="I5" s="75"/>
      <c r="J5" s="75"/>
      <c r="K5" s="75"/>
      <c r="L5" s="75"/>
      <c r="M5" s="75"/>
      <c r="N5" s="75"/>
      <c r="O5" s="75"/>
      <c r="P5" s="75"/>
      <c r="Q5" s="75"/>
    </row>
    <row r="6" spans="1:59" x14ac:dyDescent="0.25">
      <c r="A6" s="76">
        <f ca="1">TODAY()</f>
        <v>45588</v>
      </c>
      <c r="B6" s="560" t="s">
        <v>275</v>
      </c>
      <c r="C6" s="560"/>
      <c r="D6" s="560"/>
      <c r="E6" s="560"/>
      <c r="F6" s="560"/>
      <c r="G6" s="560"/>
      <c r="H6" s="560"/>
      <c r="I6" s="560"/>
      <c r="J6" s="560"/>
      <c r="K6" s="560"/>
      <c r="L6" s="560"/>
      <c r="M6" s="560"/>
      <c r="N6" s="560"/>
      <c r="O6" s="560"/>
    </row>
    <row r="7" spans="1:59" x14ac:dyDescent="0.25">
      <c r="A7" s="551" t="s">
        <v>15</v>
      </c>
      <c r="B7" s="551"/>
      <c r="C7" s="551"/>
      <c r="D7" s="551"/>
      <c r="E7" s="551"/>
      <c r="F7" s="551"/>
      <c r="G7" s="551"/>
      <c r="H7" s="551"/>
      <c r="I7" s="551"/>
      <c r="J7" s="551"/>
      <c r="K7" s="551"/>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99</v>
      </c>
      <c r="B11" s="200">
        <f>'Customer Info'!B9</f>
        <v>11</v>
      </c>
      <c r="C11" s="194" t="str">
        <f>LOOKUP($B$11,$S$11:$AD$11,S12:AD12)</f>
        <v>November</v>
      </c>
      <c r="D11" s="133">
        <f>'Customer Info'!C9</f>
        <v>2024</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5">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5">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51</v>
      </c>
      <c r="B17" s="78"/>
      <c r="D17" s="154">
        <f>IF('Customer Info'!B22+'Customer Info'!B23-'Customer Info'!B24&lt;0,0,'Customer Info'!B22+'Customer Info'!B23-'Customer Info'!B24)</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185</v>
      </c>
      <c r="B26" s="78"/>
      <c r="C26" s="78"/>
      <c r="D26" s="1">
        <f>MAX($D$17,0)</f>
        <v>0</v>
      </c>
      <c r="E26" s="101" t="s">
        <v>41</v>
      </c>
      <c r="F26" s="106" t="s">
        <v>8</v>
      </c>
      <c r="G26" s="247"/>
      <c r="H26" s="163"/>
      <c r="I26" s="165">
        <v>2.6312499999999999E-2</v>
      </c>
      <c r="J26" s="103">
        <f>SUM(G26:I26)</f>
        <v>2.6312499999999999E-2</v>
      </c>
      <c r="K26" s="108" t="s">
        <v>91</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48" t="s">
        <v>69</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78</v>
      </c>
      <c r="B31" s="176"/>
      <c r="C31" s="176"/>
      <c r="D31" s="100">
        <f>IF($D$17&lt;0,0,IF($D$17&gt;833000,833000,$D$17))</f>
        <v>0</v>
      </c>
      <c r="E31" s="101" t="s">
        <v>41</v>
      </c>
      <c r="F31" s="102" t="s">
        <v>8</v>
      </c>
      <c r="G31" s="103"/>
      <c r="H31" s="103"/>
      <c r="I31" s="103">
        <f>'Rider Rates'!$B$4</f>
        <v>5.9216E-3</v>
      </c>
      <c r="J31" s="103">
        <f t="shared" ref="J31:J46" si="0">SUM(G31:I31)</f>
        <v>5.9216E-3</v>
      </c>
      <c r="K31" s="104" t="s">
        <v>42</v>
      </c>
      <c r="L31" s="105"/>
      <c r="M31" s="105"/>
      <c r="N31" s="105">
        <f t="shared" ref="N31:N37" si="1">ROUND(D31*I31,2)</f>
        <v>0</v>
      </c>
      <c r="O31" s="250">
        <f t="shared" ref="O31:O49" si="2">SUM(L31:N31)</f>
        <v>0</v>
      </c>
      <c r="P31" s="245">
        <f>'Rider Rates'!$D$4</f>
        <v>45293</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79</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96</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97</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98</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113</v>
      </c>
      <c r="B36" s="78"/>
      <c r="C36" s="78"/>
      <c r="D36" s="195">
        <f>$N$27</f>
        <v>10</v>
      </c>
      <c r="E36" s="101" t="s">
        <v>121</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245</v>
      </c>
      <c r="B38" s="78"/>
      <c r="C38" s="78"/>
      <c r="D38" s="195">
        <f>$N$27</f>
        <v>10</v>
      </c>
      <c r="E38" s="101" t="s">
        <v>121</v>
      </c>
      <c r="F38" s="102" t="s">
        <v>8</v>
      </c>
      <c r="G38" s="103"/>
      <c r="H38" s="103"/>
      <c r="I38" s="178">
        <f>'Rider Rates'!$B$18</f>
        <v>0</v>
      </c>
      <c r="J38" s="178">
        <f>SUM(G38:I38)</f>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41" t="s">
        <v>218</v>
      </c>
      <c r="B39" s="78"/>
      <c r="C39" s="78"/>
      <c r="D39" s="100"/>
      <c r="E39" s="101" t="s">
        <v>114</v>
      </c>
      <c r="F39" s="102"/>
      <c r="G39" s="103"/>
      <c r="H39" s="103"/>
      <c r="I39" s="103">
        <f>'Rider Rates'!D52</f>
        <v>1.39</v>
      </c>
      <c r="J39" s="237">
        <f>SUM(G39:I39)</f>
        <v>1.39</v>
      </c>
      <c r="K39" s="104"/>
      <c r="L39" s="105"/>
      <c r="M39" s="105"/>
      <c r="N39" s="105">
        <f>J39</f>
        <v>1.39</v>
      </c>
      <c r="O39" s="105">
        <f>SUM(L39:N39)</f>
        <v>1.39</v>
      </c>
      <c r="P39" s="245">
        <f>'Rider Rates'!E52</f>
        <v>45474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197</v>
      </c>
      <c r="B40" s="78"/>
      <c r="C40" s="78"/>
      <c r="D40" s="100">
        <f>IF($D$17&lt;0,0,$D$17)</f>
        <v>0</v>
      </c>
      <c r="E40" s="113" t="s">
        <v>41</v>
      </c>
      <c r="F40" s="102" t="s">
        <v>8</v>
      </c>
      <c r="G40" s="103"/>
      <c r="H40" s="103">
        <f>'Rider Rates'!$B$59</f>
        <v>4.3837099999999997E-2</v>
      </c>
      <c r="I40" s="103"/>
      <c r="J40" s="103">
        <f>SUM(G40:I40)</f>
        <v>4.3837099999999997E-2</v>
      </c>
      <c r="K40" s="104" t="s">
        <v>42</v>
      </c>
      <c r="L40" s="105"/>
      <c r="M40" s="105">
        <f>ROUND(D40*H40,2)</f>
        <v>0</v>
      </c>
      <c r="N40" s="205"/>
      <c r="O40" s="105">
        <f t="shared" si="2"/>
        <v>0</v>
      </c>
      <c r="P40" s="245">
        <f>'Rider Rates'!$D$59</f>
        <v>45383</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346</v>
      </c>
      <c r="B41" s="78"/>
      <c r="C41" s="78"/>
      <c r="D41" s="100">
        <f>IF($D$17&lt;0,0,$D$17)</f>
        <v>0</v>
      </c>
      <c r="E41" s="101" t="s">
        <v>41</v>
      </c>
      <c r="F41" s="102" t="s">
        <v>8</v>
      </c>
      <c r="G41" s="103"/>
      <c r="H41" s="103"/>
      <c r="I41" s="103">
        <f>'Rider Rates'!$B$70</f>
        <v>8.6240000000000004E-4</v>
      </c>
      <c r="J41" s="103">
        <f t="shared" ref="J41" si="3">SUM(G41:I41)</f>
        <v>8.6240000000000004E-4</v>
      </c>
      <c r="K41" s="104" t="s">
        <v>42</v>
      </c>
      <c r="L41" s="105"/>
      <c r="M41" s="105"/>
      <c r="N41" s="105">
        <f>ROUND($D$41*'Rider Rates'!$B$70,2)</f>
        <v>0</v>
      </c>
      <c r="O41" s="250">
        <f t="shared" ref="O41" si="4">SUM(L41:N41)</f>
        <v>0</v>
      </c>
      <c r="P41" s="245">
        <f>'Rider Rates'!$D$70</f>
        <v>45532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95</v>
      </c>
      <c r="B42" s="78"/>
      <c r="C42" s="78"/>
      <c r="D42" s="100">
        <f>IF('Customer Info'!C35=TRUE,0,IF($D$17&lt;0,0,$D$17))</f>
        <v>0</v>
      </c>
      <c r="E42" s="101" t="s">
        <v>41</v>
      </c>
      <c r="F42" s="102" t="s">
        <v>8</v>
      </c>
      <c r="G42" s="103"/>
      <c r="H42" s="103"/>
      <c r="I42" s="103">
        <f>'Rider Rates'!$B$73+'Rider Rates'!$C$73</f>
        <v>0</v>
      </c>
      <c r="J42" s="103">
        <f t="shared" si="0"/>
        <v>0</v>
      </c>
      <c r="K42" s="104" t="s">
        <v>42</v>
      </c>
      <c r="L42" s="105"/>
      <c r="M42" s="105"/>
      <c r="N42" s="105">
        <f>ROUND($D$42*'Rider Rates'!$B$73,2)+ROUND($D$42*'Rider Rates'!$C$73,2)</f>
        <v>0</v>
      </c>
      <c r="O42" s="250">
        <f t="shared" si="2"/>
        <v>0</v>
      </c>
      <c r="P42" s="245">
        <f>'Rider Rates'!$D$73</f>
        <v>44531</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80</v>
      </c>
      <c r="B43" s="78"/>
      <c r="C43" s="78"/>
      <c r="D43" s="195">
        <f>$N$27</f>
        <v>10</v>
      </c>
      <c r="E43" s="101" t="s">
        <v>121</v>
      </c>
      <c r="F43" s="102" t="s">
        <v>8</v>
      </c>
      <c r="G43" s="111"/>
      <c r="H43" s="112"/>
      <c r="I43" s="120">
        <f>'Rider Rates'!$B$89</f>
        <v>4.94232E-2</v>
      </c>
      <c r="J43" s="120">
        <f>SUM(G43:I43)</f>
        <v>4.94232E-2</v>
      </c>
      <c r="K43" s="104"/>
      <c r="L43" s="105"/>
      <c r="M43" s="105"/>
      <c r="N43" s="105">
        <f>ROUND(D43*I43,2)</f>
        <v>0.49</v>
      </c>
      <c r="O43" s="105">
        <f t="shared" si="2"/>
        <v>0.49</v>
      </c>
      <c r="P43" s="245">
        <f>'Rider Rates'!$D$89</f>
        <v>45562</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81</v>
      </c>
      <c r="B44" s="78"/>
      <c r="C44" s="78"/>
      <c r="D44" s="195">
        <f>$N$27</f>
        <v>10</v>
      </c>
      <c r="E44" s="101" t="s">
        <v>121</v>
      </c>
      <c r="F44" s="102" t="s">
        <v>8</v>
      </c>
      <c r="G44" s="114"/>
      <c r="H44" s="115"/>
      <c r="I44" s="120">
        <f>'Rider Rates'!$B$91</f>
        <v>6.6985699999999995E-2</v>
      </c>
      <c r="J44" s="120">
        <f t="shared" si="0"/>
        <v>6.6985699999999995E-2</v>
      </c>
      <c r="K44" s="104"/>
      <c r="L44" s="105"/>
      <c r="M44" s="105"/>
      <c r="N44" s="105">
        <f>ROUND(D44*I44,2)</f>
        <v>0.67</v>
      </c>
      <c r="O44" s="105">
        <f t="shared" si="2"/>
        <v>0.67</v>
      </c>
      <c r="P44" s="245">
        <f>'Rider Rates'!$D$91</f>
        <v>45167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214</v>
      </c>
      <c r="B45" s="78"/>
      <c r="C45" s="78"/>
      <c r="D45" s="195"/>
      <c r="E45" s="113" t="s">
        <v>114</v>
      </c>
      <c r="F45" s="106"/>
      <c r="G45" s="114"/>
      <c r="H45" s="115"/>
      <c r="I45" s="196">
        <f>'Rider Rates'!$B$94</f>
        <v>2.0299999999999998</v>
      </c>
      <c r="J45" s="196">
        <f>SUM(G45:I45)</f>
        <v>2.0299999999999998</v>
      </c>
      <c r="K45" s="104"/>
      <c r="L45" s="105"/>
      <c r="M45" s="105"/>
      <c r="N45" s="105">
        <f>I45</f>
        <v>2.0299999999999998</v>
      </c>
      <c r="O45" s="250">
        <f>SUM(L45:N45)</f>
        <v>2.0299999999999998</v>
      </c>
      <c r="P45" s="245">
        <f>'Rider Rates'!$D$94</f>
        <v>45562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195">
        <f>$N$27</f>
        <v>10</v>
      </c>
      <c r="E46" s="101" t="s">
        <v>121</v>
      </c>
      <c r="F46" s="102" t="s">
        <v>8</v>
      </c>
      <c r="G46" s="114"/>
      <c r="H46" s="115"/>
      <c r="I46" s="120">
        <f>'Rider Rates'!$B$109</f>
        <v>0.211176</v>
      </c>
      <c r="J46" s="238">
        <f t="shared" si="0"/>
        <v>0.211176</v>
      </c>
      <c r="K46" s="104"/>
      <c r="L46" s="105"/>
      <c r="M46" s="105"/>
      <c r="N46" s="105">
        <f>ROUND(D46*I46,2)</f>
        <v>2.11</v>
      </c>
      <c r="O46" s="105">
        <f t="shared" si="2"/>
        <v>2.11</v>
      </c>
      <c r="P46" s="245">
        <f>'Rider Rates'!$D$109</f>
        <v>45532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217</v>
      </c>
      <c r="B47" s="78"/>
      <c r="C47" s="78"/>
      <c r="D47" s="195"/>
      <c r="E47" s="113" t="s">
        <v>114</v>
      </c>
      <c r="F47" s="106"/>
      <c r="G47" s="114"/>
      <c r="H47" s="115"/>
      <c r="I47" s="196">
        <f>'Rider Rates'!$B$112</f>
        <v>0</v>
      </c>
      <c r="J47" s="196">
        <f t="shared" ref="J47:J52" si="5">SUM(G47:I47)</f>
        <v>0</v>
      </c>
      <c r="K47" s="104"/>
      <c r="L47" s="105"/>
      <c r="M47" s="105"/>
      <c r="N47" s="105">
        <f>I47</f>
        <v>0</v>
      </c>
      <c r="O47" s="105">
        <f>SUM(L47:N47)</f>
        <v>0</v>
      </c>
      <c r="P47" s="245">
        <f>'Rider Rates'!$D$112</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225</v>
      </c>
      <c r="B48" s="78"/>
      <c r="C48" s="78"/>
      <c r="D48" s="195"/>
      <c r="E48" s="113" t="s">
        <v>114</v>
      </c>
      <c r="F48" s="106"/>
      <c r="G48" s="114"/>
      <c r="H48" s="115"/>
      <c r="I48" s="258">
        <f>'Rider Rates'!B125</f>
        <v>0.97</v>
      </c>
      <c r="J48" s="259">
        <f t="shared" si="5"/>
        <v>0.97</v>
      </c>
      <c r="K48" s="104"/>
      <c r="L48" s="105"/>
      <c r="M48" s="105"/>
      <c r="N48" s="260">
        <f>I48</f>
        <v>0.97</v>
      </c>
      <c r="O48" s="105">
        <f>SUM(L48:N48)</f>
        <v>0.97</v>
      </c>
      <c r="P48" s="245">
        <f>'Rider Rates'!D125</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10" t="s">
        <v>216</v>
      </c>
      <c r="B49" s="78"/>
      <c r="C49" s="78"/>
      <c r="D49" s="100">
        <f>IF($D$17&lt;1,0,$D$17)</f>
        <v>0</v>
      </c>
      <c r="E49" s="101" t="s">
        <v>41</v>
      </c>
      <c r="F49" s="249" t="s">
        <v>8</v>
      </c>
      <c r="G49" s="103"/>
      <c r="H49" s="103"/>
      <c r="I49" s="103">
        <f>'Rider Rates'!$B$121</f>
        <v>-2.3000000000000001E-4</v>
      </c>
      <c r="J49" s="237">
        <f t="shared" si="5"/>
        <v>-2.3000000000000001E-4</v>
      </c>
      <c r="K49" s="104" t="s">
        <v>42</v>
      </c>
      <c r="L49" s="105"/>
      <c r="M49" s="105"/>
      <c r="N49" s="105">
        <f>D49*J49</f>
        <v>0</v>
      </c>
      <c r="O49" s="105">
        <f t="shared" si="2"/>
        <v>0</v>
      </c>
      <c r="P49" s="245">
        <f>'Rider Rates'!D121</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41" t="s">
        <v>238</v>
      </c>
      <c r="B50" s="78"/>
      <c r="C50" s="78"/>
      <c r="D50" s="100"/>
      <c r="E50" s="101" t="s">
        <v>114</v>
      </c>
      <c r="F50" s="102" t="s">
        <v>8</v>
      </c>
      <c r="G50" s="263"/>
      <c r="H50" s="263"/>
      <c r="I50" s="263">
        <f>'Rider Rates'!$B$129</f>
        <v>0.1</v>
      </c>
      <c r="J50" s="263">
        <f t="shared" si="5"/>
        <v>0.1</v>
      </c>
      <c r="K50" s="104"/>
      <c r="L50" s="209"/>
      <c r="M50" s="209"/>
      <c r="N50" s="209">
        <f>J50</f>
        <v>0.1</v>
      </c>
      <c r="O50" s="209">
        <f>SUM(L50:N50)</f>
        <v>0.1</v>
      </c>
      <c r="P50" s="264">
        <f>'Rider Rates'!E129</f>
        <v>44927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241" t="s">
        <v>250</v>
      </c>
      <c r="B51" s="78"/>
      <c r="C51" s="78"/>
      <c r="D51" s="100">
        <f>D17</f>
        <v>0</v>
      </c>
      <c r="E51" s="101" t="s">
        <v>41</v>
      </c>
      <c r="F51" s="249" t="s">
        <v>8</v>
      </c>
      <c r="G51" s="103"/>
      <c r="H51" s="103"/>
      <c r="I51" s="103">
        <f>'Rider Rates'!B134</f>
        <v>0</v>
      </c>
      <c r="J51" s="237">
        <f t="shared" si="5"/>
        <v>0</v>
      </c>
      <c r="K51" s="104" t="s">
        <v>42</v>
      </c>
      <c r="L51" s="105"/>
      <c r="M51" s="105"/>
      <c r="N51" s="105">
        <f>D51*J51</f>
        <v>0</v>
      </c>
      <c r="O51" s="105">
        <f>SUM(L51:N51)</f>
        <v>0</v>
      </c>
      <c r="P51" s="245">
        <f>'Rider Rates'!D134</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249</v>
      </c>
      <c r="B52" s="78"/>
      <c r="C52" s="78"/>
      <c r="D52" s="100"/>
      <c r="E52" s="101" t="s">
        <v>114</v>
      </c>
      <c r="F52" s="102" t="s">
        <v>8</v>
      </c>
      <c r="G52" s="263"/>
      <c r="H52" s="263"/>
      <c r="I52" s="263">
        <f>'Rider Rates'!$B$141</f>
        <v>0</v>
      </c>
      <c r="J52" s="263">
        <f t="shared" si="5"/>
        <v>0</v>
      </c>
      <c r="K52" s="104"/>
      <c r="L52" s="209"/>
      <c r="M52" s="209"/>
      <c r="N52" s="209">
        <f>J52</f>
        <v>0</v>
      </c>
      <c r="O52" s="209">
        <f>SUM(L52:N52)</f>
        <v>0</v>
      </c>
      <c r="P52" s="264">
        <f>'Rider Rates'!D141</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251</v>
      </c>
      <c r="B53" s="78"/>
      <c r="C53" s="78"/>
      <c r="D53" s="100"/>
      <c r="E53" s="101"/>
      <c r="F53" s="102"/>
      <c r="G53" s="263"/>
      <c r="H53" s="263"/>
      <c r="I53" s="263"/>
      <c r="J53" s="263"/>
      <c r="K53" s="104"/>
      <c r="L53" s="209"/>
      <c r="M53" s="209"/>
      <c r="N53" s="209"/>
      <c r="O53" s="209"/>
      <c r="P53" s="26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179" t="s">
        <v>70</v>
      </c>
      <c r="B54" s="148"/>
      <c r="C54" s="148"/>
      <c r="D54" s="180"/>
      <c r="E54" s="181"/>
      <c r="F54" s="182"/>
      <c r="G54" s="182"/>
      <c r="H54" s="182"/>
      <c r="I54" s="182"/>
      <c r="J54" s="182"/>
      <c r="K54" s="183"/>
      <c r="L54" s="169">
        <f>SUM(L31:L53)</f>
        <v>0</v>
      </c>
      <c r="M54" s="169">
        <f>SUM(M31:M53)</f>
        <v>0</v>
      </c>
      <c r="N54" s="169">
        <f>SUM(N31:N53)</f>
        <v>7.7599999999999989</v>
      </c>
      <c r="O54" s="169">
        <f>SUM(O31:O53)</f>
        <v>7.7599999999999989</v>
      </c>
      <c r="P54" s="184"/>
      <c r="Q54" s="10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78"/>
      <c r="B55" s="78"/>
      <c r="C55" s="78"/>
      <c r="D55" s="100"/>
      <c r="E55" s="113"/>
      <c r="F55" s="106"/>
      <c r="G55" s="106"/>
      <c r="H55" s="106"/>
      <c r="I55" s="106"/>
      <c r="J55" s="107"/>
      <c r="K55" s="104"/>
      <c r="L55" s="106"/>
      <c r="M55" s="106"/>
      <c r="N55" s="106"/>
      <c r="O55" s="106"/>
      <c r="P55" s="164"/>
      <c r="Q55" s="10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85" t="s">
        <v>93</v>
      </c>
      <c r="B56" s="170"/>
      <c r="C56" s="170"/>
      <c r="D56" s="170"/>
      <c r="E56" s="170"/>
      <c r="F56" s="170"/>
      <c r="G56" s="170"/>
      <c r="H56" s="170"/>
      <c r="I56" s="170"/>
      <c r="J56" s="170"/>
      <c r="K56" s="170"/>
      <c r="L56" s="186">
        <f>L27+L54</f>
        <v>0</v>
      </c>
      <c r="M56" s="186">
        <f>M27+M54</f>
        <v>0</v>
      </c>
      <c r="N56" s="186">
        <f>N27+N54</f>
        <v>17.759999999999998</v>
      </c>
      <c r="O56" s="187">
        <f>O27+O54</f>
        <v>17.759999999999998</v>
      </c>
      <c r="P56" s="187"/>
      <c r="Q56" s="10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78"/>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78"/>
      <c r="B58" s="78"/>
      <c r="C58" s="78"/>
      <c r="D58" s="78"/>
      <c r="E58" s="78"/>
      <c r="F58" s="78"/>
      <c r="G58" s="78"/>
      <c r="H58" s="78"/>
      <c r="I58" s="78"/>
      <c r="J58" s="78"/>
      <c r="K58" s="78"/>
      <c r="L58" s="78"/>
      <c r="M58" s="78"/>
      <c r="N58" s="151"/>
      <c r="O58" s="151"/>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166" t="s">
        <v>92</v>
      </c>
      <c r="B59" s="78"/>
      <c r="C59" s="78"/>
      <c r="D59" s="78"/>
      <c r="E59" s="78"/>
      <c r="F59" s="78"/>
      <c r="G59" s="78"/>
      <c r="H59" s="78"/>
      <c r="I59" s="78"/>
      <c r="J59" s="78"/>
      <c r="K59" s="78"/>
      <c r="L59" s="78"/>
      <c r="M59" s="78"/>
      <c r="N59" s="78"/>
      <c r="O59" s="109">
        <f>IF(D17&lt;0,MIN(O25,O56),O25)</f>
        <v>10</v>
      </c>
      <c r="P59" s="151"/>
      <c r="Q59" s="16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166" t="s">
        <v>15</v>
      </c>
      <c r="B60" s="166"/>
      <c r="C60" s="166"/>
      <c r="D60" s="166"/>
      <c r="E60" s="166"/>
      <c r="F60" s="166"/>
      <c r="G60" s="166"/>
      <c r="H60" s="166"/>
      <c r="I60" s="78"/>
      <c r="J60" s="78"/>
      <c r="K60" s="78"/>
      <c r="L60" s="78"/>
      <c r="M60" s="78"/>
      <c r="N60" s="151"/>
      <c r="O60" s="151"/>
      <c r="P60" s="151"/>
      <c r="Q60" s="78"/>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48" t="s">
        <v>116</v>
      </c>
      <c r="B61" s="151"/>
      <c r="C61" s="151"/>
      <c r="D61" s="151"/>
      <c r="E61" s="151"/>
      <c r="F61" s="151"/>
      <c r="G61" s="151"/>
      <c r="H61" s="151"/>
      <c r="I61" s="151"/>
      <c r="J61" s="151"/>
      <c r="K61" s="151"/>
      <c r="L61" s="151"/>
      <c r="M61" s="151"/>
      <c r="N61" s="151"/>
      <c r="O61" s="190">
        <f>IF($D$17&lt;0,O56,IF(O56&gt;O59,O56,O59))</f>
        <v>17.759999999999998</v>
      </c>
      <c r="P61" s="160"/>
      <c r="Q61" s="78"/>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48"/>
      <c r="B62" s="151"/>
      <c r="C62" s="151"/>
      <c r="D62" s="151"/>
      <c r="E62" s="151"/>
      <c r="F62" s="151"/>
      <c r="G62" s="151"/>
      <c r="H62" s="151"/>
      <c r="I62" s="151"/>
      <c r="J62" s="151"/>
      <c r="K62" s="151"/>
      <c r="L62" s="151"/>
      <c r="M62" s="151"/>
      <c r="N62" s="151"/>
      <c r="O62" s="138"/>
      <c r="P62" s="160"/>
      <c r="Q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5">
      <c r="A63" s="148"/>
      <c r="B63" s="166"/>
      <c r="C63" s="166"/>
      <c r="D63" s="166"/>
      <c r="E63" s="166"/>
      <c r="F63" s="166"/>
      <c r="G63" s="166"/>
      <c r="H63" s="166"/>
      <c r="I63" s="166" t="s">
        <v>120</v>
      </c>
      <c r="J63" s="166"/>
      <c r="K63" s="166"/>
      <c r="L63" s="191"/>
      <c r="M63" s="191"/>
      <c r="N63" s="191"/>
      <c r="O63" s="191">
        <f>ROUND(IF($D$17&lt;1,0,O56/($D$17*100)*10000),2)</f>
        <v>0</v>
      </c>
      <c r="P63" s="37" t="s">
        <v>86</v>
      </c>
      <c r="Q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5">
      <c r="A64" s="37"/>
      <c r="B64" s="78"/>
      <c r="C64" s="78"/>
      <c r="D64" s="78"/>
      <c r="E64" s="78"/>
      <c r="F64" s="78"/>
      <c r="G64" s="78"/>
      <c r="H64" s="192"/>
      <c r="I64" s="242" t="s">
        <v>198</v>
      </c>
      <c r="J64" s="78"/>
      <c r="K64" s="78"/>
      <c r="L64" s="78"/>
      <c r="M64" s="78"/>
      <c r="N64" s="78"/>
      <c r="O64" s="243">
        <f>ROUND(IF($D$17&lt;1,0,(L56)/($D$17*100)*10000),2)</f>
        <v>0</v>
      </c>
      <c r="P64" s="25" t="s">
        <v>86</v>
      </c>
      <c r="Q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1:221" x14ac:dyDescent="0.25">
      <c r="A65" s="99"/>
      <c r="B65" s="78"/>
      <c r="C65" s="78"/>
      <c r="D65" s="100"/>
      <c r="E65" s="101"/>
      <c r="F65" s="106"/>
      <c r="G65" s="133"/>
      <c r="H65" s="56"/>
      <c r="I65" s="133"/>
      <c r="J65" s="25"/>
      <c r="K65" s="25"/>
      <c r="L65" s="134"/>
      <c r="M65" s="134"/>
      <c r="N65" s="134"/>
      <c r="O65" s="135"/>
      <c r="Q65" s="80"/>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21" x14ac:dyDescent="0.25">
      <c r="A66" s="99"/>
      <c r="B66" s="78"/>
      <c r="C66" s="78"/>
      <c r="D66" s="100"/>
      <c r="E66" s="113"/>
      <c r="F66" s="106"/>
      <c r="Q66" s="80"/>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21" x14ac:dyDescent="0.25">
      <c r="A67" s="78"/>
      <c r="D67" s="1"/>
      <c r="E67" s="35"/>
      <c r="F67" s="106"/>
      <c r="Q67" s="80"/>
    </row>
    <row r="68" spans="1:221" x14ac:dyDescent="0.25">
      <c r="A68" s="96"/>
      <c r="D68" s="1"/>
      <c r="E68" s="35"/>
      <c r="F68" s="4"/>
      <c r="Q68" s="36"/>
    </row>
    <row r="69" spans="1:221" x14ac:dyDescent="0.25">
      <c r="A69" s="96"/>
      <c r="D69" s="1"/>
      <c r="E69" s="35"/>
      <c r="F69" s="4"/>
      <c r="Q69" s="36"/>
    </row>
    <row r="70" spans="1:221" x14ac:dyDescent="0.25">
      <c r="A70" s="41"/>
      <c r="B70" s="77"/>
      <c r="C70" s="77"/>
      <c r="D70" s="77"/>
      <c r="E70" s="77"/>
      <c r="F70" s="77"/>
    </row>
    <row r="71" spans="1:221" x14ac:dyDescent="0.25">
      <c r="B71" s="37"/>
      <c r="C71" s="37"/>
      <c r="D71" s="37"/>
      <c r="E71" s="37"/>
      <c r="F71" s="37"/>
      <c r="P71" s="37"/>
      <c r="Q71" s="37"/>
    </row>
    <row r="72" spans="1:221" x14ac:dyDescent="0.25">
      <c r="B72" s="37"/>
      <c r="C72" s="37"/>
      <c r="D72" s="37"/>
      <c r="E72" s="37"/>
      <c r="F72" s="37"/>
      <c r="P72" s="25"/>
      <c r="Q72" s="25"/>
    </row>
    <row r="75" spans="1:221" x14ac:dyDescent="0.25">
      <c r="A75" s="550"/>
    </row>
    <row r="76" spans="1:221" x14ac:dyDescent="0.25">
      <c r="A76" s="550"/>
    </row>
    <row r="77" spans="1:221" x14ac:dyDescent="0.25">
      <c r="A77" s="550"/>
    </row>
    <row r="78" spans="1:221" x14ac:dyDescent="0.25">
      <c r="A78" s="550"/>
    </row>
    <row r="79" spans="1:221" x14ac:dyDescent="0.25">
      <c r="A79" s="550"/>
    </row>
    <row r="80" spans="1:221"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sheetData>
  <sheetProtection algorithmName="SHA-512" hashValue="9dB9HB3xUbEq1aCDkAOmGD0B+/gVVd5HikVLVqiR7ipl7d/tLmamRCKpnad719CpSxTW8oy5g2x5y17DyDLY8g==" saltValue="s2ylpLs34QV+hNMROqYUJQ==" spinCount="100000" sheet="1" objects="1" scenarios="1"/>
  <mergeCells count="8">
    <mergeCell ref="A75:A89"/>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Button 1">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8850" r:id="rId5" name="Button 2">
              <controlPr defaultSize="0" print="0" autoFill="0" autoPict="0" macro="[0]!Info">
                <anchor moveWithCells="1">
                  <from>
                    <xdr:col>16</xdr:col>
                    <xdr:colOff>388620</xdr:colOff>
                    <xdr:row>82</xdr:row>
                    <xdr:rowOff>38100</xdr:rowOff>
                  </from>
                  <to>
                    <xdr:col>30</xdr:col>
                    <xdr:colOff>160020</xdr:colOff>
                    <xdr:row>83</xdr:row>
                    <xdr:rowOff>83820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AC0E-47E3-4C21-9861-A1D167BA1B00}">
  <dimension ref="A1:IB94"/>
  <sheetViews>
    <sheetView showGridLines="0" topLeftCell="A18" zoomScale="80" zoomScaleNormal="80" workbookViewId="0">
      <selection activeCell="J52" sqref="J52"/>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552" t="s">
        <v>119</v>
      </c>
      <c r="B1" s="552"/>
      <c r="C1" s="552"/>
      <c r="D1" s="552"/>
      <c r="E1" s="552"/>
      <c r="F1" s="552"/>
      <c r="G1" s="552"/>
      <c r="H1" s="552"/>
      <c r="I1" s="552"/>
      <c r="J1" s="552"/>
      <c r="K1" s="552"/>
      <c r="L1" s="552"/>
      <c r="M1" s="552"/>
      <c r="N1" s="552"/>
      <c r="O1" s="552"/>
      <c r="P1" s="552"/>
      <c r="Q1" s="197"/>
    </row>
    <row r="2" spans="1:59" ht="21" x14ac:dyDescent="0.4">
      <c r="A2" s="552" t="s">
        <v>122</v>
      </c>
      <c r="B2" s="552"/>
      <c r="C2" s="552"/>
      <c r="D2" s="552"/>
      <c r="E2" s="552"/>
      <c r="F2" s="552"/>
      <c r="G2" s="552"/>
      <c r="H2" s="552"/>
      <c r="I2" s="552"/>
      <c r="J2" s="552"/>
      <c r="K2" s="552"/>
      <c r="L2" s="552"/>
      <c r="M2" s="552"/>
      <c r="N2" s="552"/>
      <c r="O2" s="552"/>
      <c r="P2" s="552"/>
    </row>
    <row r="3" spans="1:59" ht="17.399999999999999" x14ac:dyDescent="0.3">
      <c r="A3" s="568" t="s">
        <v>333</v>
      </c>
      <c r="B3" s="568"/>
      <c r="C3" s="568"/>
      <c r="D3" s="568"/>
      <c r="E3" s="568"/>
      <c r="F3" s="568"/>
      <c r="G3" s="568"/>
      <c r="H3" s="568"/>
      <c r="I3" s="568"/>
      <c r="J3" s="568"/>
      <c r="K3" s="568"/>
      <c r="L3" s="568"/>
      <c r="M3" s="568"/>
      <c r="N3" s="568"/>
      <c r="O3" s="568"/>
      <c r="P3" s="568"/>
      <c r="Q3" s="198"/>
    </row>
    <row r="4" spans="1:59" ht="15.6" x14ac:dyDescent="0.3">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5">
      <c r="A5" s="75"/>
      <c r="B5" s="75"/>
      <c r="C5" s="75"/>
      <c r="D5" s="75"/>
      <c r="E5" s="75"/>
      <c r="F5" s="75"/>
      <c r="G5" s="75"/>
      <c r="H5" s="75"/>
      <c r="I5" s="75"/>
      <c r="J5" s="75"/>
      <c r="K5" s="75"/>
      <c r="L5" s="75"/>
      <c r="M5" s="75"/>
      <c r="N5" s="75"/>
      <c r="O5" s="75"/>
      <c r="P5" s="75"/>
      <c r="Q5" s="75"/>
    </row>
    <row r="6" spans="1:59" x14ac:dyDescent="0.25">
      <c r="A6" s="420">
        <f ca="1">TODAY()</f>
        <v>45588</v>
      </c>
      <c r="B6" s="560" t="s">
        <v>336</v>
      </c>
      <c r="C6" s="560"/>
      <c r="D6" s="560"/>
      <c r="E6" s="560"/>
      <c r="F6" s="560"/>
      <c r="G6" s="560"/>
      <c r="H6" s="560"/>
      <c r="I6" s="560"/>
      <c r="J6" s="560"/>
      <c r="K6" s="560"/>
      <c r="L6" s="560"/>
      <c r="M6" s="560"/>
      <c r="N6" s="560"/>
      <c r="O6" s="560"/>
    </row>
    <row r="7" spans="1:59" x14ac:dyDescent="0.25">
      <c r="A7" s="551" t="s">
        <v>15</v>
      </c>
      <c r="B7" s="551"/>
      <c r="C7" s="551"/>
      <c r="D7" s="551"/>
      <c r="E7" s="551"/>
      <c r="F7" s="551"/>
      <c r="G7" s="551"/>
      <c r="H7" s="551"/>
      <c r="I7" s="551"/>
      <c r="J7" s="551"/>
      <c r="K7" s="551"/>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99</v>
      </c>
      <c r="B11" s="200">
        <f>'Customer Info'!B9</f>
        <v>11</v>
      </c>
      <c r="C11" s="194" t="str">
        <f>LOOKUP($B$11,$S$11:$AD$11,S12:AD12)</f>
        <v>November</v>
      </c>
      <c r="D11" s="133">
        <f>'Customer Info'!C9</f>
        <v>2024</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5">
      <c r="A13" s="148" t="s">
        <v>27</v>
      </c>
      <c r="B13" s="149"/>
      <c r="C13" s="150"/>
      <c r="D13" s="78"/>
      <c r="E13" s="78"/>
      <c r="F13" s="78"/>
      <c r="G13" s="78"/>
      <c r="H13" s="78"/>
      <c r="I13" s="78"/>
      <c r="J13" s="151"/>
      <c r="K13" s="151"/>
      <c r="L13" s="151"/>
      <c r="M13" s="151"/>
      <c r="N13" s="151"/>
      <c r="O13" s="151"/>
      <c r="P13" s="151"/>
      <c r="R13" s="78" t="s">
        <v>183</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5">
      <c r="A14" s="78"/>
      <c r="B14" s="78"/>
      <c r="C14" s="78"/>
      <c r="D14" s="78"/>
      <c r="E14" s="78"/>
      <c r="F14" s="78"/>
      <c r="G14" s="421" t="s">
        <v>15</v>
      </c>
      <c r="H14" s="421"/>
      <c r="I14" s="152" t="s">
        <v>15</v>
      </c>
      <c r="J14" s="151"/>
      <c r="K14" s="151"/>
      <c r="L14" s="151"/>
      <c r="M14" s="151"/>
      <c r="N14" s="151"/>
      <c r="O14" s="151"/>
      <c r="P14" s="151"/>
      <c r="Q14" s="78"/>
      <c r="R14" s="78" t="s">
        <v>184</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t="s">
        <v>195</v>
      </c>
      <c r="S15" s="78">
        <f>'Rider Rates'!$C$21</f>
        <v>7.0209999999999995E-2</v>
      </c>
      <c r="T15" s="78">
        <f>'Rider Rates'!$C$21</f>
        <v>7.0209999999999995E-2</v>
      </c>
      <c r="U15" s="78">
        <f>'Rider Rates'!$C$21</f>
        <v>7.0209999999999995E-2</v>
      </c>
      <c r="V15" s="78">
        <f>'Rider Rates'!$C$21</f>
        <v>7.0209999999999995E-2</v>
      </c>
      <c r="W15" s="78">
        <f>'Rider Rates'!$C$21</f>
        <v>7.0209999999999995E-2</v>
      </c>
      <c r="X15" s="78">
        <f>'Rider Rates'!$B$21</f>
        <v>7.0209999999999995E-2</v>
      </c>
      <c r="Y15" s="78">
        <f>'Rider Rates'!$B$21</f>
        <v>7.0209999999999995E-2</v>
      </c>
      <c r="Z15" s="78">
        <f>'Rider Rates'!$B$21</f>
        <v>7.0209999999999995E-2</v>
      </c>
      <c r="AA15" s="78">
        <f>'Rider Rates'!$B$21</f>
        <v>7.0209999999999995E-2</v>
      </c>
      <c r="AB15" s="78">
        <f>'Rider Rates'!$C$21</f>
        <v>7.0209999999999995E-2</v>
      </c>
      <c r="AC15" s="78">
        <f>'Rider Rates'!$C$21</f>
        <v>7.0209999999999995E-2</v>
      </c>
      <c r="AD15" s="78">
        <f>'Rider Rates'!$C$21</f>
        <v>7.0209999999999995E-2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229</v>
      </c>
      <c r="B17" s="78"/>
      <c r="D17" s="154">
        <f>IF('Customer Info'!B22&lt;0,0,'Customer Info'!B22)</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t="s">
        <v>230</v>
      </c>
      <c r="B18" s="78"/>
      <c r="C18" s="154"/>
      <c r="D18" s="154">
        <f>IF('Customer Info'!B23&lt;0,0,'Customer Info'!B23)</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t="s">
        <v>51</v>
      </c>
      <c r="B19" s="78"/>
      <c r="C19" s="154"/>
      <c r="D19" s="261">
        <f>D17+D18</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f>'Rider Rates'!B146</f>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414" t="s">
        <v>325</v>
      </c>
      <c r="B26" s="78"/>
      <c r="C26" s="78"/>
      <c r="D26" s="415">
        <f>D17</f>
        <v>0</v>
      </c>
      <c r="E26" s="78"/>
      <c r="F26" s="78"/>
      <c r="G26" s="162"/>
      <c r="H26" s="163"/>
      <c r="I26" s="165">
        <f>'Rider Rates'!C146</f>
        <v>3.7427700000000001E-2</v>
      </c>
      <c r="J26" s="165">
        <v>3.7427700000000001E-2</v>
      </c>
      <c r="K26" s="108" t="s">
        <v>91</v>
      </c>
      <c r="L26" s="105"/>
      <c r="M26" s="105"/>
      <c r="N26" s="105">
        <f>ROUND($D26*I26,2)</f>
        <v>0</v>
      </c>
      <c r="O26" s="250">
        <f>SUM(L26:N26)</f>
        <v>0</v>
      </c>
      <c r="P26" s="245">
        <f>'Rider Rates'!H146</f>
        <v>45444</v>
      </c>
      <c r="Q26" s="78"/>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414" t="s">
        <v>326</v>
      </c>
      <c r="B27" s="78"/>
      <c r="C27" s="78"/>
      <c r="D27" s="1">
        <f>D18</f>
        <v>0</v>
      </c>
      <c r="E27" s="101" t="s">
        <v>41</v>
      </c>
      <c r="F27" s="106" t="s">
        <v>8</v>
      </c>
      <c r="G27" s="247"/>
      <c r="H27" s="163"/>
      <c r="I27" s="165">
        <f>'Rider Rates'!D146</f>
        <v>1.5787499999999999E-2</v>
      </c>
      <c r="J27" s="103">
        <v>1.5787499999999999E-2</v>
      </c>
      <c r="K27" s="108" t="s">
        <v>91</v>
      </c>
      <c r="L27" s="105"/>
      <c r="M27" s="105"/>
      <c r="N27" s="105">
        <f>ROUND($D27*I27,2)</f>
        <v>0</v>
      </c>
      <c r="O27" s="250">
        <f t="shared" ref="O27" si="0">SUM(L27:N27)</f>
        <v>0</v>
      </c>
      <c r="P27" s="245">
        <f>'Rider Rates'!H146</f>
        <v>45444</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x14ac:dyDescent="0.25">
      <c r="A30" s="148" t="s">
        <v>69</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78</v>
      </c>
      <c r="B32" s="176"/>
      <c r="C32" s="176"/>
      <c r="D32" s="100">
        <f>IF($D$19&lt;0,0,IF($D$19&gt;833000,833000,$D$19))</f>
        <v>0</v>
      </c>
      <c r="E32" s="101" t="s">
        <v>41</v>
      </c>
      <c r="F32" s="102" t="s">
        <v>8</v>
      </c>
      <c r="G32" s="103"/>
      <c r="H32" s="103"/>
      <c r="I32" s="103">
        <f>'Rider Rates'!$B$4</f>
        <v>5.9216E-3</v>
      </c>
      <c r="J32" s="103">
        <f t="shared" ref="J32:J38" si="1">SUM(G32:I32)</f>
        <v>5.9216E-3</v>
      </c>
      <c r="K32" s="104" t="s">
        <v>42</v>
      </c>
      <c r="L32" s="105"/>
      <c r="M32" s="105"/>
      <c r="N32" s="105">
        <f t="shared" ref="N32:N37" si="2">ROUND(D32*I32,2)</f>
        <v>0</v>
      </c>
      <c r="O32" s="250">
        <f t="shared" ref="O32:O54" si="3">SUM(L32:N32)</f>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79</v>
      </c>
      <c r="B33" s="78"/>
      <c r="C33" s="78"/>
      <c r="D33" s="123">
        <f>IF($D$19&gt;833000,$D$19-833000,0)</f>
        <v>0</v>
      </c>
      <c r="E33" s="101" t="s">
        <v>41</v>
      </c>
      <c r="F33" s="102" t="s">
        <v>8</v>
      </c>
      <c r="G33" s="103"/>
      <c r="H33" s="103"/>
      <c r="I33" s="103">
        <f>'Rider Rates'!$B$5</f>
        <v>1.7560000000000001E-4</v>
      </c>
      <c r="J33" s="103">
        <f t="shared" si="1"/>
        <v>1.7560000000000001E-4</v>
      </c>
      <c r="K33" s="104" t="s">
        <v>42</v>
      </c>
      <c r="L33" s="105"/>
      <c r="M33" s="105"/>
      <c r="N33" s="105">
        <f t="shared" si="2"/>
        <v>0</v>
      </c>
      <c r="O33" s="105">
        <f t="shared" si="3"/>
        <v>0</v>
      </c>
      <c r="P33" s="245">
        <f>'Rider Rates'!$D$4</f>
        <v>45293</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96</v>
      </c>
      <c r="B34" s="78"/>
      <c r="C34" s="78"/>
      <c r="D34" s="100">
        <f>IF($D$19&lt;0,0,IF($D$19&gt;2000,2000,$D$19))</f>
        <v>0</v>
      </c>
      <c r="E34" s="101" t="s">
        <v>41</v>
      </c>
      <c r="F34" s="102" t="s">
        <v>8</v>
      </c>
      <c r="G34" s="103"/>
      <c r="H34" s="103"/>
      <c r="I34" s="177">
        <f>'Rider Rates'!$B$8</f>
        <v>4.6499999999999996E-3</v>
      </c>
      <c r="J34" s="177">
        <f t="shared" si="1"/>
        <v>4.6499999999999996E-3</v>
      </c>
      <c r="K34" s="104" t="s">
        <v>42</v>
      </c>
      <c r="L34" s="105"/>
      <c r="M34" s="105"/>
      <c r="N34" s="105">
        <f t="shared" si="2"/>
        <v>0</v>
      </c>
      <c r="O34" s="105">
        <f t="shared" si="3"/>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97</v>
      </c>
      <c r="B35" s="78"/>
      <c r="C35" s="78"/>
      <c r="D35" s="100">
        <f>IF($D$19&lt;=2000,0,IF($D$19=0,0,IF($D$19-2000&gt;13000,13000,$D$19-2000)))</f>
        <v>0</v>
      </c>
      <c r="E35" s="101" t="s">
        <v>41</v>
      </c>
      <c r="F35" s="102" t="s">
        <v>8</v>
      </c>
      <c r="G35" s="103"/>
      <c r="H35" s="103"/>
      <c r="I35" s="177">
        <f>'Rider Rates'!$B$9</f>
        <v>4.1900000000000001E-3</v>
      </c>
      <c r="J35" s="177">
        <f t="shared" si="1"/>
        <v>4.1900000000000001E-3</v>
      </c>
      <c r="K35" s="104" t="s">
        <v>42</v>
      </c>
      <c r="L35" s="105"/>
      <c r="M35" s="105"/>
      <c r="N35" s="105">
        <f t="shared" si="2"/>
        <v>0</v>
      </c>
      <c r="O35" s="105">
        <f t="shared" si="3"/>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98</v>
      </c>
      <c r="B36" s="78"/>
      <c r="C36" s="78"/>
      <c r="D36" s="100">
        <f>IF($D$19=0,0,IF($D$19-15000&gt;=0,$D$19-15000,0))</f>
        <v>0</v>
      </c>
      <c r="E36" s="101" t="s">
        <v>41</v>
      </c>
      <c r="F36" s="102" t="s">
        <v>8</v>
      </c>
      <c r="G36" s="103"/>
      <c r="H36" s="103"/>
      <c r="I36" s="177">
        <f>'Rider Rates'!$B$10</f>
        <v>3.63E-3</v>
      </c>
      <c r="J36" s="177">
        <f t="shared" si="1"/>
        <v>3.63E-3</v>
      </c>
      <c r="K36" s="104" t="s">
        <v>42</v>
      </c>
      <c r="L36" s="105"/>
      <c r="M36" s="105"/>
      <c r="N36" s="105">
        <f t="shared" si="2"/>
        <v>0</v>
      </c>
      <c r="O36" s="105">
        <f t="shared" si="3"/>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IF($D$19&lt;0,0,$D$19)</f>
        <v>0</v>
      </c>
      <c r="E37" s="101" t="s">
        <v>41</v>
      </c>
      <c r="F37" s="102" t="s">
        <v>8</v>
      </c>
      <c r="G37" s="103"/>
      <c r="H37" s="103"/>
      <c r="I37" s="103">
        <f>'Rider Rates'!$B$15</f>
        <v>0</v>
      </c>
      <c r="J37" s="103">
        <f t="shared" si="1"/>
        <v>0</v>
      </c>
      <c r="K37" s="104" t="s">
        <v>42</v>
      </c>
      <c r="L37" s="105"/>
      <c r="M37" s="105"/>
      <c r="N37" s="105">
        <f t="shared" si="2"/>
        <v>0</v>
      </c>
      <c r="O37" s="105">
        <f t="shared" si="3"/>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245</v>
      </c>
      <c r="B38" s="78"/>
      <c r="C38" s="78"/>
      <c r="D38" s="195">
        <f>$N$28</f>
        <v>10</v>
      </c>
      <c r="E38" s="101" t="s">
        <v>121</v>
      </c>
      <c r="F38" s="102" t="s">
        <v>8</v>
      </c>
      <c r="G38" s="103"/>
      <c r="H38" s="103"/>
      <c r="I38" s="178">
        <f>'Rider Rates'!$B$18+'Rider Rates'!$E$18</f>
        <v>0</v>
      </c>
      <c r="J38" s="178">
        <f t="shared" si="1"/>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194</v>
      </c>
      <c r="B39" s="78"/>
      <c r="C39" s="78"/>
      <c r="D39" s="100">
        <f>'Customer Info'!$B$22+'Customer Info'!$B$23</f>
        <v>0</v>
      </c>
      <c r="E39" s="101" t="s">
        <v>41</v>
      </c>
      <c r="F39" s="102" t="s">
        <v>8</v>
      </c>
      <c r="G39" s="103"/>
      <c r="H39" s="103"/>
      <c r="I39" s="103"/>
      <c r="J39" s="237">
        <f>SUM(G39:H39)</f>
        <v>0</v>
      </c>
      <c r="K39" s="104" t="s">
        <v>42</v>
      </c>
      <c r="L39" s="105">
        <f>ROUND(D39*G39,2)</f>
        <v>0</v>
      </c>
      <c r="M39" s="105"/>
      <c r="N39" s="105"/>
      <c r="O39" s="105">
        <f t="shared" si="3"/>
        <v>0</v>
      </c>
      <c r="P39" s="245">
        <f>'Rider Rates'!$D$21</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161</v>
      </c>
      <c r="B40" s="78"/>
      <c r="C40" s="78"/>
      <c r="D40" s="100">
        <f>'Customer Info'!$B$22+'Customer Info'!$B$23</f>
        <v>0</v>
      </c>
      <c r="E40" s="101" t="s">
        <v>41</v>
      </c>
      <c r="F40" s="102" t="s">
        <v>8</v>
      </c>
      <c r="G40" s="103"/>
      <c r="H40" s="103"/>
      <c r="I40" s="103"/>
      <c r="J40" s="237">
        <f>SUM(G40:H40)</f>
        <v>0</v>
      </c>
      <c r="K40" s="104" t="s">
        <v>42</v>
      </c>
      <c r="L40" s="239">
        <f>ROUND($D$40*$G$40,2)</f>
        <v>0</v>
      </c>
      <c r="M40" s="105"/>
      <c r="N40" s="105"/>
      <c r="O40" s="105">
        <f>SUM(L40:N40)</f>
        <v>0</v>
      </c>
      <c r="P40" s="245">
        <f>'Rider Rates'!D34</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201</v>
      </c>
      <c r="B41" s="78"/>
      <c r="C41" s="78"/>
      <c r="D41" s="100">
        <f>'Customer Info'!$B$22+'Customer Info'!$B$23</f>
        <v>0</v>
      </c>
      <c r="E41" s="101" t="s">
        <v>41</v>
      </c>
      <c r="F41" s="102" t="s">
        <v>8</v>
      </c>
      <c r="G41" s="103"/>
      <c r="H41" s="103"/>
      <c r="I41" s="103"/>
      <c r="J41" s="237">
        <f>SUM(G41:H41)</f>
        <v>0</v>
      </c>
      <c r="K41" s="104" t="s">
        <v>42</v>
      </c>
      <c r="L41" s="105">
        <f>ROUND(D41*G41,2)</f>
        <v>0</v>
      </c>
      <c r="M41" s="105"/>
      <c r="N41" s="105"/>
      <c r="O41" s="105">
        <f t="shared" si="3"/>
        <v>0</v>
      </c>
      <c r="P41" s="245">
        <f>'Rider Rates'!$D$49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41" t="s">
        <v>218</v>
      </c>
      <c r="B42" s="78"/>
      <c r="C42" s="78"/>
      <c r="D42" s="100"/>
      <c r="E42" s="101" t="s">
        <v>114</v>
      </c>
      <c r="F42" s="102"/>
      <c r="G42" s="103"/>
      <c r="H42" s="103"/>
      <c r="I42" s="103">
        <f>'Rider Rates'!D52</f>
        <v>1.39</v>
      </c>
      <c r="J42" s="237">
        <f t="shared" ref="J42:J48" si="4">SUM(G42:I42)</f>
        <v>1.39</v>
      </c>
      <c r="K42" s="104"/>
      <c r="L42" s="105"/>
      <c r="M42" s="105"/>
      <c r="N42" s="105">
        <f>J42</f>
        <v>1.39</v>
      </c>
      <c r="O42" s="105">
        <f>SUM(L42:N42)</f>
        <v>1.39</v>
      </c>
      <c r="P42" s="245">
        <f>'Rider Rates'!E52</f>
        <v>45474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197</v>
      </c>
      <c r="B43" s="78"/>
      <c r="C43" s="78"/>
      <c r="D43" s="100">
        <f>IF($D$19&lt;0,0,$D$19)</f>
        <v>0</v>
      </c>
      <c r="E43" s="113" t="s">
        <v>41</v>
      </c>
      <c r="F43" s="102" t="s">
        <v>8</v>
      </c>
      <c r="G43" s="103"/>
      <c r="H43" s="103">
        <f>'Rider Rates'!$B$59</f>
        <v>4.3837099999999997E-2</v>
      </c>
      <c r="I43" s="103"/>
      <c r="J43" s="103">
        <f t="shared" si="4"/>
        <v>4.3837099999999997E-2</v>
      </c>
      <c r="K43" s="104" t="s">
        <v>42</v>
      </c>
      <c r="L43" s="105"/>
      <c r="M43" s="105">
        <f>ROUND(D43*H43,2)</f>
        <v>0</v>
      </c>
      <c r="N43" s="205"/>
      <c r="O43" s="105">
        <f t="shared" si="3"/>
        <v>0</v>
      </c>
      <c r="P43" s="245">
        <f>'Rider Rates'!$D$59</f>
        <v>45383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346</v>
      </c>
      <c r="B44" s="78"/>
      <c r="C44" s="78"/>
      <c r="D44" s="100">
        <f>IF($D$19&lt;0,0,$D$19)</f>
        <v>0</v>
      </c>
      <c r="E44" s="101" t="s">
        <v>41</v>
      </c>
      <c r="F44" s="102" t="s">
        <v>8</v>
      </c>
      <c r="G44" s="103"/>
      <c r="H44" s="103"/>
      <c r="I44" s="103">
        <f>'Rider Rates'!$B$70</f>
        <v>8.6240000000000004E-4</v>
      </c>
      <c r="J44" s="103">
        <f t="shared" ref="J44" si="5">SUM(G44:I44)</f>
        <v>8.6240000000000004E-4</v>
      </c>
      <c r="K44" s="104" t="s">
        <v>42</v>
      </c>
      <c r="L44" s="105"/>
      <c r="M44" s="105"/>
      <c r="N44" s="105">
        <f>ROUND($D$44*'Rider Rates'!$B$70,2)</f>
        <v>0</v>
      </c>
      <c r="O44" s="250">
        <f t="shared" ref="O44" si="6">SUM(L44:N44)</f>
        <v>0</v>
      </c>
      <c r="P44" s="245">
        <f>'Rider Rates'!$D$70</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95</v>
      </c>
      <c r="B45" s="78"/>
      <c r="C45" s="78"/>
      <c r="D45" s="100">
        <f>IF('Customer Info'!C35=TRUE,0,IF($D$19&lt;0,0,$D$19))</f>
        <v>0</v>
      </c>
      <c r="E45" s="101" t="s">
        <v>41</v>
      </c>
      <c r="F45" s="102" t="s">
        <v>8</v>
      </c>
      <c r="G45" s="103"/>
      <c r="H45" s="103"/>
      <c r="I45" s="103">
        <f>'Rider Rates'!$B$73+'Rider Rates'!$C$73</f>
        <v>0</v>
      </c>
      <c r="J45" s="103">
        <f t="shared" si="4"/>
        <v>0</v>
      </c>
      <c r="K45" s="104" t="s">
        <v>42</v>
      </c>
      <c r="L45" s="105"/>
      <c r="M45" s="105"/>
      <c r="N45" s="105">
        <f>ROUND($D$45*'Rider Rates'!$B$73,2)+ROUND($D$45*'Rider Rates'!$C$73,2)</f>
        <v>0</v>
      </c>
      <c r="O45" s="250">
        <f t="shared" si="3"/>
        <v>0</v>
      </c>
      <c r="P45" s="245">
        <f>'Rider Rates'!$D$73</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80</v>
      </c>
      <c r="B46" s="78"/>
      <c r="C46" s="78"/>
      <c r="D46" s="195">
        <f>$N$28</f>
        <v>10</v>
      </c>
      <c r="E46" s="101" t="s">
        <v>121</v>
      </c>
      <c r="F46" s="102" t="s">
        <v>8</v>
      </c>
      <c r="G46" s="111"/>
      <c r="H46" s="112"/>
      <c r="I46" s="120">
        <f>'Rider Rates'!$B$89</f>
        <v>4.94232E-2</v>
      </c>
      <c r="J46" s="120">
        <f t="shared" si="4"/>
        <v>4.94232E-2</v>
      </c>
      <c r="K46" s="104"/>
      <c r="L46" s="105"/>
      <c r="M46" s="105"/>
      <c r="N46" s="105">
        <f>ROUND(D46*I46,2)</f>
        <v>0.49</v>
      </c>
      <c r="O46" s="105">
        <f t="shared" si="3"/>
        <v>0.49</v>
      </c>
      <c r="P46" s="245">
        <f>'Rider Rates'!$D$89</f>
        <v>45562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81</v>
      </c>
      <c r="B47" s="78"/>
      <c r="C47" s="78"/>
      <c r="D47" s="195">
        <f>$N$28</f>
        <v>10</v>
      </c>
      <c r="E47" s="101" t="s">
        <v>121</v>
      </c>
      <c r="F47" s="102" t="s">
        <v>8</v>
      </c>
      <c r="G47" s="114"/>
      <c r="H47" s="115"/>
      <c r="I47" s="120">
        <f>'Rider Rates'!$B$91</f>
        <v>6.6985699999999995E-2</v>
      </c>
      <c r="J47" s="120">
        <f t="shared" si="4"/>
        <v>6.6985699999999995E-2</v>
      </c>
      <c r="K47" s="104"/>
      <c r="L47" s="105"/>
      <c r="M47" s="105"/>
      <c r="N47" s="105">
        <f>ROUND(D47*I47,2)</f>
        <v>0.67</v>
      </c>
      <c r="O47" s="105">
        <f t="shared" si="3"/>
        <v>0.67</v>
      </c>
      <c r="P47" s="245">
        <f>'Rider Rates'!$D$91</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214</v>
      </c>
      <c r="B48" s="78"/>
      <c r="C48" s="78"/>
      <c r="D48" s="195"/>
      <c r="E48" s="113" t="s">
        <v>114</v>
      </c>
      <c r="F48" s="106"/>
      <c r="G48" s="114"/>
      <c r="H48" s="115"/>
      <c r="I48" s="196">
        <f>'Rider Rates'!$B$94</f>
        <v>2.0299999999999998</v>
      </c>
      <c r="J48" s="196">
        <f t="shared" si="4"/>
        <v>2.0299999999999998</v>
      </c>
      <c r="K48" s="104"/>
      <c r="L48" s="105"/>
      <c r="M48" s="105"/>
      <c r="N48" s="105">
        <f>I48</f>
        <v>2.0299999999999998</v>
      </c>
      <c r="O48" s="250">
        <f>SUM(L48:N48)</f>
        <v>2.0299999999999998</v>
      </c>
      <c r="P48" s="245">
        <f>'Rider Rates'!$D$94</f>
        <v>45562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247</v>
      </c>
      <c r="B49" s="78"/>
      <c r="C49" s="78"/>
      <c r="D49" s="100">
        <f>IF($D$19&lt;0,0,$D$19)</f>
        <v>0</v>
      </c>
      <c r="E49" s="101" t="s">
        <v>41</v>
      </c>
      <c r="F49" s="102" t="s">
        <v>8</v>
      </c>
      <c r="G49" s="103"/>
      <c r="H49" s="103"/>
      <c r="I49" s="103"/>
      <c r="J49" s="103">
        <f>'Rider Rates'!$B$98</f>
        <v>0</v>
      </c>
      <c r="K49" s="104" t="s">
        <v>42</v>
      </c>
      <c r="L49" s="105"/>
      <c r="M49" s="105"/>
      <c r="N49" s="105"/>
      <c r="O49" s="105">
        <f>ROUND($D49*('Rider Rates'!B$98),2)</f>
        <v>0</v>
      </c>
      <c r="P49" s="245">
        <f>'Rider Rates'!$D$98</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99" t="s">
        <v>156</v>
      </c>
      <c r="B50" s="78"/>
      <c r="C50" s="78"/>
      <c r="D50" s="195">
        <f>$N$28</f>
        <v>10</v>
      </c>
      <c r="E50" s="101" t="s">
        <v>121</v>
      </c>
      <c r="F50" s="102" t="s">
        <v>8</v>
      </c>
      <c r="G50" s="114"/>
      <c r="H50" s="115"/>
      <c r="I50" s="120">
        <f>'Rider Rates'!$B$109</f>
        <v>0.211176</v>
      </c>
      <c r="J50" s="238">
        <f>SUM(G50:I50)</f>
        <v>0.211176</v>
      </c>
      <c r="K50" s="104"/>
      <c r="L50" s="105"/>
      <c r="M50" s="105"/>
      <c r="N50" s="105">
        <f>ROUND(D50*I50,2)</f>
        <v>2.11</v>
      </c>
      <c r="O50" s="105">
        <f t="shared" si="3"/>
        <v>2.11</v>
      </c>
      <c r="P50" s="245">
        <f>'Rider Rates'!$D$109</f>
        <v>45532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217</v>
      </c>
      <c r="B51" s="78"/>
      <c r="C51" s="78"/>
      <c r="D51" s="195"/>
      <c r="E51" s="113" t="s">
        <v>114</v>
      </c>
      <c r="F51" s="106"/>
      <c r="G51" s="114"/>
      <c r="H51" s="115"/>
      <c r="I51" s="196">
        <f>'Rider Rates'!$B$112</f>
        <v>0</v>
      </c>
      <c r="J51" s="196">
        <f>SUM(G51:I51)</f>
        <v>0</v>
      </c>
      <c r="K51" s="104"/>
      <c r="L51" s="105"/>
      <c r="M51" s="105"/>
      <c r="N51" s="105">
        <f>I51</f>
        <v>0</v>
      </c>
      <c r="O51" s="105">
        <f>SUM(L51:N51)</f>
        <v>0</v>
      </c>
      <c r="P51" s="245">
        <f>'Rider Rates'!$D$112</f>
        <v>44894</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10" t="s">
        <v>225</v>
      </c>
      <c r="B52" s="78"/>
      <c r="C52" s="78"/>
      <c r="D52" s="195"/>
      <c r="E52" s="113" t="s">
        <v>114</v>
      </c>
      <c r="F52" s="106"/>
      <c r="G52" s="114"/>
      <c r="H52" s="115"/>
      <c r="I52" s="258">
        <f>'Rider Rates'!B125</f>
        <v>0.97</v>
      </c>
      <c r="J52" s="259">
        <f>SUM(G52:I52)</f>
        <v>0.97</v>
      </c>
      <c r="K52" s="104"/>
      <c r="L52" s="105"/>
      <c r="M52" s="105"/>
      <c r="N52" s="260">
        <f>I52</f>
        <v>0.97</v>
      </c>
      <c r="O52" s="105">
        <f>SUM(L52:N52)</f>
        <v>0.97</v>
      </c>
      <c r="P52" s="245">
        <f>'Rider Rates'!D125</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157</v>
      </c>
      <c r="B53" s="78"/>
      <c r="C53" s="78"/>
      <c r="D53" s="100">
        <f>'Customer Info'!$B$22+'Customer Info'!$B$23</f>
        <v>0</v>
      </c>
      <c r="E53" s="101" t="s">
        <v>41</v>
      </c>
      <c r="F53" s="102" t="s">
        <v>8</v>
      </c>
      <c r="G53" s="103"/>
      <c r="H53" s="103"/>
      <c r="I53" s="103"/>
      <c r="J53" s="237">
        <f>SUM(G53:H53)</f>
        <v>0</v>
      </c>
      <c r="K53" s="104" t="s">
        <v>42</v>
      </c>
      <c r="L53" s="105">
        <f>ROUND(D53*G53,2)</f>
        <v>0</v>
      </c>
      <c r="M53" s="105"/>
      <c r="N53" s="105"/>
      <c r="O53" s="105">
        <f t="shared" si="3"/>
        <v>0</v>
      </c>
      <c r="P53" s="245">
        <f>'Rider Rates'!$D$116</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216</v>
      </c>
      <c r="B54" s="78"/>
      <c r="C54" s="78"/>
      <c r="D54" s="100">
        <f>IF($D$19&lt;1,0,$D$19)</f>
        <v>0</v>
      </c>
      <c r="E54" s="101" t="s">
        <v>41</v>
      </c>
      <c r="F54" s="249" t="s">
        <v>8</v>
      </c>
      <c r="G54" s="103"/>
      <c r="H54" s="103"/>
      <c r="I54" s="103">
        <f>'Rider Rates'!$B$121</f>
        <v>-2.3000000000000001E-4</v>
      </c>
      <c r="J54" s="237">
        <f>SUM(G54:I54)</f>
        <v>-2.3000000000000001E-4</v>
      </c>
      <c r="K54" s="104" t="s">
        <v>42</v>
      </c>
      <c r="L54" s="105"/>
      <c r="M54" s="105"/>
      <c r="N54" s="105">
        <f>D54*J54</f>
        <v>0</v>
      </c>
      <c r="O54" s="105">
        <f t="shared" si="3"/>
        <v>0</v>
      </c>
      <c r="P54" s="245">
        <f>'Rider Rates'!D121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238</v>
      </c>
      <c r="B55" s="78"/>
      <c r="C55" s="78"/>
      <c r="D55" s="100"/>
      <c r="E55" s="101" t="s">
        <v>114</v>
      </c>
      <c r="F55" s="102" t="s">
        <v>8</v>
      </c>
      <c r="G55" s="263"/>
      <c r="H55" s="263"/>
      <c r="I55" s="263">
        <f>'Rider Rates'!$B$129</f>
        <v>0.1</v>
      </c>
      <c r="J55" s="263">
        <f>SUM(G55:I55)</f>
        <v>0.1</v>
      </c>
      <c r="K55" s="104"/>
      <c r="L55" s="209"/>
      <c r="M55" s="209"/>
      <c r="N55" s="209">
        <f>J55</f>
        <v>0.1</v>
      </c>
      <c r="O55" s="209">
        <f>SUM(L55:N55)</f>
        <v>0.1</v>
      </c>
      <c r="P55" s="264">
        <f>'Rider Rates'!$E$129</f>
        <v>44927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250</v>
      </c>
      <c r="B56" s="78"/>
      <c r="C56" s="78"/>
      <c r="D56" s="100">
        <f>C19</f>
        <v>0</v>
      </c>
      <c r="E56" s="101" t="s">
        <v>41</v>
      </c>
      <c r="F56" s="249" t="s">
        <v>8</v>
      </c>
      <c r="G56" s="103"/>
      <c r="H56" s="103"/>
      <c r="I56" s="103">
        <f>'Rider Rates'!$B$134</f>
        <v>0</v>
      </c>
      <c r="J56" s="237">
        <f>SUM(G56:I56)</f>
        <v>0</v>
      </c>
      <c r="K56" s="104" t="s">
        <v>42</v>
      </c>
      <c r="L56" s="105"/>
      <c r="M56" s="105"/>
      <c r="N56" s="105">
        <f>D56*J56</f>
        <v>0</v>
      </c>
      <c r="O56" s="105">
        <f>SUM(L56:N56)</f>
        <v>0</v>
      </c>
      <c r="P56" s="245">
        <f>'Rider Rates'!D139</f>
        <v>0</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249</v>
      </c>
      <c r="B57" s="78"/>
      <c r="C57" s="78"/>
      <c r="D57" s="100"/>
      <c r="E57" s="101" t="s">
        <v>114</v>
      </c>
      <c r="F57" s="102" t="s">
        <v>8</v>
      </c>
      <c r="G57" s="263"/>
      <c r="H57" s="263"/>
      <c r="I57" s="263">
        <f>'Rider Rates'!$B$141</f>
        <v>0</v>
      </c>
      <c r="J57" s="263">
        <f>SUM(G57:I57)</f>
        <v>0</v>
      </c>
      <c r="K57" s="104"/>
      <c r="L57" s="209"/>
      <c r="M57" s="209"/>
      <c r="N57" s="209">
        <f>J57</f>
        <v>0</v>
      </c>
      <c r="O57" s="209">
        <f>SUM(L57:N57)</f>
        <v>0</v>
      </c>
      <c r="P57" s="264">
        <f>'Rider Rates'!$D$137</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251</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179" t="s">
        <v>70</v>
      </c>
      <c r="B59" s="148"/>
      <c r="C59" s="148"/>
      <c r="D59" s="180"/>
      <c r="E59" s="181"/>
      <c r="F59" s="182"/>
      <c r="G59" s="182"/>
      <c r="H59" s="182"/>
      <c r="I59" s="182"/>
      <c r="J59" s="182"/>
      <c r="K59" s="183"/>
      <c r="L59" s="169">
        <f>SUM(L32:L58)</f>
        <v>0</v>
      </c>
      <c r="M59" s="169">
        <f>SUM(M32:M58)</f>
        <v>0</v>
      </c>
      <c r="N59" s="169">
        <f>SUM(N32:N58)</f>
        <v>7.7599999999999989</v>
      </c>
      <c r="O59" s="169">
        <f>SUM(O32:O58)</f>
        <v>7.7599999999999989</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85" t="s">
        <v>93</v>
      </c>
      <c r="B61" s="170"/>
      <c r="C61" s="170"/>
      <c r="D61" s="170"/>
      <c r="E61" s="170"/>
      <c r="F61" s="170"/>
      <c r="G61" s="170"/>
      <c r="H61" s="170"/>
      <c r="I61" s="170"/>
      <c r="J61" s="170"/>
      <c r="K61" s="170"/>
      <c r="L61" s="186">
        <f>L28+L59</f>
        <v>0</v>
      </c>
      <c r="M61" s="186">
        <f>M28+M59</f>
        <v>0</v>
      </c>
      <c r="N61" s="186">
        <f>N28+N59</f>
        <v>17.759999999999998</v>
      </c>
      <c r="O61" s="187">
        <f>O28+O59</f>
        <v>17.759999999999998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5">
      <c r="A64" s="166" t="s">
        <v>92</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5">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5">
      <c r="A66" s="148" t="s">
        <v>116</v>
      </c>
      <c r="B66" s="151"/>
      <c r="C66" s="151"/>
      <c r="D66" s="151"/>
      <c r="E66" s="151"/>
      <c r="F66" s="151"/>
      <c r="G66" s="151"/>
      <c r="H66" s="151"/>
      <c r="I66" s="151"/>
      <c r="J66" s="151"/>
      <c r="K66" s="151"/>
      <c r="L66" s="151"/>
      <c r="M66" s="151"/>
      <c r="N66" s="151"/>
      <c r="O66" s="190">
        <f>IF($D$17&lt;0,O61,IF(O61&gt;O64,O61,O64))</f>
        <v>17.759999999999998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5">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5">
      <c r="A68" s="148"/>
      <c r="B68" s="166"/>
      <c r="C68" s="166"/>
      <c r="D68" s="166"/>
      <c r="E68" s="166"/>
      <c r="F68" s="166"/>
      <c r="G68" s="166"/>
      <c r="H68" s="166"/>
      <c r="I68" s="166" t="s">
        <v>120</v>
      </c>
      <c r="J68" s="166"/>
      <c r="K68" s="166"/>
      <c r="L68" s="191"/>
      <c r="M68" s="191"/>
      <c r="N68" s="191"/>
      <c r="O68" s="191">
        <f>ROUND(IF($D$17&lt;1,0,O61/($D$17*100)*10000),2)</f>
        <v>0</v>
      </c>
      <c r="P68" s="37" t="s">
        <v>86</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5">
      <c r="A69" s="37"/>
      <c r="B69" s="78"/>
      <c r="C69" s="78"/>
      <c r="D69" s="78"/>
      <c r="E69" s="78"/>
      <c r="F69" s="78"/>
      <c r="G69" s="78"/>
      <c r="H69" s="192"/>
      <c r="I69" s="242" t="s">
        <v>198</v>
      </c>
      <c r="J69" s="78"/>
      <c r="K69" s="78"/>
      <c r="L69" s="78"/>
      <c r="M69" s="78"/>
      <c r="N69" s="78"/>
      <c r="O69" s="243">
        <f>ROUND(IF($D$19&lt;1,0,(L61)/($D$19*100)*10000),2)</f>
        <v>0</v>
      </c>
      <c r="P69" s="25" t="s">
        <v>86</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5">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5">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5">
      <c r="A72" s="78"/>
      <c r="D72" s="1"/>
      <c r="E72" s="35"/>
      <c r="F72" s="106"/>
      <c r="Q72" s="80"/>
    </row>
    <row r="73" spans="1:236" x14ac:dyDescent="0.25">
      <c r="A73" s="96"/>
      <c r="D73" s="1"/>
      <c r="E73" s="35"/>
      <c r="F73" s="4"/>
      <c r="Q73" s="36"/>
    </row>
    <row r="74" spans="1:236" x14ac:dyDescent="0.25">
      <c r="A74" s="96"/>
      <c r="D74" s="1"/>
      <c r="E74" s="35"/>
      <c r="F74" s="4"/>
      <c r="Q74" s="36"/>
    </row>
    <row r="75" spans="1:236" x14ac:dyDescent="0.25">
      <c r="A75" s="41"/>
      <c r="B75" s="77"/>
      <c r="C75" s="77"/>
      <c r="D75" s="77"/>
      <c r="E75" s="77"/>
      <c r="F75" s="77"/>
    </row>
    <row r="76" spans="1:236" x14ac:dyDescent="0.25">
      <c r="B76" s="37"/>
      <c r="C76" s="37"/>
      <c r="D76" s="37"/>
      <c r="E76" s="37"/>
      <c r="F76" s="37"/>
      <c r="P76" s="37"/>
      <c r="Q76" s="37"/>
    </row>
    <row r="77" spans="1:236" x14ac:dyDescent="0.25">
      <c r="B77" s="37"/>
      <c r="C77" s="37"/>
      <c r="D77" s="37"/>
      <c r="E77" s="37"/>
      <c r="F77" s="37"/>
      <c r="P77" s="25"/>
      <c r="Q77" s="25"/>
    </row>
    <row r="80" spans="1:23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row r="90" spans="1:1" x14ac:dyDescent="0.25">
      <c r="A90" s="550"/>
    </row>
    <row r="91" spans="1:1" x14ac:dyDescent="0.25">
      <c r="A91" s="550"/>
    </row>
    <row r="92" spans="1:1" x14ac:dyDescent="0.25">
      <c r="A92" s="550"/>
    </row>
    <row r="93" spans="1:1" x14ac:dyDescent="0.25">
      <c r="A93" s="550"/>
    </row>
    <row r="94" spans="1:1" x14ac:dyDescent="0.25">
      <c r="A94" s="550"/>
    </row>
  </sheetData>
  <sheetProtection algorithmName="SHA-512" hashValue="i+cvRCPVQTQNTsG6Ts0nEYjk7fgdHh2NQTKQdTDgp9pukBENV1z2FjiF9faUIPERNFedux/CDjK8qWwIA7Spaw==" saltValue="HV+eyVySah67XLmiHixD9g==" spinCount="100000" sheet="1" objects="1" scenarios="1"/>
  <mergeCells count="9">
    <mergeCell ref="G23:J23"/>
    <mergeCell ref="L23:O23"/>
    <mergeCell ref="A80:A94"/>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Button 1">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214018" r:id="rId5" name="Button 2">
              <controlPr defaultSize="0" print="0" autoFill="0" autoPict="0" macro="[0]!Info">
                <anchor moveWithCells="1">
                  <from>
                    <xdr:col>16</xdr:col>
                    <xdr:colOff>388620</xdr:colOff>
                    <xdr:row>83</xdr:row>
                    <xdr:rowOff>38100</xdr:rowOff>
                  </from>
                  <to>
                    <xdr:col>30</xdr:col>
                    <xdr:colOff>160020</xdr:colOff>
                    <xdr:row>84</xdr:row>
                    <xdr:rowOff>83820</xdr:rowOff>
                  </to>
                </anchor>
              </controlPr>
            </control>
          </mc:Choice>
        </mc:AlternateContent>
        <mc:AlternateContent xmlns:mc="http://schemas.openxmlformats.org/markup-compatibility/2006">
          <mc:Choice Requires="x14">
            <control shapeId="214019" r:id="rId6" name="Button 3">
              <controlPr defaultSize="0" print="0" autoFill="0" autoPict="0" macro="[0]!Info">
                <anchor moveWithCells="1">
                  <from>
                    <xdr:col>0</xdr:col>
                    <xdr:colOff>45720</xdr:colOff>
                    <xdr:row>0</xdr:row>
                    <xdr:rowOff>45720</xdr:rowOff>
                  </from>
                  <to>
                    <xdr:col>0</xdr:col>
                    <xdr:colOff>411480</xdr:colOff>
                    <xdr:row>1</xdr:row>
                    <xdr:rowOff>45720</xdr:rowOff>
                  </to>
                </anchor>
              </controlPr>
            </control>
          </mc:Choice>
        </mc:AlternateContent>
        <mc:AlternateContent xmlns:mc="http://schemas.openxmlformats.org/markup-compatibility/2006">
          <mc:Choice Requires="x14">
            <control shapeId="214020" r:id="rId7" name="Button 4">
              <controlPr defaultSize="0" print="0" autoFill="0" autoPict="0" macro="[0]!Info">
                <anchor moveWithCells="1">
                  <from>
                    <xdr:col>16</xdr:col>
                    <xdr:colOff>388620</xdr:colOff>
                    <xdr:row>87</xdr:row>
                    <xdr:rowOff>38100</xdr:rowOff>
                  </from>
                  <to>
                    <xdr:col>30</xdr:col>
                    <xdr:colOff>160020</xdr:colOff>
                    <xdr:row>88</xdr:row>
                    <xdr:rowOff>83820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IB63"/>
  <sheetViews>
    <sheetView showGridLines="0" topLeftCell="A13" zoomScale="80" zoomScaleNormal="80" workbookViewId="0">
      <selection activeCell="J42" sqref="J42"/>
    </sheetView>
  </sheetViews>
  <sheetFormatPr defaultRowHeight="13.2" x14ac:dyDescent="0.25"/>
  <cols>
    <col min="1" max="1" width="39" customWidth="1"/>
    <col min="2" max="2" width="2.109375" customWidth="1"/>
    <col min="3" max="3" width="13" customWidth="1"/>
    <col min="4" max="4" width="15.44140625" customWidth="1"/>
    <col min="5" max="5" width="10.44140625" customWidth="1"/>
    <col min="6" max="6" width="5.5546875" customWidth="1"/>
    <col min="7" max="8" width="13.44140625" customWidth="1"/>
    <col min="9" max="9" width="14.5546875" customWidth="1"/>
    <col min="10" max="10" width="13.44140625" customWidth="1"/>
    <col min="11" max="11" width="5.5546875" bestFit="1" customWidth="1"/>
    <col min="12" max="12" width="15.109375" customWidth="1"/>
    <col min="13" max="13" width="17.44140625" bestFit="1" customWidth="1"/>
    <col min="14" max="14" width="17.5546875" customWidth="1"/>
    <col min="15" max="15" width="18.5546875" customWidth="1"/>
    <col min="16" max="16" width="15" customWidth="1"/>
    <col min="17" max="17" width="12.88671875" bestFit="1" customWidth="1"/>
    <col min="18" max="18" width="10.5546875"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c r="Q1" s="203"/>
    </row>
    <row r="2" spans="1:30" ht="21" x14ac:dyDescent="0.4">
      <c r="A2" s="568" t="s">
        <v>277</v>
      </c>
      <c r="B2" s="568"/>
      <c r="C2" s="568"/>
      <c r="D2" s="568"/>
      <c r="E2" s="568"/>
      <c r="F2" s="568"/>
      <c r="G2" s="568"/>
      <c r="H2" s="568"/>
      <c r="I2" s="568"/>
      <c r="J2" s="568"/>
      <c r="K2" s="568"/>
      <c r="L2" s="568"/>
      <c r="M2" s="568"/>
      <c r="N2" s="568"/>
      <c r="O2" s="568"/>
      <c r="P2" s="568"/>
      <c r="Q2" s="197"/>
    </row>
    <row r="3" spans="1:30" ht="17.399999999999999" x14ac:dyDescent="0.3">
      <c r="A3" s="553" t="s">
        <v>94</v>
      </c>
      <c r="B3" s="553"/>
      <c r="C3" s="553"/>
      <c r="D3" s="553"/>
      <c r="E3" s="553"/>
      <c r="F3" s="553"/>
      <c r="G3" s="553"/>
      <c r="H3" s="553"/>
      <c r="I3" s="553"/>
      <c r="J3" s="553"/>
      <c r="K3" s="553"/>
      <c r="L3" s="553"/>
      <c r="M3" s="553"/>
      <c r="N3" s="553"/>
      <c r="O3" s="553"/>
      <c r="P3" s="553"/>
      <c r="Q3" s="198"/>
    </row>
    <row r="4" spans="1:30" ht="15.6" x14ac:dyDescent="0.3">
      <c r="A4" s="553"/>
      <c r="B4" s="553"/>
      <c r="C4" s="553"/>
      <c r="D4" s="553"/>
      <c r="E4" s="553"/>
      <c r="F4" s="553"/>
      <c r="G4" s="553"/>
      <c r="H4" s="553"/>
      <c r="I4" s="553"/>
      <c r="J4" s="553"/>
      <c r="K4" s="553"/>
      <c r="L4" s="553"/>
      <c r="M4" s="553"/>
      <c r="N4" s="553"/>
      <c r="O4" s="553"/>
      <c r="P4" s="553"/>
      <c r="Q4" s="199"/>
    </row>
    <row r="5" spans="1:30" x14ac:dyDescent="0.25">
      <c r="A5" s="76">
        <f ca="1">TODAY()</f>
        <v>45588</v>
      </c>
      <c r="B5" s="560" t="s">
        <v>298</v>
      </c>
      <c r="C5" s="560"/>
      <c r="D5" s="560"/>
      <c r="E5" s="560"/>
      <c r="F5" s="560"/>
      <c r="G5" s="560"/>
      <c r="H5" s="560"/>
      <c r="I5" s="560"/>
      <c r="J5" s="560"/>
      <c r="K5" s="560"/>
      <c r="L5" s="560"/>
      <c r="M5" s="560"/>
      <c r="N5" s="560"/>
      <c r="O5" s="560"/>
    </row>
    <row r="6" spans="1:30" x14ac:dyDescent="0.25">
      <c r="A6" s="551" t="s">
        <v>15</v>
      </c>
      <c r="B6" s="551"/>
      <c r="C6" s="551"/>
      <c r="D6" s="551"/>
      <c r="E6" s="551"/>
      <c r="F6" s="551"/>
      <c r="G6" s="551"/>
      <c r="H6" s="551"/>
      <c r="I6" s="551"/>
      <c r="J6" s="551"/>
      <c r="K6" s="551"/>
    </row>
    <row r="7" spans="1:30" x14ac:dyDescent="0.25">
      <c r="C7" s="18"/>
      <c r="D7" s="18"/>
      <c r="E7" s="18"/>
      <c r="F7" s="18"/>
      <c r="G7" s="18"/>
      <c r="H7" s="18"/>
      <c r="I7" s="18"/>
      <c r="J7" s="18"/>
      <c r="K7" s="18"/>
    </row>
    <row r="8" spans="1:30" ht="15" x14ac:dyDescent="0.25">
      <c r="A8" s="23" t="s">
        <v>2</v>
      </c>
      <c r="B8" s="24"/>
      <c r="C8" s="25">
        <f>'Customer Info'!B7</f>
        <v>0</v>
      </c>
      <c r="I8" s="26"/>
    </row>
    <row r="9" spans="1:30" ht="15" x14ac:dyDescent="0.25">
      <c r="A9" s="27" t="s">
        <v>26</v>
      </c>
      <c r="B9" s="24"/>
      <c r="C9" s="25">
        <f>'Customer Info'!B8</f>
        <v>0</v>
      </c>
    </row>
    <row r="10" spans="1:30" x14ac:dyDescent="0.25">
      <c r="A10" s="23" t="s">
        <v>3</v>
      </c>
      <c r="B10" s="200">
        <f>'Customer Info'!B9</f>
        <v>11</v>
      </c>
      <c r="C10" s="194" t="str">
        <f>LOOKUP(B10,S11:AD11,S12:AD12)</f>
        <v>November</v>
      </c>
      <c r="D10" s="133">
        <f>'Customer Info'!C9</f>
        <v>2024</v>
      </c>
    </row>
    <row r="11" spans="1:30" x14ac:dyDescent="0.25">
      <c r="A11" s="562"/>
      <c r="B11" s="562"/>
      <c r="C11" s="562"/>
      <c r="D11" s="562"/>
      <c r="E11" s="562"/>
      <c r="F11" s="562"/>
      <c r="G11" s="562"/>
      <c r="H11" s="562"/>
      <c r="I11" s="562"/>
      <c r="J11" s="94"/>
      <c r="K11" s="94"/>
      <c r="L11" s="94"/>
      <c r="M11" s="94"/>
      <c r="N11" s="94"/>
      <c r="O11" s="94"/>
      <c r="P11" s="94"/>
      <c r="S11">
        <v>1</v>
      </c>
      <c r="T11">
        <v>2</v>
      </c>
      <c r="U11">
        <v>3</v>
      </c>
      <c r="V11">
        <v>4</v>
      </c>
      <c r="W11">
        <v>5</v>
      </c>
      <c r="X11">
        <v>6</v>
      </c>
      <c r="Y11">
        <v>7</v>
      </c>
      <c r="Z11">
        <v>8</v>
      </c>
      <c r="AA11">
        <v>9</v>
      </c>
      <c r="AB11">
        <v>10</v>
      </c>
      <c r="AC11">
        <v>11</v>
      </c>
      <c r="AD11">
        <v>12</v>
      </c>
    </row>
    <row r="12" spans="1:30" x14ac:dyDescent="0.25">
      <c r="A12" s="97" t="s">
        <v>27</v>
      </c>
      <c r="B12" s="18"/>
      <c r="C12" s="18"/>
      <c r="D12" s="18"/>
      <c r="E12" s="18"/>
      <c r="F12" s="18"/>
      <c r="G12" s="18"/>
      <c r="H12" s="18"/>
      <c r="I12" s="1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18"/>
      <c r="B13" s="18"/>
      <c r="C13" s="18"/>
      <c r="D13" s="18"/>
      <c r="E13" s="18"/>
      <c r="F13" s="18"/>
      <c r="G13" s="18"/>
      <c r="H13" s="18"/>
      <c r="I13" s="18"/>
      <c r="R13" s="78" t="s">
        <v>117</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31" t="s">
        <v>43</v>
      </c>
      <c r="B14" s="31"/>
      <c r="C14" s="32">
        <f>IF('Customer Info'!B22+'Customer Info'!B23-'Customer Info'!B24&lt;0,0,'Customer Info'!B22+'Customer Info'!B23-'Customer Info'!B24)</f>
        <v>0</v>
      </c>
      <c r="D14" s="31" t="s">
        <v>41</v>
      </c>
      <c r="E14" s="31"/>
      <c r="F14" s="33"/>
      <c r="G14" s="31"/>
      <c r="H14" s="31"/>
      <c r="I14" s="31"/>
      <c r="R14" s="78" t="s">
        <v>118</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t="s">
        <v>84</v>
      </c>
      <c r="B15" s="31"/>
      <c r="C15" s="212">
        <f>MAX('Customer Info'!B19,'Customer Info'!B20)</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5">
      <c r="A16" s="31"/>
      <c r="B16" s="31"/>
      <c r="C16" s="33"/>
      <c r="D16" s="33"/>
      <c r="E16" s="33"/>
      <c r="F16" s="33"/>
      <c r="G16" s="23"/>
      <c r="H16" s="31"/>
      <c r="I16" s="31"/>
      <c r="R16" t="s">
        <v>165</v>
      </c>
      <c r="S16" s="222">
        <f>'Rider Rates'!$C$29</f>
        <v>4.4387999999999997E-3</v>
      </c>
      <c r="T16" s="222">
        <f>'Rider Rates'!$C$29</f>
        <v>4.4387999999999997E-3</v>
      </c>
      <c r="U16" s="222">
        <f>'Rider Rates'!$C$29</f>
        <v>4.4387999999999997E-3</v>
      </c>
      <c r="V16" s="222">
        <f>'Rider Rates'!$C$29</f>
        <v>4.4387999999999997E-3</v>
      </c>
      <c r="W16" s="222">
        <f>'Rider Rates'!$C$29</f>
        <v>4.4387999999999997E-3</v>
      </c>
      <c r="X16" s="222">
        <f>'Rider Rates'!$B$29</f>
        <v>4.4387999999999997E-3</v>
      </c>
      <c r="Y16" s="222">
        <f>'Rider Rates'!$B$29</f>
        <v>4.4387999999999997E-3</v>
      </c>
      <c r="Z16" s="222">
        <f>'Rider Rates'!$B$29</f>
        <v>4.4387999999999997E-3</v>
      </c>
      <c r="AA16" s="222">
        <f>'Rider Rates'!$B$29</f>
        <v>4.4387999999999997E-3</v>
      </c>
      <c r="AB16" s="222">
        <f>'Rider Rates'!$C$29</f>
        <v>4.4387999999999997E-3</v>
      </c>
      <c r="AC16" s="222">
        <f>'Rider Rates'!$C$29</f>
        <v>4.4387999999999997E-3</v>
      </c>
      <c r="AD16" s="222">
        <f>'Rider Rates'!$C$29</f>
        <v>4.4387999999999997E-3</v>
      </c>
    </row>
    <row r="17" spans="1:221" x14ac:dyDescent="0.25">
      <c r="A17" s="28" t="s">
        <v>124</v>
      </c>
      <c r="B17" s="22"/>
      <c r="C17" s="22"/>
      <c r="D17" s="22"/>
      <c r="E17" s="22"/>
      <c r="F17" s="22"/>
      <c r="G17" s="563" t="s">
        <v>67</v>
      </c>
      <c r="H17" s="564"/>
      <c r="I17" s="564"/>
      <c r="J17" s="565"/>
      <c r="K17" s="22"/>
      <c r="L17" s="566" t="s">
        <v>68</v>
      </c>
      <c r="M17" s="566"/>
      <c r="N17" s="566"/>
      <c r="O17" s="566"/>
      <c r="R17" t="s">
        <v>166</v>
      </c>
      <c r="S17" s="222">
        <f>'Rider Rates'!$C$30</f>
        <v>2.4020999999999999E-3</v>
      </c>
      <c r="T17" s="222">
        <f>'Rider Rates'!$C$30</f>
        <v>2.4020999999999999E-3</v>
      </c>
      <c r="U17" s="222">
        <f>'Rider Rates'!$C$30</f>
        <v>2.4020999999999999E-3</v>
      </c>
      <c r="V17" s="222">
        <f>'Rider Rates'!$C$30</f>
        <v>2.4020999999999999E-3</v>
      </c>
      <c r="W17" s="222">
        <f>'Rider Rates'!$C$30</f>
        <v>2.4020999999999999E-3</v>
      </c>
      <c r="X17" s="222">
        <f>'Rider Rates'!$B$30</f>
        <v>4.2166E-3</v>
      </c>
      <c r="Y17" s="222">
        <f>'Rider Rates'!$B$30</f>
        <v>4.2166E-3</v>
      </c>
      <c r="Z17" s="222">
        <f>'Rider Rates'!$B$30</f>
        <v>4.2166E-3</v>
      </c>
      <c r="AA17" s="222">
        <f>'Rider Rates'!$B$30</f>
        <v>4.2166E-3</v>
      </c>
      <c r="AB17" s="222">
        <f>'Rider Rates'!$C$30</f>
        <v>2.4020999999999999E-3</v>
      </c>
      <c r="AC17" s="222">
        <f>'Rider Rates'!$C$30</f>
        <v>2.4020999999999999E-3</v>
      </c>
      <c r="AD17" s="222">
        <f>'Rider Rates'!$C$30</f>
        <v>2.4020999999999999E-3</v>
      </c>
    </row>
    <row r="18" spans="1:221" x14ac:dyDescent="0.25">
      <c r="A18" s="18"/>
      <c r="B18" s="18"/>
      <c r="C18" s="18"/>
      <c r="D18" s="18"/>
      <c r="E18" s="18"/>
      <c r="F18" s="18"/>
      <c r="G18" s="8" t="s">
        <v>64</v>
      </c>
      <c r="H18" s="8" t="s">
        <v>65</v>
      </c>
      <c r="I18" s="8" t="s">
        <v>66</v>
      </c>
      <c r="J18" s="112" t="s">
        <v>34</v>
      </c>
      <c r="K18" s="18"/>
      <c r="L18" s="131" t="s">
        <v>64</v>
      </c>
      <c r="M18" s="131" t="s">
        <v>65</v>
      </c>
      <c r="N18" s="131" t="s">
        <v>66</v>
      </c>
      <c r="O18" s="132" t="s">
        <v>34</v>
      </c>
      <c r="P18" s="43" t="s">
        <v>56</v>
      </c>
      <c r="R18" t="s">
        <v>167</v>
      </c>
      <c r="S18" s="222">
        <f>'Rider Rates'!$C$31</f>
        <v>2.8092999999999998E-3</v>
      </c>
      <c r="T18" s="222">
        <f>'Rider Rates'!$C$31</f>
        <v>2.8092999999999998E-3</v>
      </c>
      <c r="U18" s="222">
        <f>'Rider Rates'!$C$31</f>
        <v>2.8092999999999998E-3</v>
      </c>
      <c r="V18" s="222">
        <f>'Rider Rates'!$C$31</f>
        <v>2.8092999999999998E-3</v>
      </c>
      <c r="W18" s="222">
        <f>'Rider Rates'!$C$31</f>
        <v>2.8092999999999998E-3</v>
      </c>
      <c r="X18" s="222">
        <f>'Rider Rates'!$B$31</f>
        <v>3.9453999999999999E-3</v>
      </c>
      <c r="Y18" s="222">
        <f>'Rider Rates'!$B$31</f>
        <v>3.9453999999999999E-3</v>
      </c>
      <c r="Z18" s="222">
        <f>'Rider Rates'!$B$31</f>
        <v>3.9453999999999999E-3</v>
      </c>
      <c r="AA18" s="222">
        <f>'Rider Rates'!$B$31</f>
        <v>3.9453999999999999E-3</v>
      </c>
      <c r="AB18" s="222">
        <f>'Rider Rates'!$C$31</f>
        <v>2.8092999999999998E-3</v>
      </c>
      <c r="AC18" s="222">
        <f>'Rider Rates'!$C$31</f>
        <v>2.8092999999999998E-3</v>
      </c>
      <c r="AD18" s="222">
        <f>'Rider Rates'!$C$31</f>
        <v>2.8092999999999998E-3</v>
      </c>
    </row>
    <row r="19" spans="1:221" x14ac:dyDescent="0.25">
      <c r="A19" t="s">
        <v>32</v>
      </c>
      <c r="G19" s="83"/>
      <c r="H19" s="83"/>
      <c r="I19" s="125">
        <v>10</v>
      </c>
      <c r="J19" s="125">
        <f>SUM(G19:I19)</f>
        <v>10</v>
      </c>
      <c r="L19" s="125"/>
      <c r="M19" s="125"/>
      <c r="N19" s="125">
        <f>I19</f>
        <v>10</v>
      </c>
      <c r="O19" s="125">
        <f>+SUM(L19:N19)</f>
        <v>10</v>
      </c>
      <c r="P19" s="245">
        <v>44531</v>
      </c>
      <c r="R19" s="3" t="s">
        <v>199</v>
      </c>
      <c r="S19">
        <f>'Rider Rates'!$C$21</f>
        <v>7.0209999999999995E-2</v>
      </c>
      <c r="T19">
        <f>'Rider Rates'!$C$21</f>
        <v>7.0209999999999995E-2</v>
      </c>
      <c r="U19">
        <f>'Rider Rates'!$C$21</f>
        <v>7.0209999999999995E-2</v>
      </c>
      <c r="V19">
        <f>'Rider Rates'!$C$21</f>
        <v>7.0209999999999995E-2</v>
      </c>
      <c r="W19">
        <f>'Rider Rates'!$C$21</f>
        <v>7.0209999999999995E-2</v>
      </c>
      <c r="X19">
        <f>'Rider Rates'!$B$21</f>
        <v>7.0209999999999995E-2</v>
      </c>
      <c r="Y19">
        <f>'Rider Rates'!$B$21</f>
        <v>7.0209999999999995E-2</v>
      </c>
      <c r="Z19">
        <f>'Rider Rates'!$B$21</f>
        <v>7.0209999999999995E-2</v>
      </c>
      <c r="AA19">
        <f>'Rider Rates'!$B$21</f>
        <v>7.0209999999999995E-2</v>
      </c>
      <c r="AB19">
        <f>'Rider Rates'!$C$21</f>
        <v>7.0209999999999995E-2</v>
      </c>
      <c r="AC19">
        <f>'Rider Rates'!$C$21</f>
        <v>7.0209999999999995E-2</v>
      </c>
      <c r="AD19">
        <f>'Rider Rates'!$C$21</f>
        <v>7.0209999999999995E-2</v>
      </c>
    </row>
    <row r="20" spans="1:221" x14ac:dyDescent="0.25">
      <c r="A20" s="18" t="s">
        <v>254</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v>44531</v>
      </c>
      <c r="R20" s="3"/>
    </row>
    <row r="21" spans="1:221" x14ac:dyDescent="0.25">
      <c r="A21" s="96" t="s">
        <v>74</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5">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69</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78</v>
      </c>
      <c r="B25" s="176"/>
      <c r="C25" s="176"/>
      <c r="D25" s="100">
        <f>IF($C$14&lt;0,0,IF($C$14&gt;833000,833000,$C$14))</f>
        <v>0</v>
      </c>
      <c r="E25" s="101" t="s">
        <v>41</v>
      </c>
      <c r="F25" s="102" t="s">
        <v>8</v>
      </c>
      <c r="G25" s="103"/>
      <c r="H25" s="103"/>
      <c r="I25" s="103">
        <f>'Rider Rates'!$B$4</f>
        <v>5.9216E-3</v>
      </c>
      <c r="J25" s="201">
        <f t="shared" ref="J25:J42" si="0">SUM(G25:I25)</f>
        <v>5.9216E-3</v>
      </c>
      <c r="K25" s="104" t="s">
        <v>42</v>
      </c>
      <c r="L25" s="105"/>
      <c r="M25" s="105"/>
      <c r="N25" s="105">
        <f t="shared" ref="N25:N30" si="1">ROUND(D25*I25,2)</f>
        <v>0</v>
      </c>
      <c r="O25" s="105">
        <f t="shared" ref="O25:O34" si="2">SUM(L25:N25)</f>
        <v>0</v>
      </c>
      <c r="P25" s="245">
        <f>'Rider Rates'!$D$4</f>
        <v>45293</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79</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45293</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96</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97</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98</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113</v>
      </c>
      <c r="B30" s="78"/>
      <c r="C30" s="78"/>
      <c r="D30" s="195">
        <f>$N$21</f>
        <v>10</v>
      </c>
      <c r="E30" s="101" t="s">
        <v>121</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si="2"/>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41" t="s">
        <v>245</v>
      </c>
      <c r="B32" s="78"/>
      <c r="C32" s="78"/>
      <c r="D32" s="195">
        <f>$N$21</f>
        <v>10</v>
      </c>
      <c r="E32" s="101" t="s">
        <v>121</v>
      </c>
      <c r="F32" s="102" t="s">
        <v>8</v>
      </c>
      <c r="G32" s="103"/>
      <c r="H32" s="103"/>
      <c r="I32" s="178">
        <f>'Rider Rates'!$B$18</f>
        <v>0</v>
      </c>
      <c r="J32" s="178">
        <f>SUM(G32:I32)</f>
        <v>0</v>
      </c>
      <c r="K32" s="104"/>
      <c r="L32" s="105"/>
      <c r="M32" s="105"/>
      <c r="N32" s="105">
        <f>ROUND($D$32*'Rider Rates'!$B$18,2)+ROUND($D$32*'Rider Rates'!$E$18,2)</f>
        <v>0</v>
      </c>
      <c r="O32" s="105">
        <f t="shared" si="2"/>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41" t="s">
        <v>218</v>
      </c>
      <c r="B33" s="78"/>
      <c r="C33" s="78"/>
      <c r="D33" s="100"/>
      <c r="E33" s="101" t="s">
        <v>114</v>
      </c>
      <c r="F33" s="102"/>
      <c r="G33" s="103"/>
      <c r="H33" s="103"/>
      <c r="I33" s="103">
        <f>'Rider Rates'!D52</f>
        <v>1.39</v>
      </c>
      <c r="J33" s="103">
        <f>SUM(G33:I33)</f>
        <v>1.39</v>
      </c>
      <c r="K33" s="104" t="s">
        <v>42</v>
      </c>
      <c r="L33" s="105"/>
      <c r="M33" s="105"/>
      <c r="N33" s="105">
        <f>J33</f>
        <v>1.39</v>
      </c>
      <c r="O33" s="105">
        <f>SUM(L33:N33)</f>
        <v>1.39</v>
      </c>
      <c r="P33" s="245">
        <f>'Rider Rates'!E52</f>
        <v>45474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197</v>
      </c>
      <c r="B34" s="78"/>
      <c r="C34" s="78"/>
      <c r="D34" s="100">
        <f>IF($C$14&lt;0,0,$C$14)</f>
        <v>0</v>
      </c>
      <c r="E34" s="113" t="s">
        <v>41</v>
      </c>
      <c r="F34" s="102" t="s">
        <v>8</v>
      </c>
      <c r="G34" s="103"/>
      <c r="H34" s="103">
        <f>'Rider Rates'!$B$59</f>
        <v>4.3837099999999997E-2</v>
      </c>
      <c r="I34" s="103"/>
      <c r="J34" s="103">
        <f>SUM(G34:I34)</f>
        <v>4.3837099999999997E-2</v>
      </c>
      <c r="K34" s="104" t="s">
        <v>42</v>
      </c>
      <c r="L34" s="105"/>
      <c r="M34" s="105">
        <f>ROUND(D34*H34,2)</f>
        <v>0</v>
      </c>
      <c r="N34" s="205"/>
      <c r="O34" s="105">
        <f t="shared" si="2"/>
        <v>0</v>
      </c>
      <c r="P34" s="245">
        <f>'Rider Rates'!$D$59</f>
        <v>45383</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346</v>
      </c>
      <c r="B35" s="78"/>
      <c r="C35" s="78"/>
      <c r="D35" s="100">
        <f>IF($C$14&lt;0,0,$C$14)</f>
        <v>0</v>
      </c>
      <c r="E35" s="101" t="s">
        <v>41</v>
      </c>
      <c r="F35" s="102" t="s">
        <v>8</v>
      </c>
      <c r="G35" s="103"/>
      <c r="H35" s="103"/>
      <c r="I35" s="103">
        <f>'Rider Rates'!$B$70</f>
        <v>8.6240000000000004E-4</v>
      </c>
      <c r="J35" s="103">
        <f t="shared" ref="J35" si="3">SUM(G35:I35)</f>
        <v>8.6240000000000004E-4</v>
      </c>
      <c r="K35" s="104" t="s">
        <v>42</v>
      </c>
      <c r="L35" s="105"/>
      <c r="M35" s="105"/>
      <c r="N35" s="105">
        <f>ROUND($D$35*'Rider Rates'!$B$70,2)</f>
        <v>0</v>
      </c>
      <c r="O35" s="105">
        <f t="shared" ref="O35" si="4">SUM(L35:N35)</f>
        <v>0</v>
      </c>
      <c r="P35" s="245">
        <f>'Rider Rates'!$D$70</f>
        <v>45532</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95</v>
      </c>
      <c r="B36" s="78"/>
      <c r="C36" s="78"/>
      <c r="D36" s="100">
        <f>IF('Customer Info'!C35=TRUE,0,IF($C$14&lt;0,0,$C$14))</f>
        <v>0</v>
      </c>
      <c r="E36" s="101" t="s">
        <v>41</v>
      </c>
      <c r="F36" s="102" t="s">
        <v>8</v>
      </c>
      <c r="G36" s="103"/>
      <c r="H36" s="103"/>
      <c r="I36" s="103">
        <f>'Rider Rates'!$B$73+'Rider Rates'!$C$73</f>
        <v>0</v>
      </c>
      <c r="J36" s="103">
        <f t="shared" si="0"/>
        <v>0</v>
      </c>
      <c r="K36" s="104" t="s">
        <v>42</v>
      </c>
      <c r="L36" s="105"/>
      <c r="M36" s="105"/>
      <c r="N36" s="105">
        <f>ROUND($D$36*'Rider Rates'!$B$73,2)+ROUND($D$36*'Rider Rates'!$C$73,2)</f>
        <v>0</v>
      </c>
      <c r="O36" s="105">
        <f t="shared" ref="O36:O46" si="5">SUM(L36:N36)</f>
        <v>0</v>
      </c>
      <c r="P36" s="245">
        <f>'Rider Rates'!$D$73</f>
        <v>44531</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80</v>
      </c>
      <c r="B37" s="78"/>
      <c r="C37" s="78"/>
      <c r="D37" s="195">
        <f>$N$21</f>
        <v>10</v>
      </c>
      <c r="E37" s="101" t="s">
        <v>121</v>
      </c>
      <c r="F37" s="102" t="s">
        <v>8</v>
      </c>
      <c r="G37" s="111"/>
      <c r="H37" s="112"/>
      <c r="I37" s="120">
        <f>'Rider Rates'!$B$89</f>
        <v>4.94232E-2</v>
      </c>
      <c r="J37" s="120">
        <f t="shared" si="0"/>
        <v>4.94232E-2</v>
      </c>
      <c r="K37" s="104"/>
      <c r="L37" s="105"/>
      <c r="M37" s="105"/>
      <c r="N37" s="105">
        <f>ROUND(D37*I37,2)</f>
        <v>0.49</v>
      </c>
      <c r="O37" s="105">
        <f t="shared" si="5"/>
        <v>0.49</v>
      </c>
      <c r="P37" s="245">
        <f>'Rider Rates'!$D$89</f>
        <v>45562</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81</v>
      </c>
      <c r="B38" s="78"/>
      <c r="C38" s="78"/>
      <c r="D38" s="195">
        <f>$N$21</f>
        <v>10</v>
      </c>
      <c r="E38" s="101" t="s">
        <v>121</v>
      </c>
      <c r="F38" s="102" t="s">
        <v>8</v>
      </c>
      <c r="G38" s="114"/>
      <c r="H38" s="115"/>
      <c r="I38" s="120">
        <f>'Rider Rates'!$B$91</f>
        <v>6.6985699999999995E-2</v>
      </c>
      <c r="J38" s="120">
        <f t="shared" si="0"/>
        <v>6.6985699999999995E-2</v>
      </c>
      <c r="K38" s="104"/>
      <c r="L38" s="105"/>
      <c r="M38" s="105"/>
      <c r="N38" s="105">
        <f>ROUND(D38*I38,2)</f>
        <v>0.67</v>
      </c>
      <c r="O38" s="105">
        <f t="shared" si="5"/>
        <v>0.67</v>
      </c>
      <c r="P38" s="245">
        <f>'Rider Rates'!$D$91</f>
        <v>45167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214</v>
      </c>
      <c r="B39" s="78"/>
      <c r="C39" s="78"/>
      <c r="D39" s="195"/>
      <c r="E39" s="113" t="s">
        <v>114</v>
      </c>
      <c r="F39" s="106"/>
      <c r="G39" s="114"/>
      <c r="H39" s="115"/>
      <c r="I39" s="196">
        <f>'Rider Rates'!$B$94</f>
        <v>2.0299999999999998</v>
      </c>
      <c r="J39" s="196">
        <f t="shared" si="0"/>
        <v>2.0299999999999998</v>
      </c>
      <c r="K39" s="104"/>
      <c r="L39" s="105"/>
      <c r="M39" s="105"/>
      <c r="N39" s="105">
        <f>I39</f>
        <v>2.0299999999999998</v>
      </c>
      <c r="O39" s="105">
        <f t="shared" si="5"/>
        <v>2.0299999999999998</v>
      </c>
      <c r="P39" s="245">
        <f>'Rider Rates'!$D$94</f>
        <v>45562</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156</v>
      </c>
      <c r="B40" s="78"/>
      <c r="C40" s="78"/>
      <c r="D40" s="195">
        <f>$N$21</f>
        <v>10</v>
      </c>
      <c r="E40" s="101" t="s">
        <v>121</v>
      </c>
      <c r="F40" s="102" t="s">
        <v>8</v>
      </c>
      <c r="G40" s="114"/>
      <c r="H40" s="115"/>
      <c r="I40" s="120">
        <f>'Rider Rates'!$B$109</f>
        <v>0.211176</v>
      </c>
      <c r="J40" s="120">
        <f t="shared" si="0"/>
        <v>0.211176</v>
      </c>
      <c r="K40" s="104"/>
      <c r="L40" s="105"/>
      <c r="M40" s="105"/>
      <c r="N40" s="105">
        <f>ROUND(D40*I40,2)</f>
        <v>2.11</v>
      </c>
      <c r="O40" s="105">
        <f t="shared" si="5"/>
        <v>2.11</v>
      </c>
      <c r="P40" s="245">
        <f>'Rider Rates'!$D$109</f>
        <v>45532</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217</v>
      </c>
      <c r="B41" s="78"/>
      <c r="C41" s="78"/>
      <c r="D41" s="195"/>
      <c r="E41" s="113" t="s">
        <v>114</v>
      </c>
      <c r="F41" s="106"/>
      <c r="G41" s="114"/>
      <c r="H41" s="115"/>
      <c r="I41" s="196">
        <f>'Rider Rates'!$B$112</f>
        <v>0</v>
      </c>
      <c r="J41" s="196">
        <f t="shared" si="0"/>
        <v>0</v>
      </c>
      <c r="K41" s="104"/>
      <c r="L41" s="105"/>
      <c r="M41" s="105"/>
      <c r="N41" s="105">
        <f>I41</f>
        <v>0</v>
      </c>
      <c r="O41" s="105">
        <f t="shared" si="5"/>
        <v>0</v>
      </c>
      <c r="P41" s="245">
        <f>'Rider Rates'!$D$112</f>
        <v>44894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225</v>
      </c>
      <c r="B42" s="78"/>
      <c r="C42" s="78"/>
      <c r="D42" s="195"/>
      <c r="E42" s="113" t="s">
        <v>114</v>
      </c>
      <c r="F42" s="106"/>
      <c r="G42" s="114"/>
      <c r="H42" s="115"/>
      <c r="I42" s="258">
        <f>'Rider Rates'!B125</f>
        <v>0.97</v>
      </c>
      <c r="J42" s="196">
        <f t="shared" si="0"/>
        <v>0.97</v>
      </c>
      <c r="K42" s="104"/>
      <c r="L42" s="105"/>
      <c r="M42" s="105"/>
      <c r="N42" s="260">
        <f>I42</f>
        <v>0.97</v>
      </c>
      <c r="O42" s="105">
        <f t="shared" si="5"/>
        <v>0.97</v>
      </c>
      <c r="P42" s="245">
        <f>'Rider Rates'!D125</f>
        <v>45593</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216</v>
      </c>
      <c r="B43" s="78"/>
      <c r="C43" s="78"/>
      <c r="D43" s="100">
        <f>IF($C$14&lt;1,0,$C$14)</f>
        <v>0</v>
      </c>
      <c r="E43" s="101" t="s">
        <v>41</v>
      </c>
      <c r="F43" s="249" t="s">
        <v>8</v>
      </c>
      <c r="G43" s="103"/>
      <c r="H43" s="103"/>
      <c r="I43" s="237">
        <f>'Rider Rates'!$B$121</f>
        <v>-2.3000000000000001E-4</v>
      </c>
      <c r="J43" s="237">
        <f>SUM(G43:I43)</f>
        <v>-2.3000000000000001E-4</v>
      </c>
      <c r="K43" s="104" t="s">
        <v>42</v>
      </c>
      <c r="L43" s="105"/>
      <c r="M43" s="105"/>
      <c r="N43" s="105">
        <f>D43*J43</f>
        <v>0</v>
      </c>
      <c r="O43" s="105">
        <f t="shared" si="5"/>
        <v>0</v>
      </c>
      <c r="P43" s="245">
        <f>'Rider Rates'!D121</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41" t="s">
        <v>238</v>
      </c>
      <c r="B44" s="78"/>
      <c r="C44" s="78"/>
      <c r="D44" s="100"/>
      <c r="E44" s="101" t="s">
        <v>114</v>
      </c>
      <c r="F44" s="102" t="s">
        <v>8</v>
      </c>
      <c r="G44" s="263"/>
      <c r="H44" s="263"/>
      <c r="I44" s="263">
        <f>'Rider Rates'!$B$129</f>
        <v>0.1</v>
      </c>
      <c r="J44" s="263">
        <f>SUM(G44:I44)</f>
        <v>0.1</v>
      </c>
      <c r="K44" s="104"/>
      <c r="L44" s="209"/>
      <c r="M44" s="209"/>
      <c r="N44" s="209">
        <f>J44</f>
        <v>0.1</v>
      </c>
      <c r="O44" s="209">
        <f t="shared" si="5"/>
        <v>0.1</v>
      </c>
      <c r="P44" s="264">
        <f>'Rider Rates'!$E$129</f>
        <v>44927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41" t="s">
        <v>250</v>
      </c>
      <c r="B45" s="78"/>
      <c r="C45" s="78"/>
      <c r="D45" s="100">
        <f>C14</f>
        <v>0</v>
      </c>
      <c r="E45" s="101" t="s">
        <v>41</v>
      </c>
      <c r="F45" s="249" t="s">
        <v>8</v>
      </c>
      <c r="G45" s="103"/>
      <c r="H45" s="103"/>
      <c r="I45" s="103">
        <f>'Rider Rates'!$B$134</f>
        <v>0</v>
      </c>
      <c r="J45" s="237">
        <f>SUM(G45:I45)</f>
        <v>0</v>
      </c>
      <c r="K45" s="104" t="s">
        <v>42</v>
      </c>
      <c r="L45" s="105"/>
      <c r="M45" s="105"/>
      <c r="N45" s="105">
        <f>D45*J45</f>
        <v>0</v>
      </c>
      <c r="O45" s="105">
        <f t="shared" si="5"/>
        <v>0</v>
      </c>
      <c r="P45" s="245">
        <f>'Rider Rates'!D134</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41" t="s">
        <v>249</v>
      </c>
      <c r="B46" s="78"/>
      <c r="C46" s="78"/>
      <c r="D46" s="100"/>
      <c r="E46" s="101" t="s">
        <v>114</v>
      </c>
      <c r="F46" s="102" t="s">
        <v>8</v>
      </c>
      <c r="G46" s="263"/>
      <c r="H46" s="263"/>
      <c r="I46" s="263">
        <f>'Rider Rates'!$B$141</f>
        <v>0</v>
      </c>
      <c r="J46" s="263">
        <f>SUM(G46:I46)</f>
        <v>0</v>
      </c>
      <c r="K46" s="104"/>
      <c r="L46" s="209"/>
      <c r="M46" s="209"/>
      <c r="N46" s="209">
        <f>J46</f>
        <v>0</v>
      </c>
      <c r="O46" s="209">
        <f t="shared" si="5"/>
        <v>0</v>
      </c>
      <c r="P46" s="264">
        <f>'Rider Rates'!$D$137</f>
        <v>44531</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41" t="s">
        <v>251</v>
      </c>
      <c r="B47" s="78"/>
      <c r="C47" s="78"/>
      <c r="D47" s="100"/>
      <c r="E47" s="101"/>
      <c r="F47" s="102"/>
      <c r="G47" s="263"/>
      <c r="H47" s="263"/>
      <c r="I47" s="263"/>
      <c r="J47" s="263"/>
      <c r="K47" s="104"/>
      <c r="L47" s="209"/>
      <c r="M47" s="209"/>
      <c r="N47" s="209"/>
      <c r="O47" s="209"/>
      <c r="P47" s="264"/>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179" t="s">
        <v>70</v>
      </c>
      <c r="B48" s="148"/>
      <c r="C48" s="148"/>
      <c r="D48" s="180"/>
      <c r="E48" s="181"/>
      <c r="F48" s="182"/>
      <c r="G48" s="182"/>
      <c r="H48" s="182"/>
      <c r="I48" s="182"/>
      <c r="J48" s="182"/>
      <c r="K48" s="183"/>
      <c r="L48" s="169">
        <f>SUM(L25:L47)</f>
        <v>0</v>
      </c>
      <c r="M48" s="169">
        <f>SUM(M25:M47)</f>
        <v>0</v>
      </c>
      <c r="N48" s="169">
        <f>SUM(N25:N47)</f>
        <v>7.7599999999999989</v>
      </c>
      <c r="O48" s="169">
        <f>SUM(O25:O47)</f>
        <v>7.7599999999999989</v>
      </c>
      <c r="P48" s="184"/>
      <c r="Q48" s="106"/>
      <c r="R48" s="166"/>
      <c r="S48" s="166"/>
      <c r="T48" s="189"/>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78"/>
      <c r="B49" s="78"/>
      <c r="C49" s="78"/>
      <c r="D49" s="100"/>
      <c r="E49" s="113"/>
      <c r="F49" s="106"/>
      <c r="G49" s="106"/>
      <c r="H49" s="106"/>
      <c r="I49" s="106"/>
      <c r="J49" s="107"/>
      <c r="K49" s="104"/>
      <c r="L49" s="106"/>
      <c r="M49" s="106"/>
      <c r="N49" s="106"/>
      <c r="O49" s="106"/>
      <c r="P49" s="164"/>
      <c r="Q49" s="106"/>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170"/>
      <c r="B50" s="170"/>
      <c r="C50" s="170"/>
      <c r="D50" s="170"/>
      <c r="E50" s="170"/>
      <c r="F50" s="170"/>
      <c r="G50" s="170"/>
      <c r="H50" s="170"/>
      <c r="I50" s="170"/>
      <c r="J50" s="170"/>
      <c r="K50" s="170"/>
      <c r="L50" s="186">
        <f>L21+L48</f>
        <v>0</v>
      </c>
      <c r="M50" s="186">
        <f>M21+M48</f>
        <v>0</v>
      </c>
      <c r="N50" s="186">
        <f>N21+N48</f>
        <v>17.759999999999998</v>
      </c>
      <c r="O50" s="187">
        <f>O21+O48</f>
        <v>17.759999999999998</v>
      </c>
      <c r="P50" s="187"/>
      <c r="Q50" s="106"/>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c r="B51" s="78"/>
      <c r="C51" s="78"/>
      <c r="D51" s="78"/>
      <c r="E51" s="78"/>
      <c r="F51" s="78"/>
      <c r="G51" s="78"/>
      <c r="H51" s="78"/>
      <c r="I51" s="78"/>
      <c r="J51" s="78"/>
      <c r="K51" s="78"/>
      <c r="L51" s="78"/>
      <c r="M51" s="78"/>
      <c r="N51" s="151"/>
      <c r="O51" s="151"/>
      <c r="P51" s="151"/>
      <c r="Q51" s="166"/>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166" t="s">
        <v>92</v>
      </c>
      <c r="B52" s="78"/>
      <c r="C52" s="78"/>
      <c r="D52" s="78"/>
      <c r="E52" s="78"/>
      <c r="F52" s="78"/>
      <c r="G52" s="78"/>
      <c r="H52" s="78"/>
      <c r="I52" s="78"/>
      <c r="J52" s="78"/>
      <c r="K52" s="78"/>
      <c r="L52" s="78"/>
      <c r="M52" s="78"/>
      <c r="N52" s="78"/>
      <c r="O52" s="109">
        <f>IF($C$14&lt;=0,MIN(O19,O50), O19)</f>
        <v>10</v>
      </c>
      <c r="P52" s="151"/>
      <c r="Q52" s="166"/>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78"/>
      <c r="B53" s="166"/>
      <c r="C53" s="166"/>
      <c r="D53" s="166"/>
      <c r="E53" s="166"/>
      <c r="F53" s="166"/>
      <c r="G53" s="166"/>
      <c r="H53" s="166"/>
      <c r="I53" s="78"/>
      <c r="J53" s="78"/>
      <c r="K53" s="78"/>
      <c r="L53" s="78"/>
      <c r="M53" s="78"/>
      <c r="N53" s="151"/>
      <c r="O53" s="151"/>
      <c r="P53" s="151"/>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148" t="s">
        <v>116</v>
      </c>
      <c r="B54" s="151"/>
      <c r="C54" s="151"/>
      <c r="D54" s="151"/>
      <c r="E54" s="151"/>
      <c r="F54" s="151"/>
      <c r="G54" s="151"/>
      <c r="H54" s="151"/>
      <c r="I54" s="151"/>
      <c r="J54" s="151"/>
      <c r="K54" s="151"/>
      <c r="L54" s="151"/>
      <c r="M54" s="151"/>
      <c r="N54" s="151"/>
      <c r="O54" s="190">
        <f>IF($C$14&lt;0,O50,IF(O50&gt;O52,O50,I49))</f>
        <v>17.759999999999998</v>
      </c>
      <c r="P54" s="160"/>
      <c r="Q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78"/>
      <c r="B55" s="151"/>
      <c r="C55" s="151"/>
      <c r="D55" s="151"/>
      <c r="E55" s="151"/>
      <c r="F55" s="151"/>
      <c r="G55" s="151"/>
      <c r="H55" s="151"/>
      <c r="I55" s="151"/>
      <c r="J55" s="151"/>
      <c r="K55" s="151"/>
      <c r="L55" s="151"/>
      <c r="M55" s="151"/>
      <c r="N55" s="151"/>
      <c r="O55" s="138"/>
      <c r="P55" s="160"/>
      <c r="Q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78"/>
      <c r="B56" s="166"/>
      <c r="C56" s="166"/>
      <c r="D56" s="166"/>
      <c r="E56" s="166"/>
      <c r="F56" s="166"/>
      <c r="G56" s="166"/>
      <c r="H56" s="166"/>
      <c r="I56" s="166" t="s">
        <v>120</v>
      </c>
      <c r="J56" s="166"/>
      <c r="K56" s="166"/>
      <c r="L56" s="191"/>
      <c r="M56" s="191"/>
      <c r="N56" s="191"/>
      <c r="O56" s="191">
        <f>ROUND(IF($C$14&lt;1,0,O50/($C$14*100)*10000),2)</f>
        <v>0</v>
      </c>
      <c r="P56" s="37" t="s">
        <v>86</v>
      </c>
      <c r="Q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row>
    <row r="57" spans="1:236" x14ac:dyDescent="0.25">
      <c r="A57" s="78"/>
      <c r="B57" s="78"/>
      <c r="C57" s="78"/>
      <c r="D57" s="78"/>
      <c r="E57" s="78"/>
      <c r="F57" s="78"/>
      <c r="G57" s="78"/>
      <c r="H57" s="192"/>
      <c r="I57" s="242" t="s">
        <v>198</v>
      </c>
      <c r="J57" s="78"/>
      <c r="K57" s="78"/>
      <c r="L57" s="78"/>
      <c r="M57" s="78"/>
      <c r="N57" s="78"/>
      <c r="O57" s="243">
        <f>ROUND(IF($C$14&lt;1,0,(L50)/($C$14*100)*10000),2)</f>
        <v>0</v>
      </c>
      <c r="P57" s="25" t="s">
        <v>86</v>
      </c>
      <c r="Q57" s="78"/>
      <c r="AE57" s="78"/>
      <c r="AF57" s="78"/>
      <c r="AG57" s="78"/>
      <c r="AH57" s="78"/>
      <c r="AI57" s="78"/>
      <c r="AJ57" s="78"/>
      <c r="AK57" s="78"/>
      <c r="AL57" s="78"/>
      <c r="AM57" s="78"/>
      <c r="AN57" s="78"/>
      <c r="AO57" s="78"/>
      <c r="AP57" s="78"/>
      <c r="AQ57" s="78"/>
      <c r="AR57" s="78"/>
      <c r="AS57" s="78"/>
      <c r="AT57" s="78"/>
      <c r="HE57" s="78"/>
      <c r="HF57" s="78"/>
      <c r="HG57" s="78"/>
      <c r="HH57" s="78"/>
      <c r="HI57" s="78"/>
      <c r="HJ57" s="78"/>
      <c r="HK57" s="78"/>
      <c r="HL57" s="78"/>
      <c r="HM57" s="78"/>
      <c r="HN57" s="78"/>
    </row>
    <row r="58" spans="1:236" x14ac:dyDescent="0.25">
      <c r="A58" s="78"/>
    </row>
    <row r="59" spans="1:236" x14ac:dyDescent="0.25">
      <c r="A59" s="78"/>
    </row>
    <row r="60" spans="1:236" x14ac:dyDescent="0.25">
      <c r="A60" s="78"/>
    </row>
    <row r="61" spans="1:236" x14ac:dyDescent="0.25">
      <c r="A61" s="78"/>
    </row>
    <row r="62" spans="1:236" x14ac:dyDescent="0.25">
      <c r="A62" s="78"/>
    </row>
    <row r="63" spans="1:236" x14ac:dyDescent="0.25">
      <c r="A63" s="78"/>
    </row>
  </sheetData>
  <sheetProtection algorithmName="SHA-512" hashValue="qbTCfGLt5NHlr2mFkDhE2s3MPRa6QXi++9MVMS81yIpQ1h+5D2YNN/8sHlWyTKn+5OobEZrd7Y/Lsclfpt3RlQ==" saltValue="P13FW7Bvxp3GSlMwNCMhGA=="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Button 1">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9874" r:id="rId5" name="Button 2">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79875"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dimension ref="A1:IB61"/>
  <sheetViews>
    <sheetView showGridLines="0" topLeftCell="A18" zoomScale="80" zoomScaleNormal="80" workbookViewId="0">
      <selection activeCell="J44" sqref="J44"/>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row>
    <row r="2" spans="1:30" ht="21" x14ac:dyDescent="0.4">
      <c r="A2" s="552" t="s">
        <v>122</v>
      </c>
      <c r="B2" s="552"/>
      <c r="C2" s="552"/>
      <c r="D2" s="552"/>
      <c r="E2" s="552"/>
      <c r="F2" s="552"/>
      <c r="G2" s="552"/>
      <c r="H2" s="552"/>
      <c r="I2" s="552"/>
      <c r="J2" s="552"/>
      <c r="K2" s="552"/>
      <c r="L2" s="552"/>
      <c r="M2" s="552"/>
      <c r="N2" s="552"/>
      <c r="O2" s="552"/>
      <c r="P2" s="552"/>
    </row>
    <row r="3" spans="1:30" ht="17.399999999999999" x14ac:dyDescent="0.3">
      <c r="A3" s="568" t="s">
        <v>280</v>
      </c>
      <c r="B3" s="568"/>
      <c r="C3" s="568"/>
      <c r="D3" s="568"/>
      <c r="E3" s="568"/>
      <c r="F3" s="568"/>
      <c r="G3" s="568"/>
      <c r="H3" s="568"/>
      <c r="I3" s="568"/>
      <c r="J3" s="568"/>
      <c r="K3" s="568"/>
      <c r="L3" s="568"/>
      <c r="M3" s="568"/>
      <c r="N3" s="568"/>
      <c r="O3" s="568"/>
      <c r="P3" s="568"/>
    </row>
    <row r="4" spans="1:30"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5">
      <c r="A5" s="75"/>
      <c r="B5" s="75"/>
      <c r="C5" s="75"/>
      <c r="D5" s="75"/>
      <c r="E5" s="75"/>
      <c r="F5" s="75"/>
      <c r="G5" s="75"/>
      <c r="H5" s="75"/>
      <c r="I5" s="75"/>
      <c r="J5" s="75"/>
      <c r="K5" s="75"/>
    </row>
    <row r="6" spans="1:30" x14ac:dyDescent="0.25">
      <c r="A6" s="76">
        <f ca="1">TODAY()</f>
        <v>45588</v>
      </c>
      <c r="B6" s="210" t="s">
        <v>278</v>
      </c>
      <c r="C6" s="76"/>
      <c r="D6" s="76"/>
      <c r="E6" s="76"/>
      <c r="F6" s="76"/>
      <c r="G6" s="76"/>
      <c r="H6" s="76"/>
      <c r="I6" s="76"/>
    </row>
    <row r="7" spans="1:30" ht="24.6" x14ac:dyDescent="0.4">
      <c r="A7" s="569"/>
      <c r="B7" s="569"/>
      <c r="C7" s="569"/>
      <c r="D7" s="569"/>
      <c r="E7" s="569"/>
      <c r="F7" s="569"/>
      <c r="G7" s="569"/>
      <c r="H7" s="569"/>
      <c r="I7" s="569"/>
      <c r="J7" s="569"/>
      <c r="K7" s="569"/>
      <c r="L7" s="569"/>
      <c r="M7" s="569"/>
      <c r="N7" s="569"/>
      <c r="O7" s="569"/>
      <c r="P7" s="569"/>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11</v>
      </c>
      <c r="C11" s="194" t="str">
        <f>LOOKUP(B11,R11:AD11,R12:AD12)</f>
        <v>November</v>
      </c>
      <c r="D11" s="133">
        <f>'Customer Info'!C9</f>
        <v>2024</v>
      </c>
      <c r="S11">
        <v>1</v>
      </c>
      <c r="T11">
        <v>2</v>
      </c>
      <c r="U11">
        <v>3</v>
      </c>
      <c r="V11">
        <v>4</v>
      </c>
      <c r="W11">
        <v>5</v>
      </c>
      <c r="X11">
        <v>6</v>
      </c>
      <c r="Y11">
        <v>7</v>
      </c>
      <c r="Z11">
        <v>8</v>
      </c>
      <c r="AA11">
        <v>9</v>
      </c>
      <c r="AB11">
        <v>10</v>
      </c>
      <c r="AC11">
        <v>11</v>
      </c>
      <c r="AD11">
        <v>12</v>
      </c>
    </row>
    <row r="12" spans="1:30" x14ac:dyDescent="0.25">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c r="B16" s="31"/>
      <c r="C16" s="32"/>
      <c r="D16" s="31"/>
      <c r="E16" s="31"/>
      <c r="F16" s="33"/>
      <c r="G16" s="23" t="s">
        <v>15</v>
      </c>
      <c r="H16" s="31"/>
    </row>
    <row r="17" spans="1:221" x14ac:dyDescent="0.25">
      <c r="A17" s="31"/>
      <c r="B17" s="31"/>
      <c r="C17" s="33"/>
      <c r="D17" s="33"/>
      <c r="E17" s="33"/>
      <c r="F17" s="33"/>
      <c r="G17" s="23" t="s">
        <v>15</v>
      </c>
      <c r="H17" s="31"/>
      <c r="I17" s="52" t="s">
        <v>15</v>
      </c>
    </row>
    <row r="19" spans="1:221" x14ac:dyDescent="0.25">
      <c r="A19" s="28" t="s">
        <v>31</v>
      </c>
      <c r="B19" s="22"/>
      <c r="C19" s="22"/>
      <c r="D19" s="22"/>
      <c r="E19" s="22"/>
      <c r="F19" s="22"/>
      <c r="G19" s="563" t="s">
        <v>67</v>
      </c>
      <c r="H19" s="564"/>
      <c r="I19" s="564"/>
      <c r="J19" s="565"/>
      <c r="K19" s="22"/>
      <c r="L19" s="566" t="s">
        <v>68</v>
      </c>
      <c r="M19" s="566"/>
      <c r="N19" s="566"/>
      <c r="O19" s="566"/>
    </row>
    <row r="20" spans="1:221" x14ac:dyDescent="0.25">
      <c r="A20" s="18"/>
      <c r="B20" s="18"/>
      <c r="C20" s="18"/>
      <c r="D20" s="18"/>
      <c r="E20" s="18"/>
      <c r="F20" s="18"/>
      <c r="G20" s="8" t="s">
        <v>64</v>
      </c>
      <c r="H20" s="8" t="s">
        <v>65</v>
      </c>
      <c r="I20" s="8" t="s">
        <v>66</v>
      </c>
      <c r="J20" s="112" t="s">
        <v>34</v>
      </c>
      <c r="K20" s="18"/>
      <c r="L20" s="131" t="s">
        <v>64</v>
      </c>
      <c r="M20" s="131" t="s">
        <v>65</v>
      </c>
      <c r="N20" s="131" t="s">
        <v>66</v>
      </c>
      <c r="O20" s="132" t="s">
        <v>34</v>
      </c>
      <c r="P20" s="43" t="s">
        <v>56</v>
      </c>
    </row>
    <row r="21" spans="1:221" x14ac:dyDescent="0.25">
      <c r="A21" t="s">
        <v>32</v>
      </c>
      <c r="G21" s="86"/>
      <c r="H21" s="86"/>
      <c r="I21" s="86">
        <v>9.4</v>
      </c>
      <c r="J21" s="86">
        <f>SUM(G21:I21)</f>
        <v>9.4</v>
      </c>
      <c r="L21" s="88"/>
      <c r="M21" s="88"/>
      <c r="N21" s="88">
        <f>I21</f>
        <v>9.4</v>
      </c>
      <c r="O21" s="209">
        <f>SUM(L21:N21)</f>
        <v>9.4</v>
      </c>
      <c r="P21" s="245">
        <v>44531</v>
      </c>
    </row>
    <row r="22" spans="1:221" x14ac:dyDescent="0.25">
      <c r="A22" t="s">
        <v>72</v>
      </c>
      <c r="D22" s="1">
        <f>MAX(MIN($C$15,1000),-1000)</f>
        <v>0</v>
      </c>
      <c r="E22" s="35" t="s">
        <v>41</v>
      </c>
      <c r="F22" s="4" t="s">
        <v>8</v>
      </c>
      <c r="G22" s="84"/>
      <c r="H22" s="84"/>
      <c r="I22" s="84">
        <v>2.30262E-2</v>
      </c>
      <c r="J22" s="84">
        <f>SUM(G22:I22)</f>
        <v>2.30262E-2</v>
      </c>
      <c r="K22" s="36" t="s">
        <v>42</v>
      </c>
      <c r="L22" s="87"/>
      <c r="M22" s="87"/>
      <c r="N22" s="87">
        <f>IF(C15&lt;0,0,ROUND($D22*I22,2))</f>
        <v>0</v>
      </c>
      <c r="O22" s="209">
        <f>SUM(L22:N22)</f>
        <v>0</v>
      </c>
      <c r="P22" s="245">
        <v>45261</v>
      </c>
    </row>
    <row r="23" spans="1:221" x14ac:dyDescent="0.25">
      <c r="A23" t="s">
        <v>73</v>
      </c>
      <c r="D23" s="1">
        <f>IF($C$15&gt;0,MAX($C$15-1000,0),MIN($C$15+1000,0))</f>
        <v>0</v>
      </c>
      <c r="E23" s="35" t="s">
        <v>41</v>
      </c>
      <c r="F23" s="4" t="s">
        <v>8</v>
      </c>
      <c r="G23" s="84"/>
      <c r="H23" s="84"/>
      <c r="I23" s="84">
        <v>2.30262E-2</v>
      </c>
      <c r="J23" s="84">
        <f>SUM(G23:I23)</f>
        <v>2.30262E-2</v>
      </c>
      <c r="K23" s="36" t="s">
        <v>42</v>
      </c>
      <c r="L23" s="87"/>
      <c r="M23" s="87"/>
      <c r="N23" s="87">
        <f>ROUND($D23*I23,2)</f>
        <v>0</v>
      </c>
      <c r="O23" s="87">
        <f>SUM(L23:N23)</f>
        <v>0</v>
      </c>
      <c r="P23" s="245">
        <v>45261</v>
      </c>
    </row>
    <row r="24" spans="1:221" x14ac:dyDescent="0.25">
      <c r="A24" s="37" t="s">
        <v>50</v>
      </c>
      <c r="B24" s="37"/>
      <c r="C24" s="37"/>
      <c r="D24" s="38"/>
      <c r="E24" s="38"/>
      <c r="F24" s="37"/>
      <c r="G24" s="37"/>
      <c r="H24" s="37"/>
      <c r="I24" s="37"/>
      <c r="J24" s="37"/>
      <c r="K24" s="39"/>
      <c r="L24" s="40"/>
      <c r="M24" s="40"/>
      <c r="N24" s="40">
        <f>SUM(N21:N23)</f>
        <v>9.4</v>
      </c>
      <c r="O24" s="40">
        <f>SUM(O21:O23)</f>
        <v>9.4</v>
      </c>
    </row>
    <row r="25" spans="1:221" x14ac:dyDescent="0.25">
      <c r="A25" s="89"/>
      <c r="B25" s="89"/>
      <c r="C25" s="90"/>
      <c r="D25" s="90"/>
      <c r="E25" s="90"/>
      <c r="F25" s="90"/>
      <c r="G25" s="91"/>
      <c r="H25" s="91"/>
      <c r="I25" s="91"/>
      <c r="J25" s="91"/>
      <c r="K25" s="89"/>
      <c r="L25" s="89"/>
      <c r="M25" s="89"/>
      <c r="N25" s="89"/>
      <c r="O25" s="89"/>
      <c r="P25" s="89"/>
    </row>
    <row r="26" spans="1:221" x14ac:dyDescent="0.25">
      <c r="A26" s="148" t="s">
        <v>69</v>
      </c>
      <c r="B26" s="166"/>
      <c r="C26" s="166"/>
      <c r="D26" s="167"/>
      <c r="E26" s="167"/>
      <c r="F26" s="166"/>
      <c r="G26" s="167"/>
      <c r="H26" s="167"/>
      <c r="I26" s="167"/>
      <c r="J26" s="167"/>
      <c r="K26" s="167"/>
      <c r="L26" s="167"/>
      <c r="M26" s="167"/>
      <c r="N26" s="167"/>
      <c r="O26" s="167"/>
      <c r="P26" s="160"/>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151"/>
      <c r="B27" s="151"/>
      <c r="C27" s="151"/>
      <c r="D27" s="151"/>
      <c r="E27" s="151"/>
      <c r="F27" s="151"/>
      <c r="G27" s="151"/>
      <c r="H27" s="151"/>
      <c r="I27" s="151"/>
      <c r="J27" s="151"/>
      <c r="K27" s="151"/>
      <c r="L27" s="151"/>
      <c r="M27" s="151"/>
      <c r="N27" s="151"/>
      <c r="O27" s="151"/>
      <c r="P27" s="174"/>
      <c r="Q27" s="106"/>
      <c r="R27" s="175"/>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78</v>
      </c>
      <c r="B28" s="176"/>
      <c r="C28" s="176"/>
      <c r="D28" s="100">
        <f>IF($C$15&lt;0,0,IF($C$15&gt;833000,833000,$C$15))</f>
        <v>0</v>
      </c>
      <c r="E28" s="101" t="s">
        <v>41</v>
      </c>
      <c r="F28" s="102" t="s">
        <v>8</v>
      </c>
      <c r="G28" s="103"/>
      <c r="H28" s="103"/>
      <c r="I28" s="103">
        <f>'Rider Rates'!$B$4</f>
        <v>5.9216E-3</v>
      </c>
      <c r="J28" s="103">
        <f t="shared" ref="J28:J44" si="0">SUM(G28:I28)</f>
        <v>5.9216E-3</v>
      </c>
      <c r="K28" s="104" t="s">
        <v>42</v>
      </c>
      <c r="L28" s="105"/>
      <c r="M28" s="105"/>
      <c r="N28" s="105">
        <f t="shared" ref="N28:N33" si="1">ROUND(D28*I28,2)</f>
        <v>0</v>
      </c>
      <c r="O28" s="105">
        <f t="shared" ref="O28:O44" si="2">SUM(L28:N28)</f>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79</v>
      </c>
      <c r="B29" s="78"/>
      <c r="C29" s="78"/>
      <c r="D29" s="123">
        <f>IF($C$15&gt;833000,$C$15-833000,0)</f>
        <v>0</v>
      </c>
      <c r="E29" s="101" t="s">
        <v>41</v>
      </c>
      <c r="F29" s="102" t="s">
        <v>8</v>
      </c>
      <c r="G29" s="103"/>
      <c r="H29" s="103"/>
      <c r="I29" s="103">
        <f>'Rider Rates'!$B$5</f>
        <v>1.7560000000000001E-4</v>
      </c>
      <c r="J29" s="103">
        <f t="shared" si="0"/>
        <v>1.7560000000000001E-4</v>
      </c>
      <c r="K29" s="104" t="s">
        <v>42</v>
      </c>
      <c r="L29" s="105"/>
      <c r="M29" s="105"/>
      <c r="N29" s="105">
        <f t="shared" si="1"/>
        <v>0</v>
      </c>
      <c r="O29" s="105">
        <f t="shared" si="2"/>
        <v>0</v>
      </c>
      <c r="P29" s="245">
        <f>'Rider Rates'!$D$4</f>
        <v>45293</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96</v>
      </c>
      <c r="B30" s="78"/>
      <c r="C30" s="78"/>
      <c r="D30" s="100">
        <f>IF('Customer Info'!$C$33=TRUE,0,IF($C$15&lt;0,0,IF($C$15&gt;2000,2000,$C$15)))</f>
        <v>0</v>
      </c>
      <c r="E30" s="101" t="s">
        <v>41</v>
      </c>
      <c r="F30" s="102" t="s">
        <v>8</v>
      </c>
      <c r="G30" s="103"/>
      <c r="H30" s="103"/>
      <c r="I30" s="177">
        <f>'Rider Rates'!$B$8</f>
        <v>4.6499999999999996E-3</v>
      </c>
      <c r="J30" s="177">
        <f t="shared" si="0"/>
        <v>4.6499999999999996E-3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97</v>
      </c>
      <c r="B31" s="78"/>
      <c r="C31" s="78"/>
      <c r="D31" s="100">
        <f>IF('Customer Info'!$C$33=TRUE,0,IF($C$15&lt;=2000,0,IF($C$15=0,0,IF($C$15-2000&gt;13000,13000,$C$15-2000))))</f>
        <v>0</v>
      </c>
      <c r="E31" s="101" t="s">
        <v>41</v>
      </c>
      <c r="F31" s="102" t="s">
        <v>8</v>
      </c>
      <c r="G31" s="103"/>
      <c r="H31" s="103"/>
      <c r="I31" s="177">
        <f>'Rider Rates'!$B$9</f>
        <v>4.1900000000000001E-3</v>
      </c>
      <c r="J31" s="177">
        <f t="shared" si="0"/>
        <v>4.1900000000000001E-3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98</v>
      </c>
      <c r="B32" s="78"/>
      <c r="C32" s="78"/>
      <c r="D32" s="100">
        <f>IF('Customer Info'!$C$33=TRUE,0,IF($C$15=0,0,IF($C$15-15000&gt;=0,$C$15-15000,0)))</f>
        <v>0</v>
      </c>
      <c r="E32" s="101" t="s">
        <v>41</v>
      </c>
      <c r="F32" s="102" t="s">
        <v>8</v>
      </c>
      <c r="G32" s="103"/>
      <c r="H32" s="103"/>
      <c r="I32" s="177">
        <f>'Rider Rates'!$B$10</f>
        <v>3.63E-3</v>
      </c>
      <c r="J32" s="177">
        <f t="shared" si="0"/>
        <v>3.63E-3</v>
      </c>
      <c r="K32" s="104" t="s">
        <v>42</v>
      </c>
      <c r="L32" s="105"/>
      <c r="M32" s="105"/>
      <c r="N32" s="105">
        <f t="shared" si="1"/>
        <v>0</v>
      </c>
      <c r="O32" s="105">
        <f t="shared" si="2"/>
        <v>0</v>
      </c>
      <c r="P32" s="245">
        <f>'Rider Rates'!$D$7</f>
        <v>44531</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159</v>
      </c>
      <c r="B33" s="78"/>
      <c r="C33" s="78"/>
      <c r="D33" s="100">
        <f>IF($C$15&lt;0,0,$C$15)</f>
        <v>0</v>
      </c>
      <c r="E33" s="101" t="s">
        <v>41</v>
      </c>
      <c r="F33" s="102" t="s">
        <v>8</v>
      </c>
      <c r="G33" s="103"/>
      <c r="H33" s="103"/>
      <c r="I33" s="103">
        <f>'Rider Rates'!$B$16</f>
        <v>0</v>
      </c>
      <c r="J33" s="103">
        <f>SUM(G33:I33)</f>
        <v>0</v>
      </c>
      <c r="K33" s="104" t="s">
        <v>42</v>
      </c>
      <c r="L33" s="105"/>
      <c r="M33" s="105"/>
      <c r="N33" s="105">
        <f t="shared" si="1"/>
        <v>0</v>
      </c>
      <c r="O33" s="105">
        <f t="shared" si="2"/>
        <v>0</v>
      </c>
      <c r="P33" s="245">
        <f>'Rider Rates'!$D$16</f>
        <v>45197</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245</v>
      </c>
      <c r="B34" s="78"/>
      <c r="C34" s="78"/>
      <c r="D34" s="195">
        <f>$N$24</f>
        <v>9.4</v>
      </c>
      <c r="E34" s="101" t="s">
        <v>121</v>
      </c>
      <c r="F34" s="102" t="s">
        <v>8</v>
      </c>
      <c r="G34" s="103"/>
      <c r="H34" s="103"/>
      <c r="I34" s="178">
        <f>'Rider Rates'!$B$18+'Rider Rates'!$E$18</f>
        <v>0</v>
      </c>
      <c r="J34" s="178">
        <f>SUM(G34:I34)</f>
        <v>0</v>
      </c>
      <c r="K34" s="104"/>
      <c r="L34" s="105"/>
      <c r="M34" s="105"/>
      <c r="N34" s="105">
        <f>ROUND($D$34*'Rider Rates'!$B$18,2)+ROUND($D$34*'Rider Rates'!$E$18,2)</f>
        <v>0</v>
      </c>
      <c r="O34" s="105">
        <f t="shared" si="2"/>
        <v>0</v>
      </c>
      <c r="P34" s="245">
        <f>MAX('Rider Rates'!$D$18,'Rider Rates'!$F$18)</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41" t="s">
        <v>218</v>
      </c>
      <c r="B35" s="78"/>
      <c r="C35" s="78"/>
      <c r="D35" s="100">
        <f>IF($C$15&lt;0,0,IF($C$15&gt;833000,833000,$C$15))</f>
        <v>0</v>
      </c>
      <c r="E35" s="101" t="s">
        <v>41</v>
      </c>
      <c r="F35" s="102" t="s">
        <v>8</v>
      </c>
      <c r="G35" s="103"/>
      <c r="H35" s="103"/>
      <c r="I35" s="103">
        <f>'Rider Rates'!D53</f>
        <v>1.8006999999999999E-3</v>
      </c>
      <c r="J35" s="103">
        <f>SUM(G35:I35)</f>
        <v>1.8006999999999999E-3</v>
      </c>
      <c r="K35" s="104" t="s">
        <v>42</v>
      </c>
      <c r="L35" s="105"/>
      <c r="M35" s="105"/>
      <c r="N35" s="105">
        <f>D35*J35</f>
        <v>0</v>
      </c>
      <c r="O35" s="105">
        <f t="shared" si="2"/>
        <v>0</v>
      </c>
      <c r="P35" s="245">
        <f>'Rider Rates'!E53</f>
        <v>45474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197</v>
      </c>
      <c r="B36" s="78"/>
      <c r="C36" s="78"/>
      <c r="D36" s="100">
        <f>IF($C$15&lt;0,0,$C$15)</f>
        <v>0</v>
      </c>
      <c r="E36" s="113" t="s">
        <v>41</v>
      </c>
      <c r="F36" s="102" t="s">
        <v>8</v>
      </c>
      <c r="G36" s="103"/>
      <c r="H36" s="103">
        <f>'Rider Rates'!$B$60</f>
        <v>2.3467399999999999E-2</v>
      </c>
      <c r="I36" s="103"/>
      <c r="J36" s="103">
        <f>SUM(G36:I36)</f>
        <v>2.3467399999999999E-2</v>
      </c>
      <c r="K36" s="104" t="s">
        <v>42</v>
      </c>
      <c r="L36" s="105"/>
      <c r="M36" s="105">
        <f>ROUND(D36*H36,2)</f>
        <v>0</v>
      </c>
      <c r="N36" s="205"/>
      <c r="O36" s="105">
        <f t="shared" si="2"/>
        <v>0</v>
      </c>
      <c r="P36" s="245">
        <f>'Rider Rates'!$D$60</f>
        <v>45383</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95</v>
      </c>
      <c r="B37" s="78"/>
      <c r="C37" s="78"/>
      <c r="D37" s="100">
        <f>IF('Customer Info'!C35=TRUE,0,IF($C$15&lt;0,0,$C$15))</f>
        <v>0</v>
      </c>
      <c r="E37" s="101" t="s">
        <v>41</v>
      </c>
      <c r="F37" s="102" t="s">
        <v>8</v>
      </c>
      <c r="G37" s="103"/>
      <c r="H37" s="103"/>
      <c r="I37" s="103">
        <f>'Rider Rates'!$B$74+'Rider Rates'!$C$74</f>
        <v>0</v>
      </c>
      <c r="J37" s="103">
        <f t="shared" si="0"/>
        <v>0</v>
      </c>
      <c r="K37" s="104" t="s">
        <v>42</v>
      </c>
      <c r="L37" s="105"/>
      <c r="M37" s="105"/>
      <c r="N37" s="105">
        <f>ROUND($D$37*'Rider Rates'!$B$74,2)+ROUND($D$37*'Rider Rates'!$C$74,2)</f>
        <v>0</v>
      </c>
      <c r="O37" s="105">
        <f t="shared" si="2"/>
        <v>0</v>
      </c>
      <c r="P37" s="245">
        <f>'Rider Rates'!$D$74</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95</v>
      </c>
      <c r="B38" s="78"/>
      <c r="C38" s="78"/>
      <c r="D38" s="100"/>
      <c r="E38" s="101" t="s">
        <v>114</v>
      </c>
      <c r="F38" s="102"/>
      <c r="G38" s="103"/>
      <c r="H38" s="103"/>
      <c r="I38" s="196">
        <f>'Rider Rates'!$B$81</f>
        <v>0</v>
      </c>
      <c r="J38" s="196">
        <f>IF('Customer Info'!C35=TRUE,0,SUM(G38:I38))</f>
        <v>0</v>
      </c>
      <c r="K38" s="104"/>
      <c r="L38" s="105"/>
      <c r="M38" s="105"/>
      <c r="N38" s="105">
        <f>J38</f>
        <v>0</v>
      </c>
      <c r="O38" s="105">
        <f>SUM(L38:N38)</f>
        <v>0</v>
      </c>
      <c r="P38" s="245">
        <f>'Rider Rates'!$D$81</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80</v>
      </c>
      <c r="B39" s="78"/>
      <c r="C39" s="78"/>
      <c r="D39" s="195">
        <f>$N$24</f>
        <v>9.4</v>
      </c>
      <c r="E39" s="101" t="s">
        <v>121</v>
      </c>
      <c r="F39" s="102" t="s">
        <v>8</v>
      </c>
      <c r="G39" s="111"/>
      <c r="H39" s="112"/>
      <c r="I39" s="120">
        <f>'Rider Rates'!$B$89</f>
        <v>4.94232E-2</v>
      </c>
      <c r="J39" s="120">
        <f t="shared" si="0"/>
        <v>4.94232E-2</v>
      </c>
      <c r="K39" s="104"/>
      <c r="L39" s="105"/>
      <c r="M39" s="105"/>
      <c r="N39" s="105">
        <f>ROUND(D39*I39,2)</f>
        <v>0.46</v>
      </c>
      <c r="O39" s="105">
        <f t="shared" si="2"/>
        <v>0.46</v>
      </c>
      <c r="P39" s="245">
        <f>'Rider Rates'!$D$89</f>
        <v>45562</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81</v>
      </c>
      <c r="B40" s="78"/>
      <c r="C40" s="78"/>
      <c r="D40" s="195">
        <f>$N$24</f>
        <v>9.4</v>
      </c>
      <c r="E40" s="101" t="s">
        <v>121</v>
      </c>
      <c r="F40" s="102" t="s">
        <v>8</v>
      </c>
      <c r="G40" s="114"/>
      <c r="H40" s="115"/>
      <c r="I40" s="120">
        <f>'Rider Rates'!$B$91</f>
        <v>6.6985699999999995E-2</v>
      </c>
      <c r="J40" s="120">
        <f t="shared" si="0"/>
        <v>6.6985699999999995E-2</v>
      </c>
      <c r="K40" s="104"/>
      <c r="L40" s="105"/>
      <c r="M40" s="105"/>
      <c r="N40" s="105">
        <f>ROUND(D40*I40,2)</f>
        <v>0.63</v>
      </c>
      <c r="O40" s="105">
        <f t="shared" si="2"/>
        <v>0.63</v>
      </c>
      <c r="P40" s="245">
        <f>'Rider Rates'!$D$91</f>
        <v>45167</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214</v>
      </c>
      <c r="B41" s="78"/>
      <c r="C41" s="78"/>
      <c r="D41" s="195"/>
      <c r="E41" s="113" t="s">
        <v>114</v>
      </c>
      <c r="F41" s="106"/>
      <c r="G41" s="114"/>
      <c r="H41" s="115"/>
      <c r="I41" s="196">
        <f>'Rider Rates'!$B$95</f>
        <v>17.12</v>
      </c>
      <c r="J41" s="196">
        <f t="shared" si="0"/>
        <v>17.12</v>
      </c>
      <c r="K41" s="104"/>
      <c r="L41" s="105"/>
      <c r="M41" s="105"/>
      <c r="N41" s="105">
        <f>I41</f>
        <v>17.12</v>
      </c>
      <c r="O41" s="105">
        <f t="shared" si="2"/>
        <v>17.12</v>
      </c>
      <c r="P41" s="245">
        <f>'Rider Rates'!$D$95</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156</v>
      </c>
      <c r="B42" s="78"/>
      <c r="C42" s="78"/>
      <c r="D42" s="195">
        <f>$N$24</f>
        <v>9.4</v>
      </c>
      <c r="E42" s="101" t="s">
        <v>121</v>
      </c>
      <c r="F42" s="102" t="s">
        <v>8</v>
      </c>
      <c r="G42" s="114"/>
      <c r="H42" s="115"/>
      <c r="I42" s="120">
        <f>'Rider Rates'!$B$109</f>
        <v>0.211176</v>
      </c>
      <c r="J42" s="120">
        <f t="shared" si="0"/>
        <v>0.211176</v>
      </c>
      <c r="K42" s="104"/>
      <c r="L42" s="105"/>
      <c r="M42" s="105"/>
      <c r="N42" s="105">
        <f>ROUND(D42*I42,2)</f>
        <v>1.99</v>
      </c>
      <c r="O42" s="105">
        <f t="shared" si="2"/>
        <v>1.99</v>
      </c>
      <c r="P42" s="245">
        <f>'Rider Rates'!$D$109</f>
        <v>45532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217</v>
      </c>
      <c r="B43" s="78"/>
      <c r="C43" s="78"/>
      <c r="D43" s="195"/>
      <c r="E43" s="113" t="s">
        <v>114</v>
      </c>
      <c r="F43" s="106"/>
      <c r="G43" s="114"/>
      <c r="H43" s="115"/>
      <c r="I43" s="196">
        <f>'Rider Rates'!$B$113</f>
        <v>0</v>
      </c>
      <c r="J43" s="196">
        <f t="shared" si="0"/>
        <v>0</v>
      </c>
      <c r="K43" s="104"/>
      <c r="L43" s="105"/>
      <c r="M43" s="105"/>
      <c r="N43" s="105">
        <f>I43</f>
        <v>0</v>
      </c>
      <c r="O43" s="105">
        <f t="shared" si="2"/>
        <v>0</v>
      </c>
      <c r="P43" s="245">
        <f>'Rider Rates'!$D$113</f>
        <v>44894</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225</v>
      </c>
      <c r="B44" s="78"/>
      <c r="C44" s="78"/>
      <c r="D44" s="195"/>
      <c r="E44" s="113" t="s">
        <v>114</v>
      </c>
      <c r="F44" s="106"/>
      <c r="G44" s="114"/>
      <c r="H44" s="115"/>
      <c r="I44" s="258">
        <f>'Rider Rates'!B126</f>
        <v>4.84</v>
      </c>
      <c r="J44" s="196">
        <f t="shared" si="0"/>
        <v>4.84</v>
      </c>
      <c r="K44" s="104"/>
      <c r="L44" s="105"/>
      <c r="M44" s="105"/>
      <c r="N44" s="260">
        <f>I44</f>
        <v>4.84</v>
      </c>
      <c r="O44" s="105">
        <f t="shared" si="2"/>
        <v>4.84</v>
      </c>
      <c r="P44" s="245">
        <f>'Rider Rates'!D126</f>
        <v>45593</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216</v>
      </c>
      <c r="B45" s="78"/>
      <c r="C45" s="78"/>
      <c r="D45" s="100">
        <f>IF($C$15&lt;1,0,$C$15)</f>
        <v>0</v>
      </c>
      <c r="E45" s="101" t="s">
        <v>41</v>
      </c>
      <c r="F45" s="249" t="s">
        <v>8</v>
      </c>
      <c r="G45" s="165"/>
      <c r="H45" s="165"/>
      <c r="I45" s="251">
        <f>'Rider Rates'!B122</f>
        <v>-6.2E-4</v>
      </c>
      <c r="J45" s="251">
        <f>SUM(G45:I45)</f>
        <v>-6.2E-4</v>
      </c>
      <c r="K45" s="104" t="s">
        <v>42</v>
      </c>
      <c r="L45" s="105"/>
      <c r="M45" s="105"/>
      <c r="N45" s="105">
        <f>D45*J45</f>
        <v>0</v>
      </c>
      <c r="O45" s="105">
        <f>SUM(L45:N45)</f>
        <v>0</v>
      </c>
      <c r="P45" s="245">
        <f>'Rider Rates'!D122</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78" t="s">
        <v>241</v>
      </c>
      <c r="B46" s="78"/>
      <c r="C46" s="78"/>
      <c r="D46" s="100">
        <f>IF(C15&lt;0,0,IF(C15&gt;833000,833000,C15))</f>
        <v>0</v>
      </c>
      <c r="E46" s="101" t="s">
        <v>41</v>
      </c>
      <c r="F46" s="102" t="s">
        <v>8</v>
      </c>
      <c r="G46" s="265"/>
      <c r="H46" s="265"/>
      <c r="I46" s="265">
        <f>'Rider Rates'!B130</f>
        <v>2.9050000000000001E-4</v>
      </c>
      <c r="J46" s="265">
        <f>SUM(G46:I46)</f>
        <v>2.9050000000000001E-4</v>
      </c>
      <c r="K46" s="104" t="s">
        <v>42</v>
      </c>
      <c r="L46" s="266"/>
      <c r="M46" s="266"/>
      <c r="N46" s="266">
        <f>IF(D46*J46&gt;'Rider Rates'!$C$130,'Rider Rates'!$C$130,D46*J46)</f>
        <v>0</v>
      </c>
      <c r="O46" s="266">
        <f>SUM(L46:N46)</f>
        <v>0</v>
      </c>
      <c r="P46" s="264">
        <f>'Rider Rates'!$E$130</f>
        <v>45292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78" t="s">
        <v>242</v>
      </c>
      <c r="B47" s="78"/>
      <c r="C47" s="78"/>
      <c r="D47" s="123">
        <f>IF(C15&gt;833000,C15-833000,0)</f>
        <v>0</v>
      </c>
      <c r="E47" s="101" t="s">
        <v>41</v>
      </c>
      <c r="F47" s="102" t="s">
        <v>8</v>
      </c>
      <c r="G47" s="265"/>
      <c r="H47" s="265"/>
      <c r="I47" s="265">
        <f>'Rider Rates'!B131</f>
        <v>0</v>
      </c>
      <c r="J47" s="265">
        <f>SUM(G47:I47)</f>
        <v>0</v>
      </c>
      <c r="K47" s="104" t="s">
        <v>42</v>
      </c>
      <c r="L47" s="266"/>
      <c r="M47" s="266"/>
      <c r="N47" s="266">
        <f>D47*J47</f>
        <v>0</v>
      </c>
      <c r="O47" s="266">
        <f>SUM(L47:N47)</f>
        <v>0</v>
      </c>
      <c r="P47" s="264">
        <f>'Rider Rates'!$E$131</f>
        <v>44927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41" t="s">
        <v>250</v>
      </c>
      <c r="B48" s="78"/>
      <c r="C48" s="78"/>
      <c r="D48" s="100">
        <f>C15</f>
        <v>0</v>
      </c>
      <c r="E48" s="101" t="s">
        <v>41</v>
      </c>
      <c r="F48" s="249" t="s">
        <v>8</v>
      </c>
      <c r="G48" s="103"/>
      <c r="H48" s="103"/>
      <c r="I48" s="103">
        <f>'Rider Rates'!$B$135</f>
        <v>0</v>
      </c>
      <c r="J48" s="237">
        <f>SUM(G48:I48)</f>
        <v>0</v>
      </c>
      <c r="K48" s="104" t="s">
        <v>42</v>
      </c>
      <c r="L48" s="105"/>
      <c r="M48" s="105"/>
      <c r="N48" s="105">
        <f>D48*J48</f>
        <v>0</v>
      </c>
      <c r="O48" s="105">
        <f>SUM(L48:N48)</f>
        <v>0</v>
      </c>
      <c r="P48" s="245">
        <f>'Rider Rates'!$D$135</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41" t="s">
        <v>249</v>
      </c>
      <c r="B49" s="78"/>
      <c r="C49" s="78"/>
      <c r="D49" s="100"/>
      <c r="E49" s="101" t="s">
        <v>114</v>
      </c>
      <c r="F49" s="102" t="s">
        <v>8</v>
      </c>
      <c r="G49" s="263"/>
      <c r="H49" s="263"/>
      <c r="I49" s="263">
        <f>'Rider Rates'!$B$142</f>
        <v>0</v>
      </c>
      <c r="J49" s="263">
        <f>SUM(G49:I49)</f>
        <v>0</v>
      </c>
      <c r="K49" s="104"/>
      <c r="L49" s="209"/>
      <c r="M49" s="209"/>
      <c r="N49" s="209">
        <f>J49</f>
        <v>0</v>
      </c>
      <c r="O49" s="209">
        <f>SUM(L49:N49)</f>
        <v>0</v>
      </c>
      <c r="P49" s="264">
        <f>'Rider Rates'!D142</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41" t="s">
        <v>251</v>
      </c>
      <c r="B50" s="78"/>
      <c r="C50" s="78"/>
      <c r="D50" s="100"/>
      <c r="E50" s="101"/>
      <c r="F50" s="102"/>
      <c r="G50" s="263"/>
      <c r="H50" s="263"/>
      <c r="I50" s="263"/>
      <c r="J50" s="263"/>
      <c r="K50" s="104"/>
      <c r="L50" s="209"/>
      <c r="M50" s="209"/>
      <c r="N50" s="209"/>
      <c r="O50" s="209"/>
      <c r="P50" s="264"/>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179" t="s">
        <v>70</v>
      </c>
      <c r="B51" s="148"/>
      <c r="C51" s="148"/>
      <c r="D51" s="180"/>
      <c r="E51" s="181"/>
      <c r="F51" s="182"/>
      <c r="G51" s="182"/>
      <c r="H51" s="182"/>
      <c r="I51" s="182"/>
      <c r="J51" s="182"/>
      <c r="K51" s="183"/>
      <c r="L51" s="169">
        <f>SUM(L28:L50)</f>
        <v>0</v>
      </c>
      <c r="M51" s="169">
        <f>SUM(M28:M50)</f>
        <v>0</v>
      </c>
      <c r="N51" s="169">
        <f>SUM(N28:N50)</f>
        <v>25.04</v>
      </c>
      <c r="O51" s="169">
        <f>SUM(O28:O50)</f>
        <v>25.04</v>
      </c>
      <c r="P51" s="18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78"/>
      <c r="B52" s="78"/>
      <c r="C52" s="78"/>
      <c r="D52" s="100"/>
      <c r="E52" s="113"/>
      <c r="F52" s="106"/>
      <c r="G52" s="106"/>
      <c r="H52" s="106"/>
      <c r="I52" s="106"/>
      <c r="J52" s="107"/>
      <c r="K52" s="104"/>
      <c r="L52" s="106"/>
      <c r="M52" s="106"/>
      <c r="N52" s="106"/>
      <c r="O52" s="106"/>
      <c r="P52" s="1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185" t="s">
        <v>93</v>
      </c>
      <c r="B53" s="170"/>
      <c r="C53" s="170"/>
      <c r="D53" s="170"/>
      <c r="E53" s="170"/>
      <c r="F53" s="170"/>
      <c r="G53" s="170"/>
      <c r="H53" s="170"/>
      <c r="I53" s="170"/>
      <c r="J53" s="170"/>
      <c r="K53" s="170"/>
      <c r="L53" s="186">
        <f>L24+L51</f>
        <v>0</v>
      </c>
      <c r="M53" s="186">
        <f>M24+M51</f>
        <v>0</v>
      </c>
      <c r="N53" s="186">
        <f>N24+N51</f>
        <v>34.44</v>
      </c>
      <c r="O53" s="187">
        <f>O24+O51</f>
        <v>34.44</v>
      </c>
      <c r="P53" s="187"/>
      <c r="Q53" s="106"/>
      <c r="R53" s="188"/>
      <c r="S53" s="108"/>
      <c r="T53" s="109"/>
      <c r="U53" s="78"/>
      <c r="V53" s="10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78"/>
      <c r="B54" s="78"/>
      <c r="C54" s="78"/>
      <c r="D54" s="78"/>
      <c r="E54" s="78"/>
      <c r="F54" s="78"/>
      <c r="G54" s="78"/>
      <c r="H54" s="78"/>
      <c r="I54" s="78"/>
      <c r="J54" s="78"/>
      <c r="K54" s="78"/>
      <c r="L54" s="78"/>
      <c r="M54" s="78"/>
      <c r="N54" s="151"/>
      <c r="O54" s="151"/>
      <c r="P54" s="151"/>
      <c r="Q54" s="16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78"/>
      <c r="B55" s="78"/>
      <c r="C55" s="78"/>
      <c r="D55" s="78"/>
      <c r="E55" s="78"/>
      <c r="F55" s="78"/>
      <c r="G55" s="78"/>
      <c r="H55" s="78"/>
      <c r="I55" s="78"/>
      <c r="J55" s="78"/>
      <c r="K55" s="78"/>
      <c r="L55" s="78"/>
      <c r="M55" s="78"/>
      <c r="N55" s="151"/>
      <c r="O55" s="151"/>
      <c r="P55" s="151"/>
      <c r="Q55" s="16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66" t="s">
        <v>92</v>
      </c>
      <c r="B56" s="78"/>
      <c r="C56" s="78"/>
      <c r="D56" s="78"/>
      <c r="E56" s="78"/>
      <c r="F56" s="78"/>
      <c r="G56" s="78"/>
      <c r="H56" s="78"/>
      <c r="I56" s="78"/>
      <c r="J56" s="78"/>
      <c r="K56" s="78"/>
      <c r="L56" s="78"/>
      <c r="M56" s="78"/>
      <c r="N56" s="78"/>
      <c r="O56" s="109">
        <f>O21+O51</f>
        <v>34.44</v>
      </c>
      <c r="P56" s="151"/>
      <c r="Q56" s="16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166" t="s">
        <v>15</v>
      </c>
      <c r="B57" s="166"/>
      <c r="C57" s="166"/>
      <c r="D57" s="166"/>
      <c r="E57" s="166"/>
      <c r="F57" s="166"/>
      <c r="G57" s="166"/>
      <c r="H57" s="166"/>
      <c r="I57" s="78"/>
      <c r="J57" s="78"/>
      <c r="K57" s="78"/>
      <c r="L57" s="78"/>
      <c r="M57" s="78"/>
      <c r="N57" s="151"/>
      <c r="O57" s="151"/>
      <c r="P57" s="151"/>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148" t="s">
        <v>116</v>
      </c>
      <c r="B58" s="151"/>
      <c r="C58" s="151"/>
      <c r="D58" s="151"/>
      <c r="E58" s="151"/>
      <c r="F58" s="151"/>
      <c r="G58" s="151"/>
      <c r="H58" s="151"/>
      <c r="I58" s="151"/>
      <c r="J58" s="151"/>
      <c r="K58" s="151"/>
      <c r="L58" s="151"/>
      <c r="M58" s="151"/>
      <c r="N58" s="151"/>
      <c r="O58" s="190">
        <f>IF($D$17&lt;0,O53,IF(O53&gt;O56,O53,O56))</f>
        <v>34.44</v>
      </c>
      <c r="P58" s="160"/>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ht="15" customHeight="1" x14ac:dyDescent="0.25">
      <c r="A59" s="148"/>
      <c r="B59" s="151"/>
      <c r="C59" s="151"/>
      <c r="D59" s="151"/>
      <c r="E59" s="151"/>
      <c r="F59" s="151"/>
      <c r="G59" s="151"/>
      <c r="H59" s="151"/>
      <c r="I59" s="151"/>
      <c r="J59" s="151"/>
      <c r="K59" s="151"/>
      <c r="L59" s="151"/>
      <c r="M59" s="151"/>
      <c r="N59" s="151"/>
      <c r="O59" s="190"/>
      <c r="P59" s="160"/>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row>
    <row r="60" spans="1:236" x14ac:dyDescent="0.25">
      <c r="A60" s="148"/>
      <c r="B60" s="166"/>
      <c r="C60" s="166"/>
      <c r="D60" s="166"/>
      <c r="E60" s="166"/>
      <c r="F60" s="166"/>
      <c r="G60" s="166"/>
      <c r="H60" s="166"/>
      <c r="I60" s="166" t="s">
        <v>120</v>
      </c>
      <c r="J60" s="166"/>
      <c r="K60" s="166"/>
      <c r="L60" s="191"/>
      <c r="M60" s="191"/>
      <c r="N60" s="191"/>
      <c r="O60" s="191">
        <f>ROUND(IF($C$15&lt;1,0,O53/($C$15*100)*10000),2)</f>
        <v>0</v>
      </c>
      <c r="P60" s="37" t="s">
        <v>86</v>
      </c>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HE60" s="78"/>
      <c r="HF60" s="78"/>
      <c r="HG60" s="78"/>
      <c r="HH60" s="78"/>
      <c r="HI60" s="78"/>
      <c r="HJ60" s="78"/>
      <c r="HK60" s="78"/>
      <c r="HL60" s="78"/>
      <c r="HM60" s="78"/>
      <c r="HN60" s="78"/>
    </row>
    <row r="61" spans="1:236" x14ac:dyDescent="0.25">
      <c r="B61" s="78"/>
      <c r="C61" s="78"/>
      <c r="D61" s="78"/>
      <c r="E61" s="78"/>
      <c r="F61" s="78"/>
      <c r="G61" s="78"/>
      <c r="H61" s="192"/>
      <c r="I61" s="242" t="s">
        <v>198</v>
      </c>
      <c r="J61" s="78"/>
      <c r="K61" s="78"/>
      <c r="L61" s="78"/>
      <c r="M61" s="78"/>
      <c r="N61" s="78"/>
      <c r="O61" s="243">
        <f>ROUND(IF($C$15&lt;1,0,(L53)/($C$15*100)*10000),2)</f>
        <v>0</v>
      </c>
      <c r="P61" s="25" t="s">
        <v>86</v>
      </c>
      <c r="Q61" s="78"/>
      <c r="R61" s="78"/>
      <c r="S61" s="78"/>
      <c r="T61" s="78"/>
      <c r="U61" s="78"/>
      <c r="V61" s="78"/>
      <c r="W61" s="78"/>
      <c r="X61" s="78"/>
      <c r="Y61" s="78"/>
      <c r="Z61" s="78"/>
      <c r="AA61" s="78"/>
      <c r="AB61" s="78"/>
      <c r="AC61" s="78"/>
      <c r="AD61" s="78"/>
      <c r="AE61" s="78"/>
      <c r="AF61" s="78"/>
      <c r="AG61" s="78"/>
      <c r="AH61" s="78"/>
      <c r="AI61" s="78"/>
      <c r="AJ61" s="78"/>
      <c r="AK61" s="78"/>
    </row>
  </sheetData>
  <sheetProtection algorithmName="SHA-512" hashValue="fum5o4SDrX8fNcjNCjHLasEYxlr4gVfFj0qIV3RVP4VuR2XOQ/Xu+Rso+ofhvYwTaluzEwEphBeQe+dwZ1cjzQ==" saltValue="uHlhYOV02UbYVrikz+mSu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Button 1">
              <controlPr defaultSize="0" print="0" autoFill="0" autoPict="0" macro="[0]!Info">
                <anchor moveWithCells="1">
                  <from>
                    <xdr:col>0</xdr:col>
                    <xdr:colOff>38100</xdr:colOff>
                    <xdr:row>0</xdr:row>
                    <xdr:rowOff>30480</xdr:rowOff>
                  </from>
                  <to>
                    <xdr:col>0</xdr:col>
                    <xdr:colOff>381000</xdr:colOff>
                    <xdr:row>0</xdr:row>
                    <xdr:rowOff>160020</xdr:rowOff>
                  </to>
                </anchor>
              </controlPr>
            </control>
          </mc:Choice>
        </mc:AlternateContent>
        <mc:AlternateContent xmlns:mc="http://schemas.openxmlformats.org/markup-compatibility/2006">
          <mc:Choice Requires="x14">
            <control shapeId="80898" r:id="rId5" name="Button 2">
              <controlPr defaultSize="0" print="0" autoFill="0" autoPict="0" macro="[0]!Info">
                <anchor moveWithCells="1">
                  <from>
                    <xdr:col>15</xdr:col>
                    <xdr:colOff>190500</xdr:colOff>
                    <xdr:row>68</xdr:row>
                    <xdr:rowOff>45720</xdr:rowOff>
                  </from>
                  <to>
                    <xdr:col>15</xdr:col>
                    <xdr:colOff>541020</xdr:colOff>
                    <xdr:row>69</xdr:row>
                    <xdr:rowOff>106680</xdr:rowOff>
                  </to>
                </anchor>
              </controlPr>
            </control>
          </mc:Choice>
        </mc:AlternateContent>
        <mc:AlternateContent xmlns:mc="http://schemas.openxmlformats.org/markup-compatibility/2006">
          <mc:Choice Requires="x14">
            <control shapeId="80899" r:id="rId6" name="Button 3">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80900" r:id="rId7" name="Button 4">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80901" r:id="rId8" name="Button 5">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80902" r:id="rId9" name="Button 6">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D4EF-C824-4618-B7C6-265296DA30BF}">
  <sheetPr codeName="Sheet15"/>
  <dimension ref="A1:IB66"/>
  <sheetViews>
    <sheetView showGridLines="0" topLeftCell="A23" zoomScale="80" zoomScaleNormal="80" workbookViewId="0">
      <selection activeCell="J48" sqref="J48"/>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567" t="s">
        <v>119</v>
      </c>
      <c r="B1" s="567"/>
      <c r="C1" s="567"/>
      <c r="D1" s="567"/>
      <c r="E1" s="567"/>
      <c r="F1" s="567"/>
      <c r="G1" s="567"/>
      <c r="H1" s="567"/>
      <c r="I1" s="567"/>
      <c r="J1" s="567"/>
      <c r="K1" s="567"/>
      <c r="L1" s="567"/>
      <c r="M1" s="567"/>
      <c r="N1" s="567"/>
      <c r="O1" s="567"/>
      <c r="P1" s="567"/>
    </row>
    <row r="2" spans="1:30" ht="21" x14ac:dyDescent="0.4">
      <c r="A2" s="552" t="s">
        <v>122</v>
      </c>
      <c r="B2" s="552"/>
      <c r="C2" s="552"/>
      <c r="D2" s="552"/>
      <c r="E2" s="552"/>
      <c r="F2" s="552"/>
      <c r="G2" s="552"/>
      <c r="H2" s="552"/>
      <c r="I2" s="552"/>
      <c r="J2" s="552"/>
      <c r="K2" s="552"/>
      <c r="L2" s="552"/>
      <c r="M2" s="552"/>
      <c r="N2" s="552"/>
      <c r="O2" s="552"/>
      <c r="P2" s="552"/>
    </row>
    <row r="3" spans="1:30" ht="17.399999999999999" x14ac:dyDescent="0.3">
      <c r="A3" s="568" t="s">
        <v>83</v>
      </c>
      <c r="B3" s="568"/>
      <c r="C3" s="568"/>
      <c r="D3" s="568"/>
      <c r="E3" s="568"/>
      <c r="F3" s="568"/>
      <c r="G3" s="568"/>
      <c r="H3" s="568"/>
      <c r="I3" s="568"/>
      <c r="J3" s="568"/>
      <c r="K3" s="568"/>
      <c r="L3" s="568"/>
      <c r="M3" s="568"/>
      <c r="N3" s="568"/>
      <c r="O3" s="568"/>
      <c r="P3" s="568"/>
    </row>
    <row r="4" spans="1:30"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5">
      <c r="A5" s="75"/>
      <c r="B5" s="75"/>
      <c r="C5" s="75"/>
      <c r="D5" s="75"/>
      <c r="E5" s="75"/>
      <c r="F5" s="75"/>
      <c r="G5" s="75"/>
      <c r="H5" s="75"/>
      <c r="I5" s="75"/>
      <c r="J5" s="75"/>
      <c r="K5" s="75"/>
    </row>
    <row r="6" spans="1:30" x14ac:dyDescent="0.25">
      <c r="A6" s="405">
        <f ca="1">TODAY()</f>
        <v>45588</v>
      </c>
      <c r="B6" s="210" t="s">
        <v>237</v>
      </c>
      <c r="C6" s="405"/>
      <c r="D6" s="405"/>
      <c r="E6" s="405"/>
      <c r="F6" s="405"/>
      <c r="G6" s="405"/>
      <c r="H6" s="405"/>
      <c r="I6" s="405"/>
    </row>
    <row r="7" spans="1:30" ht="24.6" x14ac:dyDescent="0.4">
      <c r="A7" s="569"/>
      <c r="B7" s="569"/>
      <c r="C7" s="569"/>
      <c r="D7" s="569"/>
      <c r="E7" s="569"/>
      <c r="F7" s="569"/>
      <c r="G7" s="569"/>
      <c r="H7" s="569"/>
      <c r="I7" s="569"/>
      <c r="J7" s="569"/>
      <c r="K7" s="569"/>
      <c r="L7" s="569"/>
      <c r="M7" s="569"/>
      <c r="N7" s="569"/>
      <c r="O7" s="569"/>
      <c r="P7" s="569"/>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11</v>
      </c>
      <c r="C11" s="194" t="str">
        <f>LOOKUP(B11,R11:AD11,R12:AD12)</f>
        <v>November</v>
      </c>
      <c r="D11" s="133">
        <f>'Customer Info'!C9</f>
        <v>2024</v>
      </c>
      <c r="S11">
        <v>1</v>
      </c>
      <c r="T11">
        <v>2</v>
      </c>
      <c r="U11">
        <v>3</v>
      </c>
      <c r="V11">
        <v>4</v>
      </c>
      <c r="W11">
        <v>5</v>
      </c>
      <c r="X11">
        <v>6</v>
      </c>
      <c r="Y11">
        <v>7</v>
      </c>
      <c r="Z11">
        <v>8</v>
      </c>
      <c r="AA11">
        <v>9</v>
      </c>
      <c r="AB11">
        <v>10</v>
      </c>
      <c r="AC11">
        <v>11</v>
      </c>
      <c r="AD11">
        <v>12</v>
      </c>
    </row>
    <row r="12" spans="1:30" x14ac:dyDescent="0.25">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5">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t="s">
        <v>233</v>
      </c>
      <c r="B16" s="31"/>
      <c r="C16" s="32">
        <f>'Customer Info'!B22</f>
        <v>0</v>
      </c>
      <c r="D16" s="31" t="s">
        <v>41</v>
      </c>
      <c r="E16" s="31"/>
      <c r="F16" s="33"/>
      <c r="G16" s="23" t="s">
        <v>15</v>
      </c>
      <c r="H16" s="31"/>
    </row>
    <row r="17" spans="1:221" x14ac:dyDescent="0.25">
      <c r="A17" s="31" t="s">
        <v>234</v>
      </c>
      <c r="B17" s="31"/>
      <c r="C17" s="32">
        <f>'Customer Info'!B23</f>
        <v>0</v>
      </c>
      <c r="D17" s="262" t="s">
        <v>41</v>
      </c>
      <c r="E17" s="33"/>
      <c r="F17" s="33"/>
      <c r="G17" s="23" t="s">
        <v>15</v>
      </c>
      <c r="H17" s="31"/>
      <c r="I17" s="52" t="s">
        <v>15</v>
      </c>
    </row>
    <row r="19" spans="1:221" x14ac:dyDescent="0.25">
      <c r="A19" s="28" t="s">
        <v>31</v>
      </c>
      <c r="B19" s="22"/>
      <c r="C19" s="22"/>
      <c r="D19" s="22"/>
      <c r="E19" s="22"/>
      <c r="F19" s="22"/>
      <c r="G19" s="563" t="s">
        <v>67</v>
      </c>
      <c r="H19" s="564"/>
      <c r="I19" s="564"/>
      <c r="J19" s="565"/>
      <c r="K19" s="22"/>
      <c r="L19" s="566" t="s">
        <v>68</v>
      </c>
      <c r="M19" s="566"/>
      <c r="N19" s="566"/>
      <c r="O19" s="566"/>
    </row>
    <row r="20" spans="1:221" x14ac:dyDescent="0.25">
      <c r="A20" s="18"/>
      <c r="B20" s="18"/>
      <c r="C20" s="18"/>
      <c r="D20" s="18"/>
      <c r="E20" s="18"/>
      <c r="F20" s="18"/>
      <c r="G20" s="8" t="s">
        <v>64</v>
      </c>
      <c r="H20" s="8" t="s">
        <v>65</v>
      </c>
      <c r="I20" s="8" t="s">
        <v>66</v>
      </c>
      <c r="J20" s="112" t="s">
        <v>34</v>
      </c>
      <c r="K20" s="18"/>
      <c r="L20" s="406" t="s">
        <v>64</v>
      </c>
      <c r="M20" s="406" t="s">
        <v>65</v>
      </c>
      <c r="N20" s="406" t="s">
        <v>66</v>
      </c>
      <c r="O20" s="132" t="s">
        <v>34</v>
      </c>
      <c r="P20" s="43" t="s">
        <v>56</v>
      </c>
    </row>
    <row r="21" spans="1:221" x14ac:dyDescent="0.25">
      <c r="A21" t="s">
        <v>32</v>
      </c>
      <c r="G21" s="86"/>
      <c r="H21" s="86"/>
      <c r="I21" s="86">
        <v>9.4</v>
      </c>
      <c r="J21" s="86">
        <f>SUM(G21:I21)</f>
        <v>9.4</v>
      </c>
      <c r="L21" s="88"/>
      <c r="M21" s="88"/>
      <c r="N21" s="88">
        <f>I21</f>
        <v>9.4</v>
      </c>
      <c r="O21" s="209">
        <f>SUM(L21:N21)</f>
        <v>9.4</v>
      </c>
      <c r="P21" s="245">
        <v>44531</v>
      </c>
    </row>
    <row r="22" spans="1:221" x14ac:dyDescent="0.25">
      <c r="A22" s="3" t="s">
        <v>302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5">
      <c r="A23" s="37" t="s">
        <v>50</v>
      </c>
      <c r="B23" s="37"/>
      <c r="C23" s="37"/>
      <c r="D23" s="38"/>
      <c r="E23" s="38"/>
      <c r="F23" s="37"/>
      <c r="G23" s="37"/>
      <c r="H23" s="37"/>
      <c r="I23" s="37"/>
      <c r="J23" s="37"/>
      <c r="K23" s="39"/>
      <c r="L23" s="40"/>
      <c r="M23" s="40"/>
      <c r="N23" s="40">
        <f>SUM(N21:N22)</f>
        <v>9.4</v>
      </c>
      <c r="O23" s="40">
        <f>SUM(O21:O22)</f>
        <v>9.4</v>
      </c>
    </row>
    <row r="24" spans="1:221" x14ac:dyDescent="0.25">
      <c r="A24" s="89"/>
      <c r="B24" s="89"/>
      <c r="C24" s="90"/>
      <c r="D24" s="90"/>
      <c r="E24" s="90"/>
      <c r="F24" s="90"/>
      <c r="G24" s="91"/>
      <c r="H24" s="91"/>
      <c r="I24" s="91"/>
      <c r="J24" s="91"/>
      <c r="K24" s="89"/>
      <c r="L24" s="89"/>
      <c r="M24" s="89"/>
      <c r="N24" s="89"/>
      <c r="O24" s="89"/>
      <c r="P24" s="89"/>
    </row>
    <row r="25" spans="1:221" x14ac:dyDescent="0.25">
      <c r="A25" s="148" t="s">
        <v>69</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78</v>
      </c>
      <c r="B27" s="176"/>
      <c r="C27" s="176"/>
      <c r="D27" s="100">
        <f>IF($C$15&lt;0,0,IF($C$15&gt;833000,833000,$C$15))</f>
        <v>0</v>
      </c>
      <c r="E27" s="101" t="s">
        <v>41</v>
      </c>
      <c r="F27" s="102" t="s">
        <v>8</v>
      </c>
      <c r="G27" s="103"/>
      <c r="H27" s="103"/>
      <c r="I27" s="103">
        <f>'Rider Rates'!$B$4</f>
        <v>5.9216E-3</v>
      </c>
      <c r="J27" s="103">
        <f t="shared" ref="J27:J48" si="0">SUM(G27:I27)</f>
        <v>5.9216E-3</v>
      </c>
      <c r="K27" s="104" t="s">
        <v>42</v>
      </c>
      <c r="L27" s="105"/>
      <c r="M27" s="105"/>
      <c r="N27" s="105">
        <f t="shared" ref="N27:N32" si="1">ROUND(D27*I27,2)</f>
        <v>0</v>
      </c>
      <c r="O27" s="105">
        <f t="shared" ref="O27:O49" si="2">SUM(L27:N27)</f>
        <v>0</v>
      </c>
      <c r="P27" s="245">
        <f>'Rider Rates'!$D$4</f>
        <v>45293</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79</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96</v>
      </c>
      <c r="B29" s="78"/>
      <c r="C29" s="78"/>
      <c r="D29" s="100">
        <f>IF('Customer Info'!$C$33=TRUE,0,IF($C$15&lt;0,0,IF($C$15&gt;2000,2000,$C$15)))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97</v>
      </c>
      <c r="B30" s="78"/>
      <c r="C30" s="78"/>
      <c r="D30" s="100">
        <f>IF('Customer Info'!$C$33=TRUE,0,IF($C$15&lt;=2000,0,IF($C$15=0,0,IF($C$15-2000&gt;13000,13000,$C$15-2000))))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98</v>
      </c>
      <c r="B31" s="78"/>
      <c r="C31" s="78"/>
      <c r="D31" s="100">
        <f>IF('Customer Info'!$C$33=TRUE,0,IF($C$15=0,0,IF($C$15-15000&gt;=0,$C$15-15000,0)))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45197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245</v>
      </c>
      <c r="B33" s="78"/>
      <c r="C33" s="78"/>
      <c r="D33" s="195">
        <f>$N$23</f>
        <v>9.4</v>
      </c>
      <c r="E33" s="101" t="s">
        <v>121</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194</v>
      </c>
      <c r="B34" s="78"/>
      <c r="C34" s="78"/>
      <c r="D34" s="100">
        <f>C16+C17</f>
        <v>0</v>
      </c>
      <c r="E34" s="101" t="s">
        <v>41</v>
      </c>
      <c r="F34" s="102" t="s">
        <v>8</v>
      </c>
      <c r="G34" s="103"/>
      <c r="H34" s="103"/>
      <c r="I34" s="103"/>
      <c r="J34" s="237">
        <f>SUM(G34:H34)</f>
        <v>0</v>
      </c>
      <c r="K34" s="104" t="s">
        <v>42</v>
      </c>
      <c r="L34" s="105"/>
      <c r="M34" s="105"/>
      <c r="N34" s="105"/>
      <c r="O34" s="105">
        <f t="shared" si="2"/>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164</v>
      </c>
      <c r="B35" s="78"/>
      <c r="C35" s="78"/>
      <c r="D35" s="100">
        <f>C16</f>
        <v>0</v>
      </c>
      <c r="E35" s="101" t="s">
        <v>41</v>
      </c>
      <c r="F35" s="102" t="s">
        <v>8</v>
      </c>
      <c r="G35" s="103"/>
      <c r="H35" s="103"/>
      <c r="I35" s="103"/>
      <c r="J35" s="237">
        <f>SUM(G35:H35)</f>
        <v>0</v>
      </c>
      <c r="K35" s="104" t="s">
        <v>42</v>
      </c>
      <c r="L35" s="105"/>
      <c r="M35" s="105"/>
      <c r="N35" s="105"/>
      <c r="O35" s="105">
        <f t="shared" si="2"/>
        <v>0</v>
      </c>
      <c r="P35" s="245">
        <f>'Rider Rates'!$D$38</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227</v>
      </c>
      <c r="B36" s="78"/>
      <c r="C36" s="78"/>
      <c r="D36" s="100">
        <f>C17</f>
        <v>0</v>
      </c>
      <c r="E36" s="101" t="s">
        <v>41</v>
      </c>
      <c r="F36" s="249" t="s">
        <v>8</v>
      </c>
      <c r="G36" s="103"/>
      <c r="H36" s="103"/>
      <c r="I36" s="103"/>
      <c r="J36" s="237">
        <f>SUM(G36:H36)</f>
        <v>0</v>
      </c>
      <c r="K36" s="104" t="s">
        <v>42</v>
      </c>
      <c r="L36" s="105"/>
      <c r="M36" s="105"/>
      <c r="N36" s="105"/>
      <c r="O36" s="105">
        <f t="shared" si="2"/>
        <v>0</v>
      </c>
      <c r="P36" s="245">
        <f>'Rider Rates'!D39</f>
        <v>45444</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201</v>
      </c>
      <c r="B37" s="78"/>
      <c r="C37" s="78"/>
      <c r="D37" s="100">
        <f>C16+C17</f>
        <v>0</v>
      </c>
      <c r="E37" s="101" t="s">
        <v>41</v>
      </c>
      <c r="F37" s="102" t="s">
        <v>8</v>
      </c>
      <c r="G37" s="103"/>
      <c r="H37" s="103"/>
      <c r="I37" s="103"/>
      <c r="J37" s="237">
        <f>SUM(G37:H37)</f>
        <v>0</v>
      </c>
      <c r="K37" s="104" t="s">
        <v>42</v>
      </c>
      <c r="L37" s="105"/>
      <c r="M37" s="105"/>
      <c r="N37" s="105"/>
      <c r="O37" s="105">
        <f t="shared" si="2"/>
        <v>0</v>
      </c>
      <c r="P37" s="245">
        <f>'Rider Rates'!$D$49</f>
        <v>45562</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218</v>
      </c>
      <c r="B38" s="78"/>
      <c r="C38" s="78"/>
      <c r="D38" s="100">
        <f>IF($C$15&lt;0,0,IF($C$15&gt;833000,833000,$C$15))</f>
        <v>0</v>
      </c>
      <c r="E38" s="101" t="s">
        <v>41</v>
      </c>
      <c r="F38" s="102" t="s">
        <v>8</v>
      </c>
      <c r="G38" s="103"/>
      <c r="H38" s="103"/>
      <c r="I38" s="103">
        <f>'Rider Rates'!D53</f>
        <v>1.8006999999999999E-3</v>
      </c>
      <c r="J38" s="103">
        <f>SUM(G38:I38)</f>
        <v>1.8006999999999999E-3</v>
      </c>
      <c r="K38" s="104" t="s">
        <v>42</v>
      </c>
      <c r="L38" s="105"/>
      <c r="M38" s="105"/>
      <c r="N38" s="105">
        <f>D38*J38</f>
        <v>0</v>
      </c>
      <c r="O38" s="105">
        <f t="shared" si="2"/>
        <v>0</v>
      </c>
      <c r="P38" s="245">
        <f>'Rider Rates'!E53</f>
        <v>45474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197</v>
      </c>
      <c r="B39" s="78"/>
      <c r="C39" s="78"/>
      <c r="D39" s="100">
        <f>IF($C$15&lt;0,0,$C$15)</f>
        <v>0</v>
      </c>
      <c r="E39" s="113" t="s">
        <v>41</v>
      </c>
      <c r="F39" s="102" t="s">
        <v>8</v>
      </c>
      <c r="G39" s="103"/>
      <c r="H39" s="103">
        <f>'Rider Rates'!$B$60</f>
        <v>2.3467399999999999E-2</v>
      </c>
      <c r="I39" s="103"/>
      <c r="J39" s="103">
        <f>SUM(G39:I39)</f>
        <v>2.3467399999999999E-2</v>
      </c>
      <c r="K39" s="104" t="s">
        <v>42</v>
      </c>
      <c r="L39" s="105"/>
      <c r="M39" s="105">
        <f>ROUND(D39*H39,2)</f>
        <v>0</v>
      </c>
      <c r="N39" s="205"/>
      <c r="O39" s="105">
        <f t="shared" si="2"/>
        <v>0</v>
      </c>
      <c r="P39" s="245">
        <f>'Rider Rates'!$D$60</f>
        <v>45383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95</v>
      </c>
      <c r="B40" s="78"/>
      <c r="C40" s="78"/>
      <c r="D40" s="100">
        <f>IF('Customer Info'!C35=TRUE,0,IF($C$15&lt;0,0,$C$15))</f>
        <v>0</v>
      </c>
      <c r="E40" s="101" t="s">
        <v>41</v>
      </c>
      <c r="F40" s="102" t="s">
        <v>8</v>
      </c>
      <c r="G40" s="103"/>
      <c r="H40" s="103"/>
      <c r="I40" s="103">
        <f>'Rider Rates'!$B$74+'Rider Rates'!$C$74</f>
        <v>0</v>
      </c>
      <c r="J40" s="103">
        <f t="shared" si="0"/>
        <v>0</v>
      </c>
      <c r="K40" s="104" t="s">
        <v>42</v>
      </c>
      <c r="L40" s="105"/>
      <c r="M40" s="105"/>
      <c r="N40" s="105">
        <f>ROUND($D$40*'Rider Rates'!$B$74,2)+ROUND($D$40*'Rider Rates'!$C$74,2)</f>
        <v>0</v>
      </c>
      <c r="O40" s="105">
        <f t="shared" si="2"/>
        <v>0</v>
      </c>
      <c r="P40" s="245">
        <f>'Rider Rates'!$D$74</f>
        <v>44531</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95</v>
      </c>
      <c r="B41" s="78"/>
      <c r="C41" s="78"/>
      <c r="D41" s="100"/>
      <c r="E41" s="101" t="s">
        <v>114</v>
      </c>
      <c r="F41" s="102"/>
      <c r="G41" s="103"/>
      <c r="H41" s="103"/>
      <c r="I41" s="196">
        <f>'Rider Rates'!$B$81</f>
        <v>0</v>
      </c>
      <c r="J41" s="196">
        <f>IF('Customer Info'!C35=TRUE,0,SUM(G41:I41))</f>
        <v>0</v>
      </c>
      <c r="K41" s="104"/>
      <c r="L41" s="105"/>
      <c r="M41" s="105"/>
      <c r="N41" s="105">
        <f>J41</f>
        <v>0</v>
      </c>
      <c r="O41" s="105">
        <f>SUM(L41:N41)</f>
        <v>0</v>
      </c>
      <c r="P41" s="245">
        <v>44531</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80</v>
      </c>
      <c r="B42" s="78"/>
      <c r="C42" s="78"/>
      <c r="D42" s="195">
        <f>$N$23</f>
        <v>9.4</v>
      </c>
      <c r="E42" s="101" t="s">
        <v>121</v>
      </c>
      <c r="F42" s="102" t="s">
        <v>8</v>
      </c>
      <c r="G42" s="111"/>
      <c r="H42" s="112"/>
      <c r="I42" s="120">
        <f>'Rider Rates'!$B$89</f>
        <v>4.94232E-2</v>
      </c>
      <c r="J42" s="120">
        <f t="shared" si="0"/>
        <v>4.94232E-2</v>
      </c>
      <c r="K42" s="104"/>
      <c r="L42" s="105"/>
      <c r="M42" s="105"/>
      <c r="N42" s="105">
        <f>ROUND(D42*I42,2)</f>
        <v>0.46</v>
      </c>
      <c r="O42" s="105">
        <f t="shared" si="2"/>
        <v>0.46</v>
      </c>
      <c r="P42" s="245">
        <f>'Rider Rates'!$D$89</f>
        <v>45562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81</v>
      </c>
      <c r="B43" s="78"/>
      <c r="C43" s="78"/>
      <c r="D43" s="195">
        <f>$N$23</f>
        <v>9.4</v>
      </c>
      <c r="E43" s="101" t="s">
        <v>121</v>
      </c>
      <c r="F43" s="102" t="s">
        <v>8</v>
      </c>
      <c r="G43" s="114"/>
      <c r="H43" s="115"/>
      <c r="I43" s="120">
        <f>'Rider Rates'!$B$91</f>
        <v>6.6985699999999995E-2</v>
      </c>
      <c r="J43" s="120">
        <f t="shared" si="0"/>
        <v>6.6985699999999995E-2</v>
      </c>
      <c r="K43" s="104"/>
      <c r="L43" s="105"/>
      <c r="M43" s="105"/>
      <c r="N43" s="105">
        <f>ROUND(D43*I43,2)</f>
        <v>0.63</v>
      </c>
      <c r="O43" s="105">
        <f t="shared" si="2"/>
        <v>0.63</v>
      </c>
      <c r="P43" s="245">
        <f>'Rider Rates'!$D$91</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214</v>
      </c>
      <c r="B44" s="78"/>
      <c r="C44" s="78"/>
      <c r="D44" s="195"/>
      <c r="E44" s="113" t="s">
        <v>114</v>
      </c>
      <c r="F44" s="106"/>
      <c r="G44" s="114"/>
      <c r="H44" s="115"/>
      <c r="I44" s="196">
        <f>'Rider Rates'!$B$95</f>
        <v>17.12</v>
      </c>
      <c r="J44" s="196">
        <f t="shared" si="0"/>
        <v>17.12</v>
      </c>
      <c r="K44" s="104"/>
      <c r="L44" s="105"/>
      <c r="M44" s="105"/>
      <c r="N44" s="105">
        <f>I44</f>
        <v>17.12</v>
      </c>
      <c r="O44" s="105">
        <f t="shared" si="2"/>
        <v>17.12</v>
      </c>
      <c r="P44" s="245">
        <f>'Rider Rates'!$D$95</f>
        <v>45562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247</v>
      </c>
      <c r="B45" s="78"/>
      <c r="C45" s="78"/>
      <c r="D45" s="100">
        <f>IF($C$15&lt;0,0,$C$15)</f>
        <v>0</v>
      </c>
      <c r="E45" s="101" t="s">
        <v>41</v>
      </c>
      <c r="F45" s="102" t="s">
        <v>8</v>
      </c>
      <c r="G45" s="103"/>
      <c r="H45" s="103"/>
      <c r="I45" s="103"/>
      <c r="J45" s="103">
        <f>'Rider Rates'!$B$99</f>
        <v>0</v>
      </c>
      <c r="K45" s="104" t="s">
        <v>42</v>
      </c>
      <c r="L45" s="105"/>
      <c r="M45" s="105"/>
      <c r="N45" s="105"/>
      <c r="O45" s="105">
        <f>ROUND($D45*('Rider Rates'!B$99),2)</f>
        <v>0</v>
      </c>
      <c r="P45" s="245">
        <f>'Rider Rates'!$D$99</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195">
        <f>$N$23</f>
        <v>9.4</v>
      </c>
      <c r="E46" s="101" t="s">
        <v>121</v>
      </c>
      <c r="F46" s="102" t="s">
        <v>8</v>
      </c>
      <c r="G46" s="114"/>
      <c r="H46" s="115"/>
      <c r="I46" s="120">
        <f>'Rider Rates'!$B$109</f>
        <v>0.211176</v>
      </c>
      <c r="J46" s="120">
        <f t="shared" si="0"/>
        <v>0.211176</v>
      </c>
      <c r="K46" s="104"/>
      <c r="L46" s="105"/>
      <c r="M46" s="105"/>
      <c r="N46" s="105">
        <f>ROUND(D46*I46,2)</f>
        <v>1.99</v>
      </c>
      <c r="O46" s="105">
        <f t="shared" si="2"/>
        <v>1.99</v>
      </c>
      <c r="P46" s="245">
        <f>'Rider Rates'!$D$109</f>
        <v>45532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217</v>
      </c>
      <c r="B47" s="78"/>
      <c r="C47" s="78"/>
      <c r="D47" s="195"/>
      <c r="E47" s="113" t="s">
        <v>114</v>
      </c>
      <c r="F47" s="106"/>
      <c r="G47" s="114"/>
      <c r="H47" s="115"/>
      <c r="I47" s="196">
        <f>'Rider Rates'!$B$113</f>
        <v>0</v>
      </c>
      <c r="J47" s="196">
        <f t="shared" si="0"/>
        <v>0</v>
      </c>
      <c r="K47" s="104"/>
      <c r="L47" s="105"/>
      <c r="M47" s="105"/>
      <c r="N47" s="105">
        <f>I47</f>
        <v>0</v>
      </c>
      <c r="O47" s="105">
        <f t="shared" si="2"/>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225</v>
      </c>
      <c r="B48" s="78"/>
      <c r="C48" s="78"/>
      <c r="D48" s="195"/>
      <c r="E48" s="113" t="s">
        <v>114</v>
      </c>
      <c r="F48" s="106"/>
      <c r="G48" s="114"/>
      <c r="H48" s="115"/>
      <c r="I48" s="258">
        <f>'Rider Rates'!B126</f>
        <v>4.84</v>
      </c>
      <c r="J48" s="196">
        <f t="shared" si="0"/>
        <v>4.84</v>
      </c>
      <c r="K48" s="104"/>
      <c r="L48" s="105"/>
      <c r="M48" s="105"/>
      <c r="N48" s="260">
        <f>I48</f>
        <v>4.84</v>
      </c>
      <c r="O48" s="105">
        <f t="shared" si="2"/>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99" t="s">
        <v>157</v>
      </c>
      <c r="B49" s="78"/>
      <c r="C49" s="78"/>
      <c r="D49" s="100">
        <f>C16+C17</f>
        <v>0</v>
      </c>
      <c r="E49" s="101" t="s">
        <v>41</v>
      </c>
      <c r="F49" s="102" t="s">
        <v>8</v>
      </c>
      <c r="G49" s="103"/>
      <c r="H49" s="103"/>
      <c r="I49" s="120"/>
      <c r="J49" s="237">
        <f>SUM(G49:H49)</f>
        <v>0</v>
      </c>
      <c r="K49" s="104" t="s">
        <v>42</v>
      </c>
      <c r="L49" s="105"/>
      <c r="M49" s="105"/>
      <c r="N49" s="105"/>
      <c r="O49" s="105">
        <f t="shared" si="2"/>
        <v>0</v>
      </c>
      <c r="P49" s="245">
        <f>'Rider Rates'!$D$116</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10" t="s">
        <v>216</v>
      </c>
      <c r="B50" s="78"/>
      <c r="C50" s="78"/>
      <c r="D50" s="100">
        <f>IF($C$15&lt;1,0,$C$15)</f>
        <v>0</v>
      </c>
      <c r="E50" s="101" t="s">
        <v>41</v>
      </c>
      <c r="F50" s="249" t="s">
        <v>8</v>
      </c>
      <c r="G50" s="165"/>
      <c r="H50" s="165"/>
      <c r="I50" s="251">
        <f>'Rider Rates'!B122</f>
        <v>-6.2E-4</v>
      </c>
      <c r="J50" s="251">
        <f>SUM(G50:I50)</f>
        <v>-6.2E-4</v>
      </c>
      <c r="K50" s="104" t="s">
        <v>42</v>
      </c>
      <c r="L50" s="105"/>
      <c r="M50" s="105"/>
      <c r="N50" s="105">
        <f>D50*J50</f>
        <v>0</v>
      </c>
      <c r="O50" s="105">
        <f>SUM(L50:N50)</f>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241</v>
      </c>
      <c r="B51" s="78"/>
      <c r="C51" s="78"/>
      <c r="D51" s="100">
        <f>IF(C15&lt;0,0,IF(C15&gt;833000,833000,C15))</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SUM(L51:N51)</f>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78" t="s">
        <v>242</v>
      </c>
      <c r="B52" s="78"/>
      <c r="C52" s="78"/>
      <c r="D52" s="123">
        <f>IF(C15&gt;833000,C15-833000,0)</f>
        <v>0</v>
      </c>
      <c r="E52" s="101" t="s">
        <v>41</v>
      </c>
      <c r="F52" s="102" t="s">
        <v>8</v>
      </c>
      <c r="G52" s="265"/>
      <c r="H52" s="265"/>
      <c r="I52" s="265">
        <f>'Rider Rates'!$B$131</f>
        <v>0</v>
      </c>
      <c r="J52" s="265">
        <f>SUM(G52:I52)</f>
        <v>0</v>
      </c>
      <c r="K52" s="104" t="s">
        <v>42</v>
      </c>
      <c r="L52" s="266"/>
      <c r="M52" s="266"/>
      <c r="N52" s="266">
        <f>D52*J52</f>
        <v>0</v>
      </c>
      <c r="O52" s="266">
        <f>SUM(L52:N52)</f>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250</v>
      </c>
      <c r="B53" s="78"/>
      <c r="C53" s="78"/>
      <c r="D53" s="100">
        <f>C15</f>
        <v>0</v>
      </c>
      <c r="E53" s="101" t="s">
        <v>41</v>
      </c>
      <c r="F53" s="249" t="s">
        <v>8</v>
      </c>
      <c r="G53" s="103"/>
      <c r="H53" s="103"/>
      <c r="I53" s="103">
        <f>'Rider Rates'!$B$135</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79" t="s">
        <v>70</v>
      </c>
      <c r="B56" s="148"/>
      <c r="C56" s="148"/>
      <c r="D56" s="180"/>
      <c r="E56" s="181"/>
      <c r="F56" s="182"/>
      <c r="G56" s="182"/>
      <c r="H56" s="182"/>
      <c r="I56" s="182"/>
      <c r="J56" s="182"/>
      <c r="K56" s="183"/>
      <c r="L56" s="169">
        <f>SUM(L27:L55)</f>
        <v>0</v>
      </c>
      <c r="M56" s="169">
        <f>SUM(M27:M55)</f>
        <v>0</v>
      </c>
      <c r="N56" s="169">
        <f>SUM(N27:N55)</f>
        <v>25.04</v>
      </c>
      <c r="O56" s="169">
        <f>SUM(O27:O55)</f>
        <v>25.04</v>
      </c>
      <c r="P56" s="18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78"/>
      <c r="B57" s="78"/>
      <c r="C57" s="78"/>
      <c r="D57" s="100"/>
      <c r="E57" s="113"/>
      <c r="F57" s="106"/>
      <c r="G57" s="106"/>
      <c r="H57" s="106"/>
      <c r="I57" s="106"/>
      <c r="J57" s="107"/>
      <c r="K57" s="104"/>
      <c r="L57" s="106"/>
      <c r="M57" s="106"/>
      <c r="N57" s="106"/>
      <c r="O57" s="106"/>
      <c r="P57" s="1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185" t="s">
        <v>93</v>
      </c>
      <c r="B58" s="170"/>
      <c r="C58" s="170"/>
      <c r="D58" s="170"/>
      <c r="E58" s="170"/>
      <c r="F58" s="170"/>
      <c r="G58" s="170"/>
      <c r="H58" s="170"/>
      <c r="I58" s="170"/>
      <c r="J58" s="170"/>
      <c r="K58" s="170"/>
      <c r="L58" s="186">
        <f>L23+L56</f>
        <v>0</v>
      </c>
      <c r="M58" s="186">
        <f>M23+M56</f>
        <v>0</v>
      </c>
      <c r="N58" s="186">
        <f>N23+N56</f>
        <v>34.44</v>
      </c>
      <c r="O58" s="187">
        <f>O23+O56</f>
        <v>34.44</v>
      </c>
      <c r="P58" s="187"/>
      <c r="Q58" s="106"/>
      <c r="R58" s="188"/>
      <c r="S58" s="108"/>
      <c r="T58" s="109"/>
      <c r="U58" s="78"/>
      <c r="V58" s="10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78"/>
      <c r="B60" s="78"/>
      <c r="C60" s="78"/>
      <c r="D60" s="78"/>
      <c r="E60" s="78"/>
      <c r="F60" s="78"/>
      <c r="G60" s="78"/>
      <c r="H60" s="78"/>
      <c r="I60" s="78"/>
      <c r="J60" s="78"/>
      <c r="K60" s="78"/>
      <c r="L60" s="78"/>
      <c r="M60" s="78"/>
      <c r="N60" s="151"/>
      <c r="O60" s="151"/>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66" t="s">
        <v>92</v>
      </c>
      <c r="B61" s="78"/>
      <c r="C61" s="78"/>
      <c r="D61" s="78"/>
      <c r="E61" s="78"/>
      <c r="F61" s="78"/>
      <c r="G61" s="78"/>
      <c r="H61" s="78"/>
      <c r="I61" s="78"/>
      <c r="J61" s="78"/>
      <c r="K61" s="78"/>
      <c r="L61" s="78"/>
      <c r="M61" s="78"/>
      <c r="N61" s="78"/>
      <c r="O61" s="109">
        <f>O21+O56</f>
        <v>34.44</v>
      </c>
      <c r="P61" s="151"/>
      <c r="Q61" s="166"/>
      <c r="R61" s="166"/>
      <c r="S61" s="166"/>
      <c r="T61" s="189"/>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66" t="s">
        <v>15</v>
      </c>
      <c r="B62" s="166"/>
      <c r="C62" s="166"/>
      <c r="D62" s="166"/>
      <c r="E62" s="166"/>
      <c r="F62" s="166"/>
      <c r="G62" s="166"/>
      <c r="H62" s="166"/>
      <c r="I62" s="78"/>
      <c r="J62" s="78"/>
      <c r="K62" s="78"/>
      <c r="L62" s="78"/>
      <c r="M62" s="78"/>
      <c r="N62" s="151"/>
      <c r="O62" s="151"/>
      <c r="P62" s="151"/>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5">
      <c r="A63" s="148" t="s">
        <v>116</v>
      </c>
      <c r="B63" s="151"/>
      <c r="C63" s="151"/>
      <c r="D63" s="151"/>
      <c r="E63" s="151"/>
      <c r="F63" s="151"/>
      <c r="G63" s="151"/>
      <c r="H63" s="151"/>
      <c r="I63" s="151"/>
      <c r="J63" s="151"/>
      <c r="K63" s="151"/>
      <c r="L63" s="151"/>
      <c r="M63" s="151"/>
      <c r="N63" s="151"/>
      <c r="O63" s="190">
        <f>IF($D$17&lt;0,O58,IF(O58&gt;O61,O58,O61))</f>
        <v>34.44</v>
      </c>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36" ht="15" customHeight="1" x14ac:dyDescent="0.25">
      <c r="A64" s="148"/>
      <c r="B64" s="151"/>
      <c r="C64" s="151"/>
      <c r="D64" s="151"/>
      <c r="E64" s="151"/>
      <c r="F64" s="151"/>
      <c r="G64" s="151"/>
      <c r="H64" s="151"/>
      <c r="I64" s="151"/>
      <c r="J64" s="151"/>
      <c r="K64" s="151"/>
      <c r="L64" s="151"/>
      <c r="M64" s="151"/>
      <c r="N64" s="151"/>
      <c r="O64" s="190"/>
      <c r="P64" s="160"/>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row>
    <row r="65" spans="1:222" x14ac:dyDescent="0.25">
      <c r="A65" s="148"/>
      <c r="B65" s="166"/>
      <c r="C65" s="166"/>
      <c r="D65" s="166"/>
      <c r="E65" s="166"/>
      <c r="F65" s="166"/>
      <c r="G65" s="166"/>
      <c r="H65" s="166"/>
      <c r="I65" s="166" t="s">
        <v>120</v>
      </c>
      <c r="J65" s="166"/>
      <c r="K65" s="166"/>
      <c r="L65" s="191"/>
      <c r="M65" s="191"/>
      <c r="N65" s="191"/>
      <c r="O65" s="191">
        <f>ROUND(IF($C$15&lt;1,0,O58/($C$15*100)*10000),2)</f>
        <v>0</v>
      </c>
      <c r="P65" s="37" t="s">
        <v>86</v>
      </c>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HE65" s="78"/>
      <c r="HF65" s="78"/>
      <c r="HG65" s="78"/>
      <c r="HH65" s="78"/>
      <c r="HI65" s="78"/>
      <c r="HJ65" s="78"/>
      <c r="HK65" s="78"/>
      <c r="HL65" s="78"/>
      <c r="HM65" s="78"/>
      <c r="HN65" s="78"/>
    </row>
    <row r="66" spans="1:222" x14ac:dyDescent="0.25">
      <c r="B66" s="78"/>
      <c r="C66" s="78"/>
      <c r="D66" s="78"/>
      <c r="E66" s="78"/>
      <c r="F66" s="78"/>
      <c r="G66" s="78"/>
      <c r="H66" s="192"/>
      <c r="I66" s="242" t="s">
        <v>198</v>
      </c>
      <c r="J66" s="78"/>
      <c r="K66" s="78"/>
      <c r="L66" s="78"/>
      <c r="M66" s="78"/>
      <c r="N66" s="78"/>
      <c r="O66" s="243">
        <f>ROUND(IF($C$15&lt;1,0,(L58)/($C$15*100)*10000),2)</f>
        <v>0</v>
      </c>
      <c r="P66" s="25" t="s">
        <v>86</v>
      </c>
      <c r="Q66" s="78"/>
      <c r="R66" s="78"/>
      <c r="S66" s="78"/>
      <c r="T66" s="78"/>
      <c r="U66" s="78"/>
      <c r="V66" s="78"/>
      <c r="W66" s="78"/>
      <c r="X66" s="78"/>
      <c r="Y66" s="78"/>
      <c r="Z66" s="78"/>
      <c r="AA66" s="78"/>
      <c r="AB66" s="78"/>
      <c r="AC66" s="78"/>
      <c r="AD66" s="78"/>
      <c r="AE66" s="78"/>
      <c r="AF66" s="78"/>
      <c r="AG66" s="78"/>
      <c r="AH66" s="78"/>
      <c r="AI66" s="78"/>
      <c r="AJ66" s="78"/>
      <c r="AK66" s="78"/>
    </row>
  </sheetData>
  <sheetProtection algorithmName="SHA-512" hashValue="vCWKfCyu3fAQMWO/vNVohk5dFoP5PNWu3agWcZWARFdF6RDHryaXAsvRNIAL3rR/QHpqzaLZB312Yf6sS1ocWg==" saltValue="+egFwjiKLzG8kwtzcVmO3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Button 1">
              <controlPr defaultSize="0" print="0" autoFill="0" autoPict="0" macro="[0]!Info">
                <anchor moveWithCells="1">
                  <from>
                    <xdr:col>0</xdr:col>
                    <xdr:colOff>38100</xdr:colOff>
                    <xdr:row>0</xdr:row>
                    <xdr:rowOff>30480</xdr:rowOff>
                  </from>
                  <to>
                    <xdr:col>0</xdr:col>
                    <xdr:colOff>381000</xdr:colOff>
                    <xdr:row>0</xdr:row>
                    <xdr:rowOff>160020</xdr:rowOff>
                  </to>
                </anchor>
              </controlPr>
            </control>
          </mc:Choice>
        </mc:AlternateContent>
        <mc:AlternateContent xmlns:mc="http://schemas.openxmlformats.org/markup-compatibility/2006">
          <mc:Choice Requires="x14">
            <control shapeId="172034" r:id="rId5" name="Button 2">
              <controlPr defaultSize="0" print="0" autoFill="0" autoPict="0" macro="[0]!Info">
                <anchor moveWithCells="1">
                  <from>
                    <xdr:col>15</xdr:col>
                    <xdr:colOff>190500</xdr:colOff>
                    <xdr:row>73</xdr:row>
                    <xdr:rowOff>45720</xdr:rowOff>
                  </from>
                  <to>
                    <xdr:col>15</xdr:col>
                    <xdr:colOff>541020</xdr:colOff>
                    <xdr:row>74</xdr:row>
                    <xdr:rowOff>106680</xdr:rowOff>
                  </to>
                </anchor>
              </controlPr>
            </control>
          </mc:Choice>
        </mc:AlternateContent>
        <mc:AlternateContent xmlns:mc="http://schemas.openxmlformats.org/markup-compatibility/2006">
          <mc:Choice Requires="x14">
            <control shapeId="172035" r:id="rId6" name="Button 3">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172036" r:id="rId7" name="Button 4">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172037" r:id="rId8" name="Button 5">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mc:AlternateContent xmlns:mc="http://schemas.openxmlformats.org/markup-compatibility/2006">
          <mc:Choice Requires="x14">
            <control shapeId="172038" r:id="rId9" name="Button 6">
              <controlPr defaultSize="0" print="0" autoFill="0" autoPict="0" macro="[0]!Info">
                <anchor moveWithCells="1">
                  <from>
                    <xdr:col>0</xdr:col>
                    <xdr:colOff>45720</xdr:colOff>
                    <xdr:row>0</xdr:row>
                    <xdr:rowOff>45720</xdr:rowOff>
                  </from>
                  <to>
                    <xdr:col>0</xdr:col>
                    <xdr:colOff>388620</xdr:colOff>
                    <xdr:row>1</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IV89"/>
  <sheetViews>
    <sheetView showGridLines="0" topLeftCell="A21" zoomScale="80" zoomScaleNormal="80" workbookViewId="0">
      <selection activeCell="J50" sqref="J50"/>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s>
  <sheetData>
    <row r="1" spans="1:256" ht="21" x14ac:dyDescent="0.4">
      <c r="A1" s="567" t="s">
        <v>119</v>
      </c>
      <c r="B1" s="567"/>
      <c r="C1" s="567"/>
      <c r="D1" s="567"/>
      <c r="E1" s="567"/>
      <c r="F1" s="567"/>
      <c r="G1" s="567"/>
      <c r="H1" s="567"/>
      <c r="I1" s="567"/>
      <c r="J1" s="567"/>
      <c r="K1" s="567"/>
      <c r="L1" s="567"/>
      <c r="M1" s="567"/>
      <c r="N1" s="567"/>
      <c r="O1" s="567"/>
      <c r="P1" s="567"/>
    </row>
    <row r="2" spans="1:256" ht="21" x14ac:dyDescent="0.4">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7.399999999999999" x14ac:dyDescent="0.3">
      <c r="A3" s="568" t="s">
        <v>279</v>
      </c>
      <c r="B3" s="568"/>
      <c r="C3" s="568"/>
      <c r="D3" s="568"/>
      <c r="E3" s="568"/>
      <c r="F3" s="568"/>
      <c r="G3" s="568"/>
      <c r="H3" s="568"/>
      <c r="I3" s="568"/>
      <c r="J3" s="568"/>
      <c r="K3" s="568"/>
      <c r="L3" s="568"/>
      <c r="M3" s="568"/>
      <c r="N3" s="568"/>
      <c r="O3" s="568"/>
      <c r="P3" s="568"/>
    </row>
    <row r="4" spans="1:256"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5">
      <c r="A5" s="75"/>
      <c r="B5" s="75"/>
      <c r="C5" s="75"/>
      <c r="D5" s="75"/>
      <c r="E5" s="75"/>
      <c r="F5" s="75"/>
      <c r="G5" s="75"/>
      <c r="H5" s="75"/>
      <c r="I5" s="75"/>
      <c r="J5" s="75"/>
      <c r="K5" s="75"/>
    </row>
    <row r="6" spans="1:256" x14ac:dyDescent="0.25">
      <c r="A6" s="282">
        <f ca="1">TODAY()</f>
        <v>45588</v>
      </c>
      <c r="B6" s="210" t="s">
        <v>299</v>
      </c>
      <c r="C6" s="282"/>
      <c r="D6" s="282"/>
      <c r="E6" s="282"/>
      <c r="F6" s="282"/>
      <c r="G6" s="282"/>
      <c r="H6" s="282"/>
      <c r="I6" s="282"/>
    </row>
    <row r="7" spans="1:256" ht="24.6" x14ac:dyDescent="0.4">
      <c r="A7" s="569"/>
      <c r="B7" s="569"/>
      <c r="C7" s="569"/>
      <c r="D7" s="569"/>
      <c r="E7" s="569"/>
      <c r="F7" s="569"/>
      <c r="G7" s="569"/>
      <c r="H7" s="569"/>
      <c r="I7" s="569"/>
      <c r="J7" s="569"/>
      <c r="K7" s="569"/>
      <c r="L7" s="569"/>
      <c r="M7" s="569"/>
      <c r="N7" s="569"/>
      <c r="O7" s="569"/>
      <c r="P7" s="569"/>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11</v>
      </c>
      <c r="C10" s="194" t="str">
        <f>LOOKUP(B10,R10:AD10,R11:AD11)</f>
        <v>November</v>
      </c>
      <c r="D10" s="133">
        <f>'Customer Info'!C9</f>
        <v>2024</v>
      </c>
      <c r="S10">
        <v>1</v>
      </c>
      <c r="T10">
        <v>2</v>
      </c>
      <c r="U10">
        <v>3</v>
      </c>
      <c r="V10">
        <v>4</v>
      </c>
      <c r="W10">
        <v>5</v>
      </c>
      <c r="X10">
        <v>6</v>
      </c>
      <c r="Y10">
        <v>7</v>
      </c>
      <c r="Z10">
        <v>8</v>
      </c>
      <c r="AA10">
        <v>9</v>
      </c>
      <c r="AB10">
        <v>10</v>
      </c>
      <c r="AC10">
        <v>11</v>
      </c>
      <c r="AD10">
        <v>12</v>
      </c>
    </row>
    <row r="11" spans="1:256" ht="15" customHeight="1" x14ac:dyDescent="0.25">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5">
      <c r="A12" s="28" t="s">
        <v>27</v>
      </c>
      <c r="B12" s="22"/>
      <c r="C12" s="22"/>
      <c r="D12" s="22"/>
      <c r="E12" s="22"/>
      <c r="F12" s="22"/>
      <c r="G12" s="22"/>
      <c r="H12" s="22"/>
      <c r="I12" s="22"/>
      <c r="J12" s="22"/>
      <c r="K12" s="22"/>
      <c r="L12" s="22"/>
      <c r="M12" s="22"/>
      <c r="N12" s="22"/>
      <c r="O12" s="22"/>
      <c r="P12" s="22"/>
      <c r="R12" s="3" t="s">
        <v>195</v>
      </c>
      <c r="S12" s="207">
        <f>'Rider Rates'!$C$23</f>
        <v>7.0209999999999995E-2</v>
      </c>
      <c r="T12" s="207">
        <f>'Rider Rates'!$C$23</f>
        <v>7.0209999999999995E-2</v>
      </c>
      <c r="U12" s="207">
        <f>'Rider Rates'!$C$23</f>
        <v>7.0209999999999995E-2</v>
      </c>
      <c r="V12" s="207">
        <f>'Rider Rates'!$C$23</f>
        <v>7.0209999999999995E-2</v>
      </c>
      <c r="W12" s="207">
        <f>'Rider Rates'!$C$23</f>
        <v>7.0209999999999995E-2</v>
      </c>
      <c r="X12" s="207">
        <f>'Rider Rates'!$B$23</f>
        <v>7.0209999999999995E-2</v>
      </c>
      <c r="Y12" s="207">
        <f>'Rider Rates'!$B$23</f>
        <v>7.0209999999999995E-2</v>
      </c>
      <c r="Z12" s="207">
        <f>'Rider Rates'!$B$23</f>
        <v>7.0209999999999995E-2</v>
      </c>
      <c r="AA12" s="207">
        <f>'Rider Rates'!$B$23</f>
        <v>7.0209999999999995E-2</v>
      </c>
      <c r="AB12" s="207">
        <f>'Rider Rates'!$C$23</f>
        <v>7.0209999999999995E-2</v>
      </c>
      <c r="AC12" s="207">
        <f>'Rider Rates'!$C$23</f>
        <v>7.0209999999999995E-2</v>
      </c>
      <c r="AD12" s="207">
        <f>'Rider Rates'!$C$23</f>
        <v>7.0209999999999995E-2</v>
      </c>
    </row>
    <row r="13" spans="1:256" x14ac:dyDescent="0.25">
      <c r="A13" s="18"/>
      <c r="B13" s="18"/>
      <c r="C13" s="59" t="s">
        <v>54</v>
      </c>
      <c r="D13" s="59" t="s">
        <v>55</v>
      </c>
      <c r="E13" s="18"/>
      <c r="F13" s="18"/>
      <c r="G13" s="18"/>
      <c r="H13" s="18"/>
      <c r="I13" s="18"/>
      <c r="J13" s="18"/>
      <c r="K13" s="18"/>
      <c r="L13" s="18"/>
      <c r="M13" s="18"/>
      <c r="N13" s="18"/>
      <c r="O13" s="18"/>
    </row>
    <row r="14" spans="1:256" x14ac:dyDescent="0.25">
      <c r="A14" s="29" t="s">
        <v>28</v>
      </c>
      <c r="B14" s="29"/>
      <c r="C14" s="44">
        <f>'Customer Info'!B19</f>
        <v>0</v>
      </c>
      <c r="D14" s="44">
        <f>ROUND(C14*C20,1)</f>
        <v>0</v>
      </c>
      <c r="E14" s="29" t="s">
        <v>45</v>
      </c>
      <c r="F14" s="30"/>
      <c r="G14" s="29" t="s">
        <v>15</v>
      </c>
      <c r="I14" s="53" t="s">
        <v>15</v>
      </c>
      <c r="J14" s="29"/>
      <c r="K14" s="29"/>
      <c r="L14" s="29"/>
      <c r="M14" s="29"/>
      <c r="N14" s="29"/>
    </row>
    <row r="15" spans="1:256" x14ac:dyDescent="0.25">
      <c r="A15" s="31" t="s">
        <v>29</v>
      </c>
      <c r="B15" s="31"/>
      <c r="C15" s="44">
        <f>'Customer Info'!B20</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Info'!B22+'Customer Info'!B23-'Customer Info'!B24&lt;0,0,'Customer Info'!B22+'Customer Info'!B23-'Customer Info'!B24)</f>
        <v>0</v>
      </c>
      <c r="D16" s="32">
        <f>C16*C20</f>
        <v>0</v>
      </c>
      <c r="E16" s="31" t="s">
        <v>41</v>
      </c>
      <c r="F16" s="33"/>
      <c r="G16" s="31"/>
      <c r="H16" s="31"/>
      <c r="I16" s="31"/>
      <c r="J16" s="31"/>
      <c r="K16" s="31"/>
      <c r="L16" s="31"/>
      <c r="M16" s="31"/>
      <c r="N16" s="31"/>
      <c r="O16" s="31"/>
    </row>
    <row r="17" spans="1:30" x14ac:dyDescent="0.25">
      <c r="A17" s="31" t="s">
        <v>293</v>
      </c>
      <c r="B17" s="31"/>
      <c r="C17" s="32">
        <f>'Customer Info'!$B$28</f>
        <v>0</v>
      </c>
      <c r="D17" s="32">
        <f>$C$17*$C$20</f>
        <v>0</v>
      </c>
      <c r="E17" s="31" t="s">
        <v>296</v>
      </c>
      <c r="F17" s="33"/>
      <c r="K17" s="31"/>
      <c r="L17" s="31"/>
      <c r="M17" s="31"/>
      <c r="N17" s="31"/>
    </row>
    <row r="18" spans="1:30" x14ac:dyDescent="0.25">
      <c r="A18" s="31" t="s">
        <v>294</v>
      </c>
      <c r="B18" s="31"/>
      <c r="C18" s="285">
        <f>IF('Customer Info'!$B$19=0,0,ROUND(MAX(ROUND('Customer Info'!$B$19*'GS SEC OAD'!C20,1),ROUND('Customer Info'!$B$20*'GS SEC OAD'!C20,1))/'Customer Info'!$D$30,1))</f>
        <v>0</v>
      </c>
      <c r="D18" s="285">
        <f>$C$18</f>
        <v>0</v>
      </c>
      <c r="E18" s="31" t="s">
        <v>297</v>
      </c>
      <c r="F18" s="33"/>
      <c r="K18" s="31"/>
      <c r="L18" s="31"/>
      <c r="M18" s="31"/>
      <c r="N18" s="31"/>
    </row>
    <row r="19" spans="1:30" x14ac:dyDescent="0.25">
      <c r="A19" s="31" t="s">
        <v>295</v>
      </c>
      <c r="B19" s="31"/>
      <c r="C19" s="32"/>
      <c r="D19" s="285">
        <f>MAX(100,ROUND(1.15*(MAX('Customer Info'!$B$19*'GS SEC OAD'!C20,'Customer Info'!$B$20*'GS SEC OAD'!C20)),1))</f>
        <v>100</v>
      </c>
      <c r="E19" s="31" t="s">
        <v>297</v>
      </c>
      <c r="F19" s="33"/>
      <c r="K19" s="31"/>
      <c r="L19" s="31"/>
      <c r="M19" s="31"/>
      <c r="N19" s="31"/>
    </row>
    <row r="20" spans="1:30" x14ac:dyDescent="0.25">
      <c r="A20" s="31" t="s">
        <v>53</v>
      </c>
      <c r="B20" s="31"/>
      <c r="C20" s="58">
        <f>+'Customer Info'!E19</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71" t="s">
        <v>15</v>
      </c>
      <c r="E21" s="571"/>
      <c r="F21" s="571"/>
      <c r="G21" s="571"/>
      <c r="H21" s="571"/>
      <c r="K21" s="31"/>
      <c r="L21" s="31"/>
      <c r="M21" s="31"/>
      <c r="N21" s="31"/>
      <c r="O21" s="50"/>
    </row>
    <row r="22" spans="1:30" x14ac:dyDescent="0.25">
      <c r="A22" s="31" t="s">
        <v>15</v>
      </c>
      <c r="B22" s="31"/>
      <c r="C22" s="82" t="s">
        <v>15</v>
      </c>
      <c r="D22" s="571" t="s">
        <v>15</v>
      </c>
      <c r="E22" s="571"/>
      <c r="F22" s="571"/>
      <c r="G22" s="571"/>
      <c r="H22" s="571"/>
      <c r="I22" s="23"/>
      <c r="J22" s="23"/>
      <c r="K22" s="31"/>
      <c r="L22" s="31"/>
      <c r="M22" s="31"/>
      <c r="N22" s="31"/>
      <c r="O22" s="50"/>
    </row>
    <row r="23" spans="1:30" x14ac:dyDescent="0.25">
      <c r="A23" s="31"/>
      <c r="B23" s="31"/>
      <c r="C23" s="33"/>
      <c r="D23" s="33"/>
      <c r="E23" s="33"/>
      <c r="F23" s="33"/>
      <c r="G23" s="23"/>
      <c r="H23" s="23"/>
      <c r="I23" s="23"/>
      <c r="J23" s="23"/>
      <c r="K23" s="31"/>
      <c r="L23" s="31"/>
      <c r="M23" s="31"/>
      <c r="N23" s="31"/>
      <c r="O23" s="31"/>
    </row>
    <row r="24" spans="1:30" x14ac:dyDescent="0.25">
      <c r="A24" s="28" t="s">
        <v>31</v>
      </c>
      <c r="B24" s="22"/>
      <c r="C24" s="22"/>
      <c r="D24" s="22"/>
      <c r="E24" s="22"/>
      <c r="F24" s="22"/>
      <c r="G24" s="563" t="s">
        <v>67</v>
      </c>
      <c r="H24" s="564"/>
      <c r="I24" s="564"/>
      <c r="J24" s="565"/>
      <c r="K24" s="22"/>
      <c r="L24" s="566" t="s">
        <v>68</v>
      </c>
      <c r="M24" s="566"/>
      <c r="N24" s="566"/>
      <c r="O24" s="566"/>
    </row>
    <row r="25" spans="1:30" x14ac:dyDescent="0.25">
      <c r="A25" s="18"/>
      <c r="B25" s="18"/>
      <c r="C25" s="18"/>
      <c r="D25" s="18"/>
      <c r="E25" s="18"/>
      <c r="F25" s="18"/>
      <c r="G25" s="8" t="s">
        <v>64</v>
      </c>
      <c r="H25" s="8" t="s">
        <v>65</v>
      </c>
      <c r="I25" s="8" t="s">
        <v>66</v>
      </c>
      <c r="J25" s="112" t="s">
        <v>34</v>
      </c>
      <c r="K25" s="18"/>
      <c r="L25" s="283" t="s">
        <v>64</v>
      </c>
      <c r="M25" s="283" t="s">
        <v>65</v>
      </c>
      <c r="N25" s="283" t="s">
        <v>66</v>
      </c>
      <c r="O25" s="132" t="s">
        <v>34</v>
      </c>
      <c r="P25" s="43" t="s">
        <v>56</v>
      </c>
    </row>
    <row r="26" spans="1:30" x14ac:dyDescent="0.25">
      <c r="A26" t="s">
        <v>32</v>
      </c>
      <c r="G26" s="86"/>
      <c r="H26" s="86"/>
      <c r="I26" s="86">
        <v>9.4</v>
      </c>
      <c r="J26" s="86">
        <f>SUM(G26:I26)</f>
        <v>9.4</v>
      </c>
      <c r="L26" s="88"/>
      <c r="M26" s="88"/>
      <c r="N26" s="88">
        <f>I26</f>
        <v>9.4</v>
      </c>
      <c r="O26" s="209">
        <f>SUM(L26:N26)</f>
        <v>9.4</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Info'!B15-100)*0.6,('Customer Info'!B17-100)*0.6),1)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5">
      <c r="A29" t="s">
        <v>270</v>
      </c>
      <c r="D29" s="49">
        <f>IF(D18&lt;=100,0,ROUND(IF(D18-D19&gt;0,D18-D19),1))</f>
        <v>0</v>
      </c>
      <c r="E29" s="29" t="s">
        <v>268</v>
      </c>
      <c r="F29" s="4" t="s">
        <v>8</v>
      </c>
      <c r="G29" s="116"/>
      <c r="H29" s="85"/>
      <c r="I29" s="85">
        <v>1.25</v>
      </c>
      <c r="J29" s="116">
        <f>SUM(G29:I29)</f>
        <v>1.25</v>
      </c>
      <c r="K29" s="36" t="s">
        <v>44</v>
      </c>
      <c r="L29" s="87"/>
      <c r="M29" s="87"/>
      <c r="N29" s="87">
        <f>ROUND($D29*I29,2)</f>
        <v>0</v>
      </c>
      <c r="O29" s="87">
        <f>SUM(L29:N29)</f>
        <v>0</v>
      </c>
      <c r="P29" s="245">
        <v>44531</v>
      </c>
    </row>
    <row r="30" spans="1:30" x14ac:dyDescent="0.25">
      <c r="A30" s="37" t="s">
        <v>50</v>
      </c>
      <c r="B30" s="37"/>
      <c r="C30" s="37"/>
      <c r="D30" s="38"/>
      <c r="E30" s="38"/>
      <c r="F30" s="37"/>
      <c r="G30" s="37"/>
      <c r="H30" s="37"/>
      <c r="I30" s="37"/>
      <c r="J30" s="37"/>
      <c r="K30" s="39"/>
      <c r="L30" s="40"/>
      <c r="M30" s="40"/>
      <c r="N30" s="40">
        <f>SUM(N26:N29)</f>
        <v>9.4</v>
      </c>
      <c r="O30" s="40">
        <f>SUM(O26:O29)</f>
        <v>9.4</v>
      </c>
    </row>
    <row r="31" spans="1:30" x14ac:dyDescent="0.25">
      <c r="A31" s="89"/>
      <c r="B31" s="89"/>
      <c r="C31" s="90"/>
      <c r="D31" s="90"/>
      <c r="E31" s="90"/>
      <c r="F31" s="90"/>
      <c r="G31" s="91"/>
      <c r="H31" s="91"/>
      <c r="I31" s="91"/>
      <c r="J31" s="91"/>
      <c r="K31" s="89"/>
      <c r="L31" s="89"/>
      <c r="M31" s="89"/>
      <c r="N31" s="89"/>
      <c r="O31" s="89"/>
      <c r="P31" s="89"/>
    </row>
    <row r="32" spans="1:30" x14ac:dyDescent="0.25">
      <c r="A32" s="41" t="s">
        <v>69</v>
      </c>
      <c r="D32" s="1"/>
      <c r="E32" s="1"/>
      <c r="K32" s="36"/>
      <c r="L32" s="36"/>
      <c r="M32" s="36"/>
      <c r="N32" s="36"/>
      <c r="O32" s="34"/>
      <c r="P32" s="34"/>
    </row>
    <row r="33" spans="1:221" x14ac:dyDescent="0.25">
      <c r="A33" s="37"/>
      <c r="D33" s="1"/>
      <c r="E33" s="1"/>
      <c r="K33" s="36"/>
      <c r="L33" s="36"/>
      <c r="M33" s="36"/>
      <c r="N33" s="36"/>
      <c r="O33" s="34"/>
    </row>
    <row r="34" spans="1:221" x14ac:dyDescent="0.25">
      <c r="A34" s="78" t="s">
        <v>78</v>
      </c>
      <c r="D34" s="1">
        <f>IF($C$16&lt;0,0,IF($C$16&gt;833000,833000,$C$16))</f>
        <v>0</v>
      </c>
      <c r="E34" s="35" t="s">
        <v>41</v>
      </c>
      <c r="F34" s="4" t="s">
        <v>8</v>
      </c>
      <c r="G34" s="83"/>
      <c r="H34" s="84"/>
      <c r="I34" s="103">
        <f>'Rider Rates'!$B$4</f>
        <v>5.9216E-3</v>
      </c>
      <c r="J34" s="6">
        <f>SUM(G34:I34)</f>
        <v>5.9216E-3</v>
      </c>
      <c r="K34" s="36" t="s">
        <v>42</v>
      </c>
      <c r="L34" s="87"/>
      <c r="M34" s="87"/>
      <c r="N34" s="87">
        <f>ROUND($D34*I34,2)</f>
        <v>0</v>
      </c>
      <c r="O34" s="87">
        <f>SUM(L34:N34)</f>
        <v>0</v>
      </c>
      <c r="P34" s="245">
        <f>'Rider Rates'!$D$4</f>
        <v>45293</v>
      </c>
    </row>
    <row r="35" spans="1:221" x14ac:dyDescent="0.25">
      <c r="A35" s="78" t="s">
        <v>79</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45293</v>
      </c>
    </row>
    <row r="36" spans="1:221" x14ac:dyDescent="0.25">
      <c r="A36" s="78" t="s">
        <v>47</v>
      </c>
      <c r="B36" t="s">
        <v>15</v>
      </c>
      <c r="D36" s="1">
        <f>IF('Customer Info'!$C$33=TRUE,0,IF(C16&lt;0,0,IF(C16&gt;2000,2000,C16)))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5">
      <c r="A37" s="78" t="s">
        <v>48</v>
      </c>
      <c r="B37" t="s">
        <v>15</v>
      </c>
      <c r="D37" s="1">
        <f>IF('Customer Info'!$C$33=TRUE,0,IF(C16&gt;15000,13000,IF(C16&gt;2000,C16-2000,0)))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5">
      <c r="A38" s="78" t="s">
        <v>49</v>
      </c>
      <c r="B38" t="s">
        <v>15</v>
      </c>
      <c r="D38" s="1">
        <f>IF('Customer Info'!$C$33=TRUE,0,IF(C16-D36-D37&gt;0,C16-D36-D37,0))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5">
      <c r="A39" s="241" t="s">
        <v>245</v>
      </c>
      <c r="B39" s="78"/>
      <c r="C39" s="78"/>
      <c r="D39" s="208">
        <f>$N$30</f>
        <v>9.4</v>
      </c>
      <c r="E39" s="101" t="s">
        <v>121</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5">
      <c r="A40" s="241" t="s">
        <v>218</v>
      </c>
      <c r="B40" s="78"/>
      <c r="C40" s="78"/>
      <c r="D40" s="1">
        <f>IF($C$16&lt;0,0,IF($C$16&gt;833000,833000,$C$16))</f>
        <v>0</v>
      </c>
      <c r="E40" s="101" t="s">
        <v>41</v>
      </c>
      <c r="F40" s="102" t="s">
        <v>8</v>
      </c>
      <c r="G40" s="103"/>
      <c r="H40" s="103"/>
      <c r="I40" s="103">
        <f>'Rider Rates'!D53</f>
        <v>1.8006999999999999E-3</v>
      </c>
      <c r="J40" s="103">
        <f>SUM(G40:I40)</f>
        <v>1.8006999999999999E-3</v>
      </c>
      <c r="K40" s="104" t="s">
        <v>42</v>
      </c>
      <c r="L40" s="105"/>
      <c r="M40" s="105"/>
      <c r="N40" s="87">
        <f>D40*J40</f>
        <v>0</v>
      </c>
      <c r="O40" s="105">
        <f t="shared" si="0"/>
        <v>0</v>
      </c>
      <c r="P40" s="245">
        <f>'Rider Rates'!E53</f>
        <v>45474</v>
      </c>
    </row>
    <row r="41" spans="1:221" x14ac:dyDescent="0.25">
      <c r="A41" s="210" t="s">
        <v>197</v>
      </c>
      <c r="B41" s="78"/>
      <c r="C41" s="78"/>
      <c r="D41" s="1">
        <f>IF($C$16&lt;0,0,$C$16)</f>
        <v>0</v>
      </c>
      <c r="E41" s="113" t="s">
        <v>41</v>
      </c>
      <c r="F41" s="102" t="s">
        <v>8</v>
      </c>
      <c r="G41" s="103"/>
      <c r="H41" s="103">
        <f>'Rider Rates'!$B$61</f>
        <v>6.0079999999999997E-4</v>
      </c>
      <c r="I41" s="103"/>
      <c r="J41" s="103">
        <f>SUM(G41:I41)</f>
        <v>6.0079999999999997E-4</v>
      </c>
      <c r="K41" s="104" t="s">
        <v>42</v>
      </c>
      <c r="L41" s="105"/>
      <c r="M41" s="105">
        <f>ROUND(D41*H41,2)</f>
        <v>0</v>
      </c>
      <c r="N41" s="205"/>
      <c r="O41" s="105">
        <f t="shared" si="0"/>
        <v>0</v>
      </c>
      <c r="P41" s="245">
        <f>'Rider Rates'!$D$61</f>
        <v>45383</v>
      </c>
    </row>
    <row r="42" spans="1:221" x14ac:dyDescent="0.25">
      <c r="A42" s="210" t="s">
        <v>197</v>
      </c>
      <c r="B42" s="78"/>
      <c r="C42" s="78"/>
      <c r="D42" s="49">
        <f>D14</f>
        <v>0</v>
      </c>
      <c r="E42" s="35" t="s">
        <v>63</v>
      </c>
      <c r="F42" s="4" t="s">
        <v>8</v>
      </c>
      <c r="G42" s="103"/>
      <c r="H42" s="239">
        <f>'Rider Rates'!$B$66</f>
        <v>6.73</v>
      </c>
      <c r="I42" s="103"/>
      <c r="J42" s="239">
        <f>SUM(G42:I42)</f>
        <v>6.73</v>
      </c>
      <c r="K42" s="104" t="s">
        <v>44</v>
      </c>
      <c r="L42" s="105"/>
      <c r="M42" s="105">
        <f>ROUND(D42*H42,2)</f>
        <v>0</v>
      </c>
      <c r="N42" s="205"/>
      <c r="O42" s="105">
        <f t="shared" si="0"/>
        <v>0</v>
      </c>
      <c r="P42" s="245">
        <f>'Rider Rates'!$D$66</f>
        <v>45383</v>
      </c>
    </row>
    <row r="43" spans="1:221" x14ac:dyDescent="0.25">
      <c r="A43" s="99" t="s">
        <v>82</v>
      </c>
      <c r="B43" s="78"/>
      <c r="C43" s="78"/>
      <c r="D43" s="1">
        <f>IF('Customer Info'!C35=TRUE,0,IF($C$16&lt;0,0,$C$16))</f>
        <v>0</v>
      </c>
      <c r="E43" s="101" t="s">
        <v>41</v>
      </c>
      <c r="F43" s="102" t="s">
        <v>8</v>
      </c>
      <c r="G43" s="103"/>
      <c r="H43" s="103"/>
      <c r="I43" s="103">
        <f>'Rider Rates'!$B$75+'Rider Rates'!$C$75</f>
        <v>0</v>
      </c>
      <c r="J43" s="103">
        <f>SUM(G43:I43)</f>
        <v>0</v>
      </c>
      <c r="K43" s="104" t="s">
        <v>42</v>
      </c>
      <c r="L43" s="105"/>
      <c r="M43" s="105"/>
      <c r="N43" s="87">
        <f>ROUND($D$43*'Rider Rates'!$B$75,2)+ROUND($D$43*'Rider Rates'!$C$75,2)</f>
        <v>0</v>
      </c>
      <c r="O43" s="209">
        <f t="shared" si="0"/>
        <v>0</v>
      </c>
      <c r="P43" s="245">
        <f>'Rider Rates'!$D$75</f>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82</v>
      </c>
      <c r="B44" s="78"/>
      <c r="C44" s="78"/>
      <c r="D44" s="49">
        <f>IF('Customer Info'!C35=TRUE,0,$D$28)</f>
        <v>0</v>
      </c>
      <c r="E44" s="101" t="s">
        <v>45</v>
      </c>
      <c r="F44" s="102" t="s">
        <v>8</v>
      </c>
      <c r="G44" s="103"/>
      <c r="H44" s="103"/>
      <c r="I44" s="239">
        <f>'Rider Rates'!$B$85</f>
        <v>0</v>
      </c>
      <c r="J44" s="239">
        <f>SUM(G44:I44)</f>
        <v>0</v>
      </c>
      <c r="K44" s="104" t="s">
        <v>42</v>
      </c>
      <c r="L44" s="105"/>
      <c r="M44" s="105"/>
      <c r="N44" s="87">
        <f>ROUND($D44*I44,2)</f>
        <v>0</v>
      </c>
      <c r="O44" s="209">
        <f>SUM(L44:N44)</f>
        <v>0</v>
      </c>
      <c r="P44" s="245">
        <f>'Rider Rates'!$D$85</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5">
      <c r="A45" s="99" t="s">
        <v>80</v>
      </c>
      <c r="B45" s="78"/>
      <c r="C45" s="78"/>
      <c r="D45" s="208">
        <f>$N$30</f>
        <v>9.4</v>
      </c>
      <c r="E45" s="101" t="s">
        <v>121</v>
      </c>
      <c r="F45" s="102" t="s">
        <v>8</v>
      </c>
      <c r="G45" s="111"/>
      <c r="H45" s="112"/>
      <c r="I45" s="120">
        <f>'Rider Rates'!$B$89</f>
        <v>4.94232E-2</v>
      </c>
      <c r="J45" s="120">
        <f>SUM(H45:I45)</f>
        <v>4.94232E-2</v>
      </c>
      <c r="K45" s="104"/>
      <c r="L45" s="105"/>
      <c r="M45" s="105"/>
      <c r="N45" s="105">
        <f>ROUND(N$30*I45,2)</f>
        <v>0.46</v>
      </c>
      <c r="O45" s="209">
        <f t="shared" si="0"/>
        <v>0.46</v>
      </c>
      <c r="P45" s="245">
        <f>'Rider Rates'!$D$89</f>
        <v>45562</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5">
      <c r="A46" s="99" t="s">
        <v>81</v>
      </c>
      <c r="B46" s="78"/>
      <c r="C46" s="78"/>
      <c r="D46" s="208">
        <f>$N$30</f>
        <v>9.4</v>
      </c>
      <c r="E46" s="101" t="s">
        <v>121</v>
      </c>
      <c r="F46" s="102" t="s">
        <v>8</v>
      </c>
      <c r="G46" s="114"/>
      <c r="H46" s="115"/>
      <c r="I46" s="120">
        <f>'Rider Rates'!$B$91</f>
        <v>6.6985699999999995E-2</v>
      </c>
      <c r="J46" s="120">
        <f>SUM(H46:I46)</f>
        <v>6.6985699999999995E-2</v>
      </c>
      <c r="K46" s="104"/>
      <c r="L46" s="105"/>
      <c r="M46" s="105"/>
      <c r="N46" s="105">
        <f>ROUND(N$30*I46,2)</f>
        <v>0.63</v>
      </c>
      <c r="O46" s="209">
        <f t="shared" si="0"/>
        <v>0.63</v>
      </c>
      <c r="P46" s="245">
        <f>'Rider Rates'!$D$91</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5">
      <c r="A47" s="210" t="s">
        <v>214</v>
      </c>
      <c r="B47" s="78"/>
      <c r="C47" s="78"/>
      <c r="D47" s="195"/>
      <c r="E47" s="113" t="s">
        <v>114</v>
      </c>
      <c r="F47" s="106"/>
      <c r="G47" s="114"/>
      <c r="H47" s="115"/>
      <c r="I47" s="196">
        <f>'Rider Rates'!$B$95</f>
        <v>17.12</v>
      </c>
      <c r="J47" s="196">
        <f>SUM(G47:I47)</f>
        <v>17.12</v>
      </c>
      <c r="K47" s="104"/>
      <c r="L47" s="105"/>
      <c r="M47" s="105"/>
      <c r="N47" s="105">
        <f>I47</f>
        <v>17.12</v>
      </c>
      <c r="O47" s="105">
        <f>SUM(L47:N47)</f>
        <v>17.12</v>
      </c>
      <c r="P47" s="245">
        <f>'Rider Rates'!$D$95</f>
        <v>45562</v>
      </c>
    </row>
    <row r="48" spans="1:221" x14ac:dyDescent="0.25">
      <c r="A48" s="99" t="s">
        <v>156</v>
      </c>
      <c r="B48" s="78"/>
      <c r="C48" s="78"/>
      <c r="D48" s="208">
        <f>$N$30</f>
        <v>9.4</v>
      </c>
      <c r="E48" s="101" t="s">
        <v>121</v>
      </c>
      <c r="F48" s="102" t="s">
        <v>8</v>
      </c>
      <c r="G48" s="114"/>
      <c r="H48" s="115"/>
      <c r="I48" s="120">
        <f>'Rider Rates'!$B$109</f>
        <v>0.211176</v>
      </c>
      <c r="J48" s="120">
        <f>SUM(H48:I48)</f>
        <v>0.211176</v>
      </c>
      <c r="K48" s="104"/>
      <c r="L48" s="105"/>
      <c r="M48" s="105"/>
      <c r="N48" s="105">
        <f>ROUND(N$30*I48,2)</f>
        <v>1.99</v>
      </c>
      <c r="O48" s="105">
        <f t="shared" si="0"/>
        <v>1.99</v>
      </c>
      <c r="P48" s="245">
        <f>'Rider Rates'!$D$109</f>
        <v>45532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217</v>
      </c>
      <c r="B49" s="78"/>
      <c r="C49" s="78"/>
      <c r="D49" s="195"/>
      <c r="E49" s="113" t="s">
        <v>114</v>
      </c>
      <c r="F49" s="106"/>
      <c r="G49" s="114"/>
      <c r="H49" s="115"/>
      <c r="I49" s="196">
        <f>'Rider Rates'!$B$113</f>
        <v>0</v>
      </c>
      <c r="J49" s="196">
        <f t="shared" ref="J49:J55" si="1">SUM(G49:I49)</f>
        <v>0</v>
      </c>
      <c r="K49" s="104"/>
      <c r="L49" s="105"/>
      <c r="M49" s="105"/>
      <c r="N49" s="105">
        <f>I49</f>
        <v>0</v>
      </c>
      <c r="O49" s="105">
        <f t="shared" ref="O49:O55" si="2">SUM(L49:N49)</f>
        <v>0</v>
      </c>
      <c r="P49" s="245">
        <f>'Rider Rates'!$D$113</f>
        <v>44894</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225</v>
      </c>
      <c r="B50" s="78"/>
      <c r="C50" s="78"/>
      <c r="D50" s="195"/>
      <c r="E50" s="113" t="s">
        <v>114</v>
      </c>
      <c r="F50" s="106"/>
      <c r="G50" s="114"/>
      <c r="H50" s="115"/>
      <c r="I50" s="258">
        <f>'Rider Rates'!B126</f>
        <v>4.84</v>
      </c>
      <c r="J50" s="196">
        <f t="shared" si="1"/>
        <v>4.84</v>
      </c>
      <c r="K50" s="104"/>
      <c r="L50" s="105"/>
      <c r="M50" s="105"/>
      <c r="N50" s="260">
        <f>I50</f>
        <v>4.84</v>
      </c>
      <c r="O50" s="105">
        <f t="shared" si="2"/>
        <v>4.84</v>
      </c>
      <c r="P50" s="245">
        <f>'Rider Rates'!D126</f>
        <v>45593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216</v>
      </c>
      <c r="B51" s="78"/>
      <c r="C51" s="78"/>
      <c r="D51" s="1">
        <f>IF($C$16&lt;1,0,$C$16)</f>
        <v>0</v>
      </c>
      <c r="E51" s="101" t="s">
        <v>41</v>
      </c>
      <c r="F51" s="249" t="s">
        <v>8</v>
      </c>
      <c r="G51" s="165"/>
      <c r="H51" s="165"/>
      <c r="I51" s="251">
        <f>'Rider Rates'!B122</f>
        <v>-6.2E-4</v>
      </c>
      <c r="J51" s="251">
        <f t="shared" si="1"/>
        <v>-6.2E-4</v>
      </c>
      <c r="K51" s="104" t="s">
        <v>42</v>
      </c>
      <c r="L51" s="105"/>
      <c r="M51" s="105"/>
      <c r="N51" s="105">
        <f>D51*I51</f>
        <v>0</v>
      </c>
      <c r="O51" s="105">
        <f t="shared" si="2"/>
        <v>0</v>
      </c>
      <c r="P51" s="245">
        <f>'Rider Rates'!D122</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241</v>
      </c>
      <c r="B52" s="78"/>
      <c r="C52" s="78"/>
      <c r="D52" s="100">
        <f>IF(C16&lt;0,0,IF(C16&gt;833000,833000,C16))</f>
        <v>0</v>
      </c>
      <c r="E52" s="101" t="s">
        <v>41</v>
      </c>
      <c r="F52" s="102" t="s">
        <v>8</v>
      </c>
      <c r="G52" s="265"/>
      <c r="H52" s="265"/>
      <c r="I52" s="265">
        <f>'Rider Rates'!$B$130</f>
        <v>2.9050000000000001E-4</v>
      </c>
      <c r="J52" s="265">
        <f t="shared" si="1"/>
        <v>2.9050000000000001E-4</v>
      </c>
      <c r="K52" s="104" t="s">
        <v>42</v>
      </c>
      <c r="L52" s="266"/>
      <c r="M52" s="266"/>
      <c r="N52" s="266">
        <f>IF(D52*J52&gt;'Rider Rates'!$C$130,'Rider Rates'!$C$130,D52*J52)</f>
        <v>0</v>
      </c>
      <c r="O52" s="266">
        <f t="shared" si="2"/>
        <v>0</v>
      </c>
      <c r="P52" s="264">
        <f>'Rider Rates'!$E$130</f>
        <v>45292</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78" t="s">
        <v>242</v>
      </c>
      <c r="B53" s="78"/>
      <c r="C53" s="78"/>
      <c r="D53" s="123">
        <f>IF(C16&gt;833000,C16-833000,0)</f>
        <v>0</v>
      </c>
      <c r="E53" s="101" t="s">
        <v>41</v>
      </c>
      <c r="F53" s="102" t="s">
        <v>8</v>
      </c>
      <c r="G53" s="265"/>
      <c r="H53" s="265"/>
      <c r="I53" s="265">
        <f>'Rider Rates'!$B$131</f>
        <v>0</v>
      </c>
      <c r="J53" s="265">
        <f t="shared" si="1"/>
        <v>0</v>
      </c>
      <c r="K53" s="104" t="s">
        <v>42</v>
      </c>
      <c r="L53" s="266"/>
      <c r="M53" s="266"/>
      <c r="N53" s="266">
        <f>D53*J53</f>
        <v>0</v>
      </c>
      <c r="O53" s="266">
        <f t="shared" si="2"/>
        <v>0</v>
      </c>
      <c r="P53" s="264">
        <f>'Rider Rates'!$E$131</f>
        <v>44927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250</v>
      </c>
      <c r="B54" s="78"/>
      <c r="C54" s="78"/>
      <c r="D54" s="100">
        <f>D16</f>
        <v>0</v>
      </c>
      <c r="E54" s="101" t="s">
        <v>41</v>
      </c>
      <c r="F54" s="249" t="s">
        <v>8</v>
      </c>
      <c r="G54" s="103"/>
      <c r="H54" s="103"/>
      <c r="I54" s="103">
        <f>'Rider Rates'!$B$135</f>
        <v>0</v>
      </c>
      <c r="J54" s="237">
        <f t="shared" si="1"/>
        <v>0</v>
      </c>
      <c r="K54" s="104" t="s">
        <v>42</v>
      </c>
      <c r="L54" s="105"/>
      <c r="M54" s="105"/>
      <c r="N54" s="105">
        <f>D54*J54</f>
        <v>0</v>
      </c>
      <c r="O54" s="105">
        <f t="shared" si="2"/>
        <v>0</v>
      </c>
      <c r="P54" s="245">
        <f>'Rider Rates'!$D$135</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249</v>
      </c>
      <c r="B55" s="78"/>
      <c r="C55" s="78"/>
      <c r="D55" s="100"/>
      <c r="E55" s="101" t="s">
        <v>114</v>
      </c>
      <c r="F55" s="102" t="s">
        <v>8</v>
      </c>
      <c r="G55" s="263"/>
      <c r="H55" s="263"/>
      <c r="I55" s="263">
        <f>'Rider Rates'!$B$142</f>
        <v>0</v>
      </c>
      <c r="J55" s="263">
        <f t="shared" si="1"/>
        <v>0</v>
      </c>
      <c r="K55" s="104"/>
      <c r="L55" s="209"/>
      <c r="M55" s="209"/>
      <c r="N55" s="209">
        <f>J55</f>
        <v>0</v>
      </c>
      <c r="O55" s="209">
        <f t="shared" si="2"/>
        <v>0</v>
      </c>
      <c r="P55" s="264">
        <f>'Rider Rates'!$D$142</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251</v>
      </c>
      <c r="B56" s="78"/>
      <c r="C56" s="78"/>
      <c r="D56" s="100"/>
      <c r="E56" s="101"/>
      <c r="F56" s="102"/>
      <c r="G56" s="263"/>
      <c r="H56" s="263"/>
      <c r="I56" s="263"/>
      <c r="J56" s="263"/>
      <c r="K56" s="104"/>
      <c r="L56" s="209"/>
      <c r="M56" s="209"/>
      <c r="N56" s="209"/>
      <c r="O56" s="209"/>
      <c r="P56" s="2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179" t="s">
        <v>70</v>
      </c>
      <c r="B57" s="148"/>
      <c r="C57" s="148"/>
      <c r="D57" s="180"/>
      <c r="E57" s="181"/>
      <c r="F57" s="182"/>
      <c r="G57" s="182"/>
      <c r="H57" s="182"/>
      <c r="I57" s="182"/>
      <c r="J57" s="182"/>
      <c r="K57" s="183"/>
      <c r="L57" s="169">
        <f>SUM(L34:L56)</f>
        <v>0</v>
      </c>
      <c r="M57" s="169">
        <f>SUM(M34:M56)</f>
        <v>0</v>
      </c>
      <c r="N57" s="169">
        <f>SUM(N34:N56)</f>
        <v>25.04</v>
      </c>
      <c r="O57" s="169">
        <f>SUM(O34:O56)</f>
        <v>25.04</v>
      </c>
      <c r="P57" s="184"/>
    </row>
    <row r="58" spans="1:221" x14ac:dyDescent="0.25">
      <c r="A58" s="37"/>
      <c r="D58" s="1"/>
      <c r="E58" s="35"/>
      <c r="F58" s="4"/>
      <c r="G58" s="42"/>
      <c r="H58" s="42"/>
      <c r="I58" s="42"/>
      <c r="J58" s="42"/>
      <c r="K58" s="36"/>
      <c r="L58" s="36"/>
      <c r="M58" s="36"/>
      <c r="N58" s="36"/>
      <c r="O58" s="34"/>
      <c r="P58" s="36"/>
    </row>
    <row r="59" spans="1:221" x14ac:dyDescent="0.25">
      <c r="A59" s="284" t="s">
        <v>71</v>
      </c>
      <c r="B59" s="92"/>
      <c r="C59" s="92"/>
      <c r="D59" s="92"/>
      <c r="E59" s="92"/>
      <c r="F59" s="92"/>
      <c r="G59" s="92"/>
      <c r="H59" s="92"/>
      <c r="I59" s="92"/>
      <c r="J59" s="92"/>
      <c r="K59" s="92"/>
      <c r="L59" s="98">
        <f>L30+L57</f>
        <v>0</v>
      </c>
      <c r="M59" s="98">
        <f>M30+M57</f>
        <v>0</v>
      </c>
      <c r="N59" s="98">
        <f>N30+N57</f>
        <v>34.44</v>
      </c>
      <c r="O59" s="98">
        <f>O30+O57</f>
        <v>34.44</v>
      </c>
      <c r="P59" s="98"/>
    </row>
    <row r="60" spans="1:221" x14ac:dyDescent="0.25">
      <c r="A60" s="37"/>
      <c r="B60" s="37"/>
      <c r="C60" s="37"/>
      <c r="D60" s="37"/>
      <c r="E60" s="37"/>
      <c r="F60" s="37"/>
      <c r="G60" s="37"/>
      <c r="H60" s="37"/>
      <c r="I60" s="37"/>
      <c r="J60" s="37"/>
      <c r="K60" s="37"/>
      <c r="L60" s="37"/>
      <c r="M60" s="37"/>
      <c r="N60" s="37"/>
      <c r="O60" s="40"/>
      <c r="P60" s="40"/>
    </row>
    <row r="61" spans="1:221" x14ac:dyDescent="0.25">
      <c r="A61" s="37" t="s">
        <v>37</v>
      </c>
      <c r="B61" s="37"/>
      <c r="C61" s="37"/>
      <c r="D61" s="37"/>
      <c r="E61" s="37"/>
      <c r="F61" s="37"/>
      <c r="G61" s="37"/>
      <c r="H61" s="37"/>
      <c r="I61" s="37"/>
      <c r="J61" s="37"/>
      <c r="K61" s="37"/>
      <c r="L61" s="37"/>
      <c r="M61" s="37"/>
      <c r="N61" s="37"/>
      <c r="O61" s="45">
        <f>O26+O28+O57</f>
        <v>34.44</v>
      </c>
      <c r="P61" s="245">
        <v>40967</v>
      </c>
    </row>
    <row r="62" spans="1:221" x14ac:dyDescent="0.25">
      <c r="A62" s="37"/>
      <c r="B62" s="37"/>
      <c r="C62" s="37"/>
      <c r="D62" s="37"/>
      <c r="E62" s="37"/>
      <c r="F62" s="37"/>
      <c r="G62" s="46"/>
      <c r="H62" s="46"/>
      <c r="I62" s="46"/>
      <c r="J62" s="46"/>
      <c r="K62" s="36"/>
      <c r="L62" s="36"/>
      <c r="M62" s="36"/>
      <c r="N62" s="36"/>
      <c r="O62" s="40"/>
    </row>
    <row r="63" spans="1:221" x14ac:dyDescent="0.25">
      <c r="A63" s="41" t="s">
        <v>116</v>
      </c>
      <c r="B63" s="37"/>
      <c r="C63" s="37"/>
      <c r="D63" s="37"/>
      <c r="E63" s="37"/>
      <c r="F63" s="37"/>
      <c r="G63" s="46"/>
      <c r="H63" s="46"/>
      <c r="I63" s="46"/>
      <c r="J63" s="46"/>
      <c r="K63" s="36"/>
      <c r="L63" s="36"/>
      <c r="M63" s="36"/>
      <c r="N63" s="36"/>
      <c r="O63" s="138">
        <f>MAX($O$59,$O$61)</f>
        <v>34.44</v>
      </c>
    </row>
    <row r="64" spans="1:221" x14ac:dyDescent="0.25">
      <c r="A64" s="37"/>
      <c r="B64" s="37"/>
      <c r="C64" s="37"/>
      <c r="D64" s="37"/>
      <c r="E64" s="37"/>
      <c r="F64" s="37"/>
      <c r="G64" s="46"/>
      <c r="H64" s="46"/>
      <c r="I64" s="46"/>
      <c r="J64" s="46"/>
      <c r="K64" s="36"/>
      <c r="L64" s="36"/>
      <c r="M64" s="36"/>
      <c r="N64" s="36"/>
      <c r="O64" s="40"/>
    </row>
    <row r="65" spans="1:16" x14ac:dyDescent="0.25">
      <c r="A65" s="37"/>
      <c r="B65" s="37"/>
      <c r="C65" s="37"/>
      <c r="D65" s="37"/>
      <c r="E65" s="37"/>
      <c r="F65" s="37"/>
      <c r="G65" s="96" t="s">
        <v>85</v>
      </c>
      <c r="H65" s="46"/>
      <c r="I65" s="37"/>
      <c r="J65" s="46"/>
      <c r="K65" s="36"/>
      <c r="L65" s="191"/>
      <c r="M65" s="191"/>
      <c r="N65" s="191"/>
      <c r="O65" s="191">
        <f>ROUND(IF($C$16&lt;1,0,$O$63/($C$16*100)*10000),2)</f>
        <v>0</v>
      </c>
      <c r="P65" s="37" t="s">
        <v>86</v>
      </c>
    </row>
    <row r="66" spans="1:16" x14ac:dyDescent="0.25">
      <c r="A66" s="37"/>
      <c r="B66" s="37"/>
      <c r="C66" s="37"/>
      <c r="D66" s="37"/>
      <c r="E66" s="37"/>
      <c r="F66" s="37"/>
      <c r="G66" s="242" t="s">
        <v>198</v>
      </c>
      <c r="H66" s="136"/>
      <c r="I66" s="133"/>
      <c r="J66" s="136"/>
      <c r="K66" s="137"/>
      <c r="L66" s="78"/>
      <c r="M66" s="78"/>
      <c r="N66" s="78"/>
      <c r="O66" s="243">
        <f>ROUND(IF($C$16&lt;1,0,(L59)/($C$16*100)*10000),2)</f>
        <v>0</v>
      </c>
      <c r="P66" s="25" t="s">
        <v>86</v>
      </c>
    </row>
    <row r="67" spans="1:16" x14ac:dyDescent="0.25">
      <c r="A67" s="37"/>
      <c r="B67" s="37"/>
      <c r="C67" s="37"/>
      <c r="D67" s="37"/>
      <c r="E67" s="37"/>
      <c r="F67" s="37"/>
      <c r="G67" s="96"/>
      <c r="H67" s="46"/>
      <c r="I67" s="96"/>
      <c r="J67" s="46"/>
      <c r="K67" s="36"/>
      <c r="L67" s="36"/>
      <c r="M67" s="36"/>
      <c r="N67" s="36"/>
      <c r="O67" s="130"/>
      <c r="P67" s="37"/>
    </row>
    <row r="68" spans="1:16" ht="20.25" customHeight="1" x14ac:dyDescent="0.4">
      <c r="A68" s="3"/>
      <c r="B68" s="37"/>
      <c r="C68" s="37"/>
      <c r="D68" s="228" t="str">
        <f>IF('Customer Info'!$C$33=TRUE,"Notice: Billing Charge does not include Self Assessed KWH Tax"," ")</f>
        <v xml:space="preserve"> </v>
      </c>
      <c r="E68" s="3"/>
      <c r="F68" s="4"/>
      <c r="G68" s="121"/>
      <c r="H68" s="55"/>
      <c r="I68" s="34"/>
      <c r="J68" s="55"/>
      <c r="K68" s="37"/>
      <c r="L68" s="37"/>
      <c r="M68" s="37"/>
      <c r="N68" s="34"/>
    </row>
    <row r="69" spans="1:16" x14ac:dyDescent="0.25">
      <c r="A69" s="37"/>
      <c r="B69" s="37"/>
      <c r="C69" s="37"/>
      <c r="D69" s="54"/>
      <c r="E69" s="3"/>
      <c r="F69" s="4"/>
      <c r="G69" s="55"/>
      <c r="H69" s="55"/>
      <c r="I69" s="93"/>
      <c r="J69" s="55"/>
      <c r="K69" s="37"/>
      <c r="L69" s="37"/>
      <c r="M69" s="37"/>
      <c r="N69" s="37"/>
      <c r="O69" s="40"/>
    </row>
    <row r="70" spans="1:16" x14ac:dyDescent="0.25">
      <c r="A70" s="37"/>
      <c r="B70" s="37"/>
      <c r="C70" s="37"/>
      <c r="D70" s="54"/>
      <c r="E70" s="3"/>
      <c r="F70" s="4"/>
      <c r="G70" s="55"/>
      <c r="H70" s="55"/>
      <c r="I70" s="55"/>
      <c r="J70" s="55"/>
      <c r="K70" s="37"/>
      <c r="L70" s="37"/>
      <c r="M70" s="37"/>
      <c r="N70" s="37"/>
      <c r="O70" s="40"/>
    </row>
    <row r="71" spans="1:16" x14ac:dyDescent="0.25">
      <c r="A71" s="41"/>
      <c r="B71" s="37"/>
      <c r="C71" s="37"/>
      <c r="D71" s="37"/>
      <c r="E71" s="37"/>
      <c r="F71" s="37"/>
      <c r="G71" s="37"/>
      <c r="H71" s="37"/>
      <c r="J71" s="37"/>
      <c r="K71" s="37"/>
      <c r="L71" s="40"/>
      <c r="M71" s="40"/>
      <c r="N71" s="40"/>
      <c r="O71" s="138"/>
    </row>
    <row r="72" spans="1:16" x14ac:dyDescent="0.25">
      <c r="B72" s="37"/>
      <c r="C72" s="37"/>
      <c r="D72" s="37"/>
      <c r="E72" s="37"/>
      <c r="F72" s="37"/>
      <c r="G72" s="96"/>
      <c r="H72" s="37"/>
      <c r="I72" s="37"/>
      <c r="J72" s="37"/>
      <c r="K72" s="37"/>
      <c r="L72" s="60"/>
      <c r="M72" s="60"/>
      <c r="N72" s="60"/>
      <c r="O72" s="130"/>
      <c r="P72" s="37"/>
    </row>
    <row r="73" spans="1:16" x14ac:dyDescent="0.25">
      <c r="G73" s="133"/>
      <c r="H73" s="56"/>
      <c r="I73" s="133"/>
      <c r="J73" s="56"/>
      <c r="K73" s="56"/>
      <c r="L73" s="134"/>
      <c r="M73" s="134"/>
      <c r="N73" s="134"/>
      <c r="O73" s="135"/>
      <c r="P73" s="25"/>
    </row>
    <row r="75" spans="1:16" x14ac:dyDescent="0.25">
      <c r="A75" s="550"/>
    </row>
    <row r="76" spans="1:16" x14ac:dyDescent="0.25">
      <c r="A76" s="550"/>
    </row>
    <row r="77" spans="1:16" x14ac:dyDescent="0.25">
      <c r="A77" s="550"/>
    </row>
    <row r="78" spans="1:16" x14ac:dyDescent="0.25">
      <c r="A78" s="550"/>
    </row>
    <row r="79" spans="1:16" x14ac:dyDescent="0.25">
      <c r="A79" s="550"/>
    </row>
    <row r="80" spans="1:1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sheetData>
  <sheetProtection algorithmName="SHA-512" hashValue="uq0Wu+nkuWRSokv0jFNnDWglU1y2zyDBt35HcHDjBsYcCfACDXdplIkoKtdh4FI5Jmx6GgsQHModUFt0UxJqLw==" saltValue="JCf3ozONkO9ANL2xPDPWrQ==" spinCount="100000" sheet="1" objects="1" scenarios="1"/>
  <mergeCells count="26">
    <mergeCell ref="A75:A89"/>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Button 1">
              <controlPr defaultSize="0" print="0" autoFill="0" autoPict="0" macro="[0]!Info">
                <anchor moveWithCells="1">
                  <from>
                    <xdr:col>0</xdr:col>
                    <xdr:colOff>30480</xdr:colOff>
                    <xdr:row>0</xdr:row>
                    <xdr:rowOff>30480</xdr:rowOff>
                  </from>
                  <to>
                    <xdr:col>0</xdr:col>
                    <xdr:colOff>373380</xdr:colOff>
                    <xdr:row>1</xdr:row>
                    <xdr:rowOff>30480</xdr:rowOff>
                  </to>
                </anchor>
              </controlPr>
            </control>
          </mc:Choice>
        </mc:AlternateContent>
        <mc:AlternateContent xmlns:mc="http://schemas.openxmlformats.org/markup-compatibility/2006">
          <mc:Choice Requires="x14">
            <control shapeId="122882" r:id="rId5" name="Button 2">
              <controlPr defaultSize="0" print="0" autoFill="0" autoPict="0" macro="[0]!Info">
                <anchor moveWithCells="1">
                  <from>
                    <xdr:col>15</xdr:col>
                    <xdr:colOff>274320</xdr:colOff>
                    <xdr:row>83</xdr:row>
                    <xdr:rowOff>45720</xdr:rowOff>
                  </from>
                  <to>
                    <xdr:col>16</xdr:col>
                    <xdr:colOff>30480</xdr:colOff>
                    <xdr:row>84</xdr:row>
                    <xdr:rowOff>83820</xdr:rowOff>
                  </to>
                </anchor>
              </controlPr>
            </control>
          </mc:Choice>
        </mc:AlternateContent>
        <mc:AlternateContent xmlns:mc="http://schemas.openxmlformats.org/markup-compatibility/2006">
          <mc:Choice Requires="x14">
            <control shapeId="122883"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2884"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2885" r:id="rId8" name="Button 5">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2886" r:id="rId9" name="Button 6">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2887" r:id="rId10" name="Button 7">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22888" r:id="rId11" name="Button 8">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22889" r:id="rId12" name="Button 9">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22890" r:id="rId13" name="Button 10">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22891" r:id="rId14" name="Button 11">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22892" r:id="rId15" name="Button 12">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22893" r:id="rId16" name="Button 13">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22894" r:id="rId17" name="Button 14">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22895" r:id="rId18" name="Button 15">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22896" r:id="rId19" name="Button 16">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22897" r:id="rId20" name="Button 17">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22898" r:id="rId21" name="Button 18">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22899" r:id="rId22" name="Button 19">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22900" r:id="rId23" name="Button 20">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22901" r:id="rId24" name="Button 21">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22902" r:id="rId25" name="Button 22">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22903" r:id="rId26" name="Button 23">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22904" r:id="rId27" name="Button 24">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22905" r:id="rId28" name="Button 25">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22906" r:id="rId29" name="Button 26">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22907" r:id="rId30" name="Button 27">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22908" r:id="rId31" name="Button 28">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22909" r:id="rId32" name="Button 29">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22910" r:id="rId33" name="Button 30">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22911" r:id="rId34" name="Button 31">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22912" r:id="rId35" name="Button 32">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22913" r:id="rId36" name="Button 33">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22914" r:id="rId37" name="Button 34">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22915" r:id="rId38" name="Button 35">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22916" r:id="rId39" name="Button 36">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22917" r:id="rId40" name="Button 37">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22918" r:id="rId41" name="Button 38">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22919" r:id="rId42" name="Button 39">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22920" r:id="rId43" name="Button 40">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22921" r:id="rId44" name="Button 41">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22922" r:id="rId45" name="Button 42">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22923" r:id="rId46" name="Button 43">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22924" r:id="rId47" name="Button 44">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22925" r:id="rId48" name="Button 45">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22926" r:id="rId49" name="Button 46">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22927" r:id="rId50" name="Button 47">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22928" r:id="rId51" name="Button 48">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22929" r:id="rId52" name="Button 49">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22930" r:id="rId53" name="Button 50">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22931" r:id="rId54" name="Button 51">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22932" r:id="rId55" name="Button 52">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22933" r:id="rId56" name="Button 53">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22934" r:id="rId57" name="Button 54">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22935" r:id="rId58" name="Button 55">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122936" r:id="rId59" name="Button 56">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122937" r:id="rId60" name="Button 57">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122938" r:id="rId61" name="Button 58">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IV89"/>
  <sheetViews>
    <sheetView showGridLines="0" topLeftCell="A20" zoomScale="80" zoomScaleNormal="80" workbookViewId="0">
      <selection activeCell="J50" sqref="J50"/>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0" hidden="1" customWidth="1"/>
  </cols>
  <sheetData>
    <row r="1" spans="1:256" ht="21" x14ac:dyDescent="0.4">
      <c r="A1" s="567" t="s">
        <v>119</v>
      </c>
      <c r="B1" s="567"/>
      <c r="C1" s="567"/>
      <c r="D1" s="567"/>
      <c r="E1" s="567"/>
      <c r="F1" s="567"/>
      <c r="G1" s="567"/>
      <c r="H1" s="567"/>
      <c r="I1" s="567"/>
      <c r="J1" s="567"/>
      <c r="K1" s="567"/>
      <c r="L1" s="567"/>
      <c r="M1" s="567"/>
      <c r="N1" s="567"/>
      <c r="O1" s="567"/>
      <c r="P1" s="567"/>
    </row>
    <row r="2" spans="1:256" ht="21" x14ac:dyDescent="0.4">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7.399999999999999" x14ac:dyDescent="0.3">
      <c r="A3" s="568" t="s">
        <v>323</v>
      </c>
      <c r="B3" s="568"/>
      <c r="C3" s="568"/>
      <c r="D3" s="568"/>
      <c r="E3" s="568"/>
      <c r="F3" s="568"/>
      <c r="G3" s="568"/>
      <c r="H3" s="568"/>
      <c r="I3" s="568"/>
      <c r="J3" s="568"/>
      <c r="K3" s="568"/>
      <c r="L3" s="568"/>
      <c r="M3" s="568"/>
      <c r="N3" s="568"/>
      <c r="O3" s="568"/>
      <c r="P3" s="568"/>
    </row>
    <row r="4" spans="1:256"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5">
      <c r="A5" s="75"/>
      <c r="B5" s="75"/>
      <c r="C5" s="75"/>
      <c r="D5" s="75"/>
      <c r="E5" s="75"/>
      <c r="F5" s="75"/>
      <c r="G5" s="75"/>
      <c r="H5" s="75"/>
      <c r="I5" s="75"/>
      <c r="J5" s="75"/>
      <c r="K5" s="75"/>
    </row>
    <row r="6" spans="1:256" x14ac:dyDescent="0.25">
      <c r="A6" s="282">
        <f ca="1">TODAY()</f>
        <v>45588</v>
      </c>
      <c r="B6" s="210" t="s">
        <v>300</v>
      </c>
      <c r="C6" s="274"/>
      <c r="D6" s="274"/>
      <c r="E6" s="274"/>
      <c r="F6" s="274"/>
      <c r="G6" s="274"/>
      <c r="H6" s="274"/>
      <c r="I6" s="274"/>
      <c r="J6" s="274"/>
      <c r="K6" s="274"/>
    </row>
    <row r="7" spans="1:256" ht="24.6" x14ac:dyDescent="0.4">
      <c r="A7" s="569"/>
      <c r="B7" s="569"/>
      <c r="C7" s="569"/>
      <c r="D7" s="569"/>
      <c r="E7" s="569"/>
      <c r="F7" s="569"/>
      <c r="G7" s="569"/>
      <c r="H7" s="569"/>
      <c r="I7" s="569"/>
      <c r="J7" s="569"/>
      <c r="K7" s="569"/>
      <c r="L7" s="569"/>
      <c r="M7" s="569"/>
      <c r="N7" s="569"/>
      <c r="O7" s="569"/>
      <c r="P7" s="569"/>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11</v>
      </c>
      <c r="C10" s="194" t="str">
        <f>LOOKUP(B10,R10:AD10,R11:AD11)</f>
        <v>November</v>
      </c>
      <c r="D10" s="133">
        <f>'Customer Info'!C9</f>
        <v>2024</v>
      </c>
      <c r="S10">
        <v>1</v>
      </c>
      <c r="T10">
        <v>2</v>
      </c>
      <c r="U10">
        <v>3</v>
      </c>
      <c r="V10">
        <v>4</v>
      </c>
      <c r="W10">
        <v>5</v>
      </c>
      <c r="X10">
        <v>6</v>
      </c>
      <c r="Y10">
        <v>7</v>
      </c>
      <c r="Z10">
        <v>8</v>
      </c>
      <c r="AA10">
        <v>9</v>
      </c>
      <c r="AB10">
        <v>10</v>
      </c>
      <c r="AC10">
        <v>11</v>
      </c>
      <c r="AD10">
        <v>12</v>
      </c>
    </row>
    <row r="11" spans="1:256" ht="15" customHeight="1" x14ac:dyDescent="0.25">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5">
      <c r="A12" s="28" t="s">
        <v>27</v>
      </c>
      <c r="B12" s="22"/>
      <c r="C12" s="22"/>
      <c r="D12" s="22"/>
      <c r="E12" s="22"/>
      <c r="F12" s="22"/>
      <c r="G12" s="22"/>
      <c r="H12" s="22"/>
      <c r="I12" s="22"/>
      <c r="J12" s="22"/>
      <c r="K12" s="22"/>
      <c r="L12" s="22"/>
      <c r="M12" s="22"/>
      <c r="N12" s="22"/>
      <c r="O12" s="22"/>
      <c r="P12" s="22"/>
      <c r="R12" s="3" t="s">
        <v>195</v>
      </c>
      <c r="S12" s="207">
        <f>'Rider Rates'!$C$24</f>
        <v>6.7849999999999994E-2</v>
      </c>
      <c r="T12" s="207">
        <f>'Rider Rates'!$C$24</f>
        <v>6.7849999999999994E-2</v>
      </c>
      <c r="U12" s="207">
        <f>'Rider Rates'!$C$24</f>
        <v>6.7849999999999994E-2</v>
      </c>
      <c r="V12" s="207">
        <f>'Rider Rates'!$C$24</f>
        <v>6.7849999999999994E-2</v>
      </c>
      <c r="W12" s="207">
        <f>'Rider Rates'!$C$24</f>
        <v>6.7849999999999994E-2</v>
      </c>
      <c r="X12" s="207">
        <f>'Rider Rates'!$B$24</f>
        <v>6.7849999999999994E-2</v>
      </c>
      <c r="Y12" s="207">
        <f>'Rider Rates'!$B$24</f>
        <v>6.7849999999999994E-2</v>
      </c>
      <c r="Z12" s="207">
        <f>'Rider Rates'!$B$24</f>
        <v>6.7849999999999994E-2</v>
      </c>
      <c r="AA12" s="207">
        <f>'Rider Rates'!$B$24</f>
        <v>6.7849999999999994E-2</v>
      </c>
      <c r="AB12" s="207">
        <f>'Rider Rates'!$C$24</f>
        <v>6.7849999999999994E-2</v>
      </c>
      <c r="AC12" s="207">
        <f>'Rider Rates'!$C$24</f>
        <v>6.7849999999999994E-2</v>
      </c>
      <c r="AD12" s="207">
        <f>'Rider Rates'!$C$24</f>
        <v>6.7849999999999994E-2</v>
      </c>
      <c r="AE12" s="207"/>
      <c r="AF12" s="207"/>
    </row>
    <row r="13" spans="1:256" x14ac:dyDescent="0.25">
      <c r="A13" s="18"/>
      <c r="B13" s="18"/>
      <c r="C13" s="59" t="s">
        <v>54</v>
      </c>
      <c r="D13" s="59" t="s">
        <v>55</v>
      </c>
      <c r="E13" s="18"/>
      <c r="F13" s="18"/>
      <c r="G13" s="18"/>
      <c r="H13" s="18"/>
      <c r="I13" s="18"/>
      <c r="J13" s="18"/>
      <c r="K13" s="18"/>
      <c r="L13" s="18"/>
      <c r="M13" s="18"/>
      <c r="N13" s="18"/>
      <c r="O13" s="18"/>
    </row>
    <row r="14" spans="1:256" x14ac:dyDescent="0.25">
      <c r="A14" s="29" t="s">
        <v>28</v>
      </c>
      <c r="B14" s="29"/>
      <c r="C14" s="44">
        <f>'Customer Info'!B19</f>
        <v>0</v>
      </c>
      <c r="D14" s="44">
        <f>ROUND(C14*C20,1)</f>
        <v>0</v>
      </c>
      <c r="E14" s="29" t="s">
        <v>45</v>
      </c>
      <c r="F14" s="30"/>
      <c r="G14" s="29" t="s">
        <v>15</v>
      </c>
      <c r="I14" s="53" t="s">
        <v>15</v>
      </c>
      <c r="J14" s="29"/>
      <c r="K14" s="29"/>
      <c r="L14" s="29"/>
      <c r="M14" s="29"/>
      <c r="N14" s="29"/>
    </row>
    <row r="15" spans="1:256" x14ac:dyDescent="0.25">
      <c r="A15" s="31" t="s">
        <v>29</v>
      </c>
      <c r="B15" s="31"/>
      <c r="C15" s="44">
        <f>'Customer Info'!B20</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Info'!B22+'Customer Info'!B23-'Customer Info'!B24&lt;0,0,'Customer Info'!B22+'Customer Info'!B23-'Customer Info'!B24)</f>
        <v>0</v>
      </c>
      <c r="D16" s="32">
        <f>C16*C20</f>
        <v>0</v>
      </c>
      <c r="E16" s="31" t="s">
        <v>41</v>
      </c>
      <c r="F16" s="33"/>
      <c r="G16" s="31"/>
      <c r="H16" s="31"/>
      <c r="I16" s="31"/>
      <c r="J16" s="31"/>
      <c r="K16" s="31"/>
      <c r="L16" s="31"/>
      <c r="M16" s="31"/>
      <c r="N16" s="31"/>
      <c r="O16" s="31"/>
    </row>
    <row r="17" spans="1:30" x14ac:dyDescent="0.25">
      <c r="A17" s="31" t="s">
        <v>293</v>
      </c>
      <c r="B17" s="31"/>
      <c r="C17" s="32">
        <f>'Customer Info'!$B$28</f>
        <v>0</v>
      </c>
      <c r="D17" s="32">
        <f>$C$17</f>
        <v>0</v>
      </c>
      <c r="E17" s="31" t="s">
        <v>296</v>
      </c>
      <c r="F17" s="33"/>
      <c r="G17" s="31"/>
      <c r="H17" s="31"/>
      <c r="I17" s="31"/>
      <c r="J17" s="31"/>
      <c r="K17" s="31"/>
      <c r="L17" s="31"/>
      <c r="M17" s="31"/>
      <c r="N17" s="31"/>
      <c r="O17" s="31"/>
    </row>
    <row r="18" spans="1:30" x14ac:dyDescent="0.25">
      <c r="A18" s="31" t="s">
        <v>294</v>
      </c>
      <c r="B18" s="31"/>
      <c r="C18" s="285">
        <f>IF('Customer Info'!$B$19=0,0,ROUND(MAX(ROUND('Customer Info'!$B$19*'GS PRI OAD'!C20,1),ROUND('Customer Info'!$B$20*'GS PRI OAD'!C20,1))/'Customer Info'!$D$30,1))</f>
        <v>0</v>
      </c>
      <c r="D18" s="285">
        <f>$C$18</f>
        <v>0</v>
      </c>
      <c r="E18" s="31" t="s">
        <v>297</v>
      </c>
      <c r="F18" s="33"/>
      <c r="G18" s="31"/>
      <c r="H18" s="31"/>
      <c r="I18" s="31"/>
      <c r="J18" s="31"/>
      <c r="K18" s="31"/>
      <c r="L18" s="31"/>
      <c r="M18" s="31"/>
      <c r="N18" s="31"/>
      <c r="O18" s="31"/>
    </row>
    <row r="19" spans="1:30" x14ac:dyDescent="0.25">
      <c r="A19" s="31" t="s">
        <v>295</v>
      </c>
      <c r="B19" s="31"/>
      <c r="C19" s="32"/>
      <c r="D19" s="285">
        <f>MAX(100,ROUND(1.15*(MAX('Customer Info'!$B$19*'GS PRI OAD'!C20,'Customer Info'!$B$20*'GS PRI OAD'!C20)),1))</f>
        <v>100</v>
      </c>
      <c r="E19" s="31" t="s">
        <v>297</v>
      </c>
      <c r="F19" s="33"/>
      <c r="K19" s="31"/>
      <c r="L19" s="31"/>
      <c r="M19" s="31"/>
      <c r="N19" s="31"/>
    </row>
    <row r="20" spans="1:30" x14ac:dyDescent="0.25">
      <c r="A20" s="31" t="s">
        <v>53</v>
      </c>
      <c r="B20" s="31"/>
      <c r="C20" s="58">
        <f>+'Customer Info'!E19</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71" t="s">
        <v>15</v>
      </c>
      <c r="E21" s="571"/>
      <c r="F21" s="571"/>
      <c r="G21" s="571"/>
      <c r="H21" s="571"/>
      <c r="K21" s="31"/>
      <c r="L21" s="31"/>
      <c r="M21" s="31"/>
      <c r="N21" s="31"/>
      <c r="O21" s="50"/>
    </row>
    <row r="22" spans="1:30" x14ac:dyDescent="0.25">
      <c r="A22" s="31" t="s">
        <v>15</v>
      </c>
      <c r="B22" s="31"/>
      <c r="C22" s="82" t="s">
        <v>15</v>
      </c>
      <c r="D22" s="571" t="s">
        <v>15</v>
      </c>
      <c r="E22" s="571"/>
      <c r="F22" s="571"/>
      <c r="G22" s="571"/>
      <c r="H22" s="571"/>
      <c r="I22" s="23"/>
      <c r="J22" s="23"/>
      <c r="K22" s="31"/>
      <c r="L22" s="31"/>
      <c r="M22" s="31"/>
      <c r="N22" s="31"/>
      <c r="O22" s="50"/>
    </row>
    <row r="23" spans="1:30" x14ac:dyDescent="0.25">
      <c r="A23" s="31"/>
      <c r="B23" s="31"/>
      <c r="C23" s="33"/>
      <c r="D23" s="33"/>
      <c r="E23" s="33"/>
      <c r="F23" s="33"/>
      <c r="G23" s="23"/>
      <c r="H23" s="23"/>
      <c r="I23" s="23"/>
      <c r="J23" s="23"/>
      <c r="K23" s="31"/>
      <c r="L23" s="31"/>
      <c r="M23" s="31"/>
      <c r="N23" s="31"/>
      <c r="O23" s="31"/>
    </row>
    <row r="24" spans="1:30" x14ac:dyDescent="0.25">
      <c r="A24" s="28" t="s">
        <v>31</v>
      </c>
      <c r="B24" s="22"/>
      <c r="C24" s="22"/>
      <c r="D24" s="22"/>
      <c r="E24" s="22"/>
      <c r="F24" s="22"/>
      <c r="G24" s="563" t="s">
        <v>67</v>
      </c>
      <c r="H24" s="564"/>
      <c r="I24" s="564"/>
      <c r="J24" s="565"/>
      <c r="K24" s="22"/>
      <c r="L24" s="566" t="s">
        <v>68</v>
      </c>
      <c r="M24" s="566"/>
      <c r="N24" s="566"/>
      <c r="O24" s="566"/>
    </row>
    <row r="25" spans="1:30" x14ac:dyDescent="0.25">
      <c r="A25" s="18"/>
      <c r="B25" s="18"/>
      <c r="C25" s="18"/>
      <c r="D25" s="18"/>
      <c r="E25" s="18"/>
      <c r="F25" s="18"/>
      <c r="G25" s="8" t="s">
        <v>64</v>
      </c>
      <c r="H25" s="8" t="s">
        <v>65</v>
      </c>
      <c r="I25" s="8" t="s">
        <v>66</v>
      </c>
      <c r="J25" s="112" t="s">
        <v>34</v>
      </c>
      <c r="K25" s="18"/>
      <c r="L25" s="283" t="s">
        <v>64</v>
      </c>
      <c r="M25" s="283" t="s">
        <v>65</v>
      </c>
      <c r="N25" s="283" t="s">
        <v>66</v>
      </c>
      <c r="O25" s="132" t="s">
        <v>34</v>
      </c>
      <c r="P25" s="43" t="s">
        <v>56</v>
      </c>
    </row>
    <row r="26" spans="1:30" x14ac:dyDescent="0.25">
      <c r="A26" t="s">
        <v>32</v>
      </c>
      <c r="G26" s="86"/>
      <c r="H26" s="86"/>
      <c r="I26" s="86">
        <v>138.5</v>
      </c>
      <c r="J26" s="86">
        <f>SUM(G26:I26)</f>
        <v>138.5</v>
      </c>
      <c r="L26" s="88"/>
      <c r="M26" s="88"/>
      <c r="N26" s="88">
        <f>I26</f>
        <v>138.5</v>
      </c>
      <c r="O26" s="209">
        <f>SUM(L26:N26)</f>
        <v>138.5</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Info'!B15-100)*0.6,('Customer Info'!B17-100)*0.6),1)</f>
        <v>0</v>
      </c>
      <c r="E28" s="29" t="s">
        <v>45</v>
      </c>
      <c r="F28" s="4" t="s">
        <v>8</v>
      </c>
      <c r="G28" s="85"/>
      <c r="H28" s="85"/>
      <c r="I28" s="85">
        <v>6.17</v>
      </c>
      <c r="J28" s="85">
        <f>SUM(G28:I28)</f>
        <v>6.17</v>
      </c>
      <c r="K28" s="36" t="s">
        <v>44</v>
      </c>
      <c r="L28" s="87"/>
      <c r="M28" s="87"/>
      <c r="N28" s="87">
        <f>ROUND($D28*I28,2)</f>
        <v>0</v>
      </c>
      <c r="O28" s="209">
        <f>SUM(L28:N28)</f>
        <v>0</v>
      </c>
      <c r="P28" s="245">
        <v>45261</v>
      </c>
    </row>
    <row r="29" spans="1:30" x14ac:dyDescent="0.25">
      <c r="A29" t="s">
        <v>270</v>
      </c>
      <c r="D29" s="49">
        <f>IF(D18&lt;=100,0,ROUND(IF(D18-D19&gt;0,D18-D19),1))</f>
        <v>0</v>
      </c>
      <c r="E29" s="29" t="s">
        <v>268</v>
      </c>
      <c r="F29" s="4" t="s">
        <v>8</v>
      </c>
      <c r="G29" s="116"/>
      <c r="H29" s="85"/>
      <c r="I29" s="85">
        <v>1.21</v>
      </c>
      <c r="J29" s="116">
        <f>SUM(G29:I29)</f>
        <v>1.21</v>
      </c>
      <c r="K29" s="36" t="s">
        <v>44</v>
      </c>
      <c r="L29" s="87"/>
      <c r="M29" s="87"/>
      <c r="N29" s="87">
        <f>ROUND($D29*I29,2)</f>
        <v>0</v>
      </c>
      <c r="O29" s="87">
        <f>SUM(L29:N29)</f>
        <v>0</v>
      </c>
      <c r="P29" s="245">
        <v>44531</v>
      </c>
    </row>
    <row r="30" spans="1:30" x14ac:dyDescent="0.25">
      <c r="A30" s="37" t="s">
        <v>50</v>
      </c>
      <c r="B30" s="37"/>
      <c r="C30" s="37"/>
      <c r="D30" s="38"/>
      <c r="E30" s="38"/>
      <c r="F30" s="37"/>
      <c r="G30" s="37"/>
      <c r="H30" s="37"/>
      <c r="I30" s="37"/>
      <c r="J30" s="37"/>
      <c r="K30" s="39"/>
      <c r="L30" s="40"/>
      <c r="M30" s="40"/>
      <c r="N30" s="40">
        <f>SUM(N26:N29)</f>
        <v>138.5</v>
      </c>
      <c r="O30" s="40">
        <f>SUM(O26:O29)</f>
        <v>138.5</v>
      </c>
    </row>
    <row r="31" spans="1:30" x14ac:dyDescent="0.25">
      <c r="A31" s="89"/>
      <c r="B31" s="89"/>
      <c r="C31" s="90"/>
      <c r="D31" s="90"/>
      <c r="E31" s="90"/>
      <c r="F31" s="90"/>
      <c r="G31" s="91"/>
      <c r="H31" s="91"/>
      <c r="I31" s="91"/>
      <c r="J31" s="91"/>
      <c r="K31" s="89"/>
      <c r="L31" s="89"/>
      <c r="M31" s="89"/>
      <c r="N31" s="89"/>
      <c r="O31" s="89"/>
      <c r="P31" s="89"/>
    </row>
    <row r="32" spans="1:30" x14ac:dyDescent="0.25">
      <c r="A32" s="41" t="s">
        <v>69</v>
      </c>
      <c r="D32" s="1"/>
      <c r="E32" s="1"/>
      <c r="K32" s="36"/>
      <c r="L32" s="36"/>
      <c r="M32" s="36"/>
      <c r="N32" s="36"/>
      <c r="O32" s="34"/>
      <c r="P32" s="34"/>
    </row>
    <row r="33" spans="1:221" x14ac:dyDescent="0.25">
      <c r="A33" s="37"/>
      <c r="D33" s="1"/>
      <c r="E33" s="1"/>
      <c r="K33" s="36"/>
      <c r="L33" s="36"/>
      <c r="M33" s="36"/>
      <c r="N33" s="36"/>
      <c r="O33" s="34"/>
    </row>
    <row r="34" spans="1:221" x14ac:dyDescent="0.25">
      <c r="A34" s="78" t="s">
        <v>78</v>
      </c>
      <c r="D34" s="1">
        <f>IF($C$16&lt;0,0,IF($C$16&gt;833000,833000,$C$16))</f>
        <v>0</v>
      </c>
      <c r="E34" s="35" t="s">
        <v>41</v>
      </c>
      <c r="F34" s="4" t="s">
        <v>8</v>
      </c>
      <c r="G34" s="83"/>
      <c r="H34" s="84"/>
      <c r="I34" s="103">
        <f>'Rider Rates'!$B$4</f>
        <v>5.9216E-3</v>
      </c>
      <c r="J34" s="6">
        <f>SUM(G34:I34)</f>
        <v>5.9216E-3</v>
      </c>
      <c r="K34" s="36" t="s">
        <v>42</v>
      </c>
      <c r="L34" s="87"/>
      <c r="M34" s="87"/>
      <c r="N34" s="87">
        <f>ROUND($D34*I34,2)</f>
        <v>0</v>
      </c>
      <c r="O34" s="87">
        <f>SUM(L34:N34)</f>
        <v>0</v>
      </c>
      <c r="P34" s="245">
        <f>'Rider Rates'!$D$4</f>
        <v>45293</v>
      </c>
    </row>
    <row r="35" spans="1:221" x14ac:dyDescent="0.25">
      <c r="A35" s="78" t="s">
        <v>79</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45293</v>
      </c>
    </row>
    <row r="36" spans="1:221" x14ac:dyDescent="0.25">
      <c r="A36" s="78" t="s">
        <v>47</v>
      </c>
      <c r="B36" t="s">
        <v>15</v>
      </c>
      <c r="D36" s="1">
        <f>IF('Customer Info'!$C$33=TRUE,0,IF(C16&lt;0,0,IF(C16&gt;2000,2000,C16)))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5">
      <c r="A37" s="78" t="s">
        <v>48</v>
      </c>
      <c r="B37" t="s">
        <v>15</v>
      </c>
      <c r="D37" s="1">
        <f>IF('Customer Info'!$C$33=TRUE,0,IF(C16&gt;15000,13000,IF(C16&gt;2000,C16-2000,0)))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5">
      <c r="A38" s="78" t="s">
        <v>49</v>
      </c>
      <c r="B38" t="s">
        <v>15</v>
      </c>
      <c r="D38" s="1">
        <f>IF('Customer Info'!$C$33=TRUE,0,IF(C16-D36-D37&gt;0,C16-D36-D37,0))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5">
      <c r="A39" s="241" t="s">
        <v>245</v>
      </c>
      <c r="B39" s="78"/>
      <c r="C39" s="78"/>
      <c r="D39" s="208">
        <f>$N$30</f>
        <v>138.5</v>
      </c>
      <c r="E39" s="101" t="s">
        <v>121</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5">
      <c r="A40" s="241" t="s">
        <v>218</v>
      </c>
      <c r="B40" s="78"/>
      <c r="C40" s="78"/>
      <c r="D40" s="1">
        <f>IF($C$16&lt;0,0,IF($C$16&gt;833000,833000,$C$16))</f>
        <v>0</v>
      </c>
      <c r="E40" s="101" t="s">
        <v>41</v>
      </c>
      <c r="F40" s="102" t="s">
        <v>8</v>
      </c>
      <c r="G40" s="103"/>
      <c r="H40" s="103"/>
      <c r="I40" s="103">
        <f>'Rider Rates'!D53</f>
        <v>1.8006999999999999E-3</v>
      </c>
      <c r="J40" s="103">
        <f>SUM(G40:I40)</f>
        <v>1.8006999999999999E-3</v>
      </c>
      <c r="K40" s="104" t="s">
        <v>42</v>
      </c>
      <c r="L40" s="105"/>
      <c r="M40" s="105"/>
      <c r="N40" s="87">
        <f>D40*J40</f>
        <v>0</v>
      </c>
      <c r="O40" s="105">
        <f t="shared" si="0"/>
        <v>0</v>
      </c>
      <c r="P40" s="245">
        <f>'Rider Rates'!E53</f>
        <v>45474</v>
      </c>
    </row>
    <row r="41" spans="1:221" x14ac:dyDescent="0.25">
      <c r="A41" s="210" t="s">
        <v>197</v>
      </c>
      <c r="B41" s="78"/>
      <c r="C41" s="78"/>
      <c r="D41" s="1">
        <f>IF($C$16&lt;0,0,$C$16)</f>
        <v>0</v>
      </c>
      <c r="E41" s="113" t="s">
        <v>41</v>
      </c>
      <c r="F41" s="102" t="s">
        <v>8</v>
      </c>
      <c r="G41" s="103"/>
      <c r="H41" s="103">
        <f>'Rider Rates'!B62</f>
        <v>5.8060000000000002E-4</v>
      </c>
      <c r="I41" s="103"/>
      <c r="J41" s="103">
        <f>SUM(G41:I41)</f>
        <v>5.8060000000000002E-4</v>
      </c>
      <c r="K41" s="104" t="s">
        <v>42</v>
      </c>
      <c r="L41" s="105"/>
      <c r="M41" s="105">
        <f>ROUND(D41*H41,2)</f>
        <v>0</v>
      </c>
      <c r="N41" s="205"/>
      <c r="O41" s="105">
        <f t="shared" si="0"/>
        <v>0</v>
      </c>
      <c r="P41" s="245">
        <f>'Rider Rates'!$D$61</f>
        <v>45383</v>
      </c>
    </row>
    <row r="42" spans="1:221" x14ac:dyDescent="0.25">
      <c r="A42" s="210" t="s">
        <v>197</v>
      </c>
      <c r="B42" s="78"/>
      <c r="C42" s="78"/>
      <c r="D42" s="49">
        <f>D14</f>
        <v>0</v>
      </c>
      <c r="E42" s="35" t="s">
        <v>63</v>
      </c>
      <c r="F42" s="4" t="s">
        <v>8</v>
      </c>
      <c r="G42" s="103"/>
      <c r="H42" s="239">
        <f>'Rider Rates'!B67</f>
        <v>6.76</v>
      </c>
      <c r="I42" s="103"/>
      <c r="J42" s="239">
        <f>SUM(G42:I42)</f>
        <v>6.76</v>
      </c>
      <c r="K42" s="104" t="s">
        <v>44</v>
      </c>
      <c r="L42" s="105"/>
      <c r="M42" s="105">
        <f>ROUND(D42*H42,2)</f>
        <v>0</v>
      </c>
      <c r="N42" s="205"/>
      <c r="O42" s="105">
        <f t="shared" si="0"/>
        <v>0</v>
      </c>
      <c r="P42" s="245">
        <f>'Rider Rates'!$D$66</f>
        <v>45383</v>
      </c>
    </row>
    <row r="43" spans="1:221" x14ac:dyDescent="0.25">
      <c r="A43" s="99" t="s">
        <v>82</v>
      </c>
      <c r="B43" s="78"/>
      <c r="C43" s="78"/>
      <c r="D43" s="1">
        <f>IF('Customer Info'!C35=TRUE,0,IF($C$16&lt;0,0,$C$16))</f>
        <v>0</v>
      </c>
      <c r="E43" s="101" t="s">
        <v>41</v>
      </c>
      <c r="F43" s="102" t="s">
        <v>8</v>
      </c>
      <c r="G43" s="103"/>
      <c r="H43" s="103"/>
      <c r="I43" s="103">
        <f>'Rider Rates'!$B$75+'Rider Rates'!$C$75</f>
        <v>0</v>
      </c>
      <c r="J43" s="103">
        <f>SUM(G43:I43)</f>
        <v>0</v>
      </c>
      <c r="K43" s="104" t="s">
        <v>42</v>
      </c>
      <c r="L43" s="105"/>
      <c r="M43" s="105"/>
      <c r="N43" s="87">
        <f>ROUND($D$43*'Rider Rates'!$B$75,2)+ROUND($D$43*'Rider Rates'!$C$75,2)</f>
        <v>0</v>
      </c>
      <c r="O43" s="209">
        <f t="shared" si="0"/>
        <v>0</v>
      </c>
      <c r="P43" s="245">
        <f>'Rider Rates'!$D$75</f>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82</v>
      </c>
      <c r="B44" s="78"/>
      <c r="C44" s="78"/>
      <c r="D44" s="49">
        <f>IF('Customer Info'!C35=TRUE,0,$D$28)</f>
        <v>0</v>
      </c>
      <c r="E44" s="101" t="s">
        <v>45</v>
      </c>
      <c r="F44" s="102" t="s">
        <v>8</v>
      </c>
      <c r="G44" s="103"/>
      <c r="H44" s="103"/>
      <c r="I44" s="239">
        <f>'Rider Rates'!$B$85</f>
        <v>0</v>
      </c>
      <c r="J44" s="239">
        <f>SUM(G44:I44)</f>
        <v>0</v>
      </c>
      <c r="K44" s="104" t="s">
        <v>42</v>
      </c>
      <c r="L44" s="105"/>
      <c r="M44" s="105"/>
      <c r="N44" s="87">
        <f>ROUND($D44*I44,2)</f>
        <v>0</v>
      </c>
      <c r="O44" s="209">
        <f>SUM(L44:N44)</f>
        <v>0</v>
      </c>
      <c r="P44" s="245">
        <f>'Rider Rates'!$D$85</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5">
      <c r="A45" s="99" t="s">
        <v>80</v>
      </c>
      <c r="B45" s="78"/>
      <c r="C45" s="78"/>
      <c r="D45" s="208">
        <f>$N$30</f>
        <v>138.5</v>
      </c>
      <c r="E45" s="101" t="s">
        <v>121</v>
      </c>
      <c r="F45" s="102" t="s">
        <v>8</v>
      </c>
      <c r="G45" s="111"/>
      <c r="H45" s="112"/>
      <c r="I45" s="120">
        <f>'Rider Rates'!$B$89</f>
        <v>4.94232E-2</v>
      </c>
      <c r="J45" s="120">
        <f>SUM(H45:I45)</f>
        <v>4.94232E-2</v>
      </c>
      <c r="K45" s="104"/>
      <c r="L45" s="105"/>
      <c r="M45" s="105"/>
      <c r="N45" s="105">
        <f>ROUND(N$30*I45,2)</f>
        <v>6.85</v>
      </c>
      <c r="O45" s="209">
        <f t="shared" si="0"/>
        <v>6.85</v>
      </c>
      <c r="P45" s="245">
        <f>'Rider Rates'!$D$89</f>
        <v>45562</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5">
      <c r="A46" s="99" t="s">
        <v>81</v>
      </c>
      <c r="B46" s="78"/>
      <c r="C46" s="78"/>
      <c r="D46" s="208">
        <f>$N$30</f>
        <v>138.5</v>
      </c>
      <c r="E46" s="101" t="s">
        <v>121</v>
      </c>
      <c r="F46" s="102" t="s">
        <v>8</v>
      </c>
      <c r="G46" s="114"/>
      <c r="H46" s="115"/>
      <c r="I46" s="120">
        <f>'Rider Rates'!$B$91</f>
        <v>6.6985699999999995E-2</v>
      </c>
      <c r="J46" s="120">
        <f>SUM(H46:I46)</f>
        <v>6.6985699999999995E-2</v>
      </c>
      <c r="K46" s="104"/>
      <c r="L46" s="105"/>
      <c r="M46" s="105"/>
      <c r="N46" s="105">
        <f>ROUND(N$30*I46,2)</f>
        <v>9.2799999999999994</v>
      </c>
      <c r="O46" s="209">
        <f t="shared" si="0"/>
        <v>9.2799999999999994</v>
      </c>
      <c r="P46" s="245">
        <f>'Rider Rates'!$D$91</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5">
      <c r="A47" s="210" t="s">
        <v>214</v>
      </c>
      <c r="B47" s="78"/>
      <c r="C47" s="78"/>
      <c r="D47" s="195"/>
      <c r="E47" s="113" t="s">
        <v>114</v>
      </c>
      <c r="F47" s="106"/>
      <c r="G47" s="114"/>
      <c r="H47" s="115"/>
      <c r="I47" s="196">
        <f>'Rider Rates'!$B$95</f>
        <v>17.12</v>
      </c>
      <c r="J47" s="196">
        <f>SUM(G47:I47)</f>
        <v>17.12</v>
      </c>
      <c r="K47" s="104"/>
      <c r="L47" s="105"/>
      <c r="M47" s="105"/>
      <c r="N47" s="105">
        <f>I47</f>
        <v>17.12</v>
      </c>
      <c r="O47" s="105">
        <f>SUM(L47:N47)</f>
        <v>17.12</v>
      </c>
      <c r="P47" s="245">
        <f>'Rider Rates'!$D$95</f>
        <v>45562</v>
      </c>
    </row>
    <row r="48" spans="1:221" x14ac:dyDescent="0.25">
      <c r="A48" s="99" t="s">
        <v>156</v>
      </c>
      <c r="B48" s="78"/>
      <c r="C48" s="78"/>
      <c r="D48" s="208">
        <f>$N$30</f>
        <v>138.5</v>
      </c>
      <c r="E48" s="101" t="s">
        <v>121</v>
      </c>
      <c r="F48" s="102" t="s">
        <v>8</v>
      </c>
      <c r="G48" s="114"/>
      <c r="H48" s="115"/>
      <c r="I48" s="120">
        <f>'Rider Rates'!$B$109</f>
        <v>0.211176</v>
      </c>
      <c r="J48" s="120">
        <f>SUM(H48:I48)</f>
        <v>0.211176</v>
      </c>
      <c r="K48" s="104"/>
      <c r="L48" s="105"/>
      <c r="M48" s="105"/>
      <c r="N48" s="105">
        <f>ROUND(N$30*I48,2)</f>
        <v>29.25</v>
      </c>
      <c r="O48" s="105">
        <f t="shared" si="0"/>
        <v>29.25</v>
      </c>
      <c r="P48" s="245">
        <f>'Rider Rates'!$D$109</f>
        <v>45532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217</v>
      </c>
      <c r="B49" s="78"/>
      <c r="C49" s="78"/>
      <c r="D49" s="195"/>
      <c r="E49" s="113" t="s">
        <v>114</v>
      </c>
      <c r="F49" s="106"/>
      <c r="G49" s="114"/>
      <c r="H49" s="115"/>
      <c r="I49" s="196">
        <f>'Rider Rates'!$B$113</f>
        <v>0</v>
      </c>
      <c r="J49" s="196">
        <f t="shared" ref="J49:J55" si="1">SUM(G49:I49)</f>
        <v>0</v>
      </c>
      <c r="K49" s="104"/>
      <c r="L49" s="105"/>
      <c r="M49" s="105"/>
      <c r="N49" s="105">
        <f>I49</f>
        <v>0</v>
      </c>
      <c r="O49" s="105">
        <f t="shared" ref="O49:O55" si="2">SUM(L49:N49)</f>
        <v>0</v>
      </c>
      <c r="P49" s="245">
        <f>'Rider Rates'!$D$113</f>
        <v>44894</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225</v>
      </c>
      <c r="B50" s="78"/>
      <c r="C50" s="78"/>
      <c r="D50" s="195"/>
      <c r="E50" s="113" t="s">
        <v>114</v>
      </c>
      <c r="F50" s="106"/>
      <c r="G50" s="114"/>
      <c r="H50" s="115"/>
      <c r="I50" s="258">
        <f>'Rider Rates'!B126</f>
        <v>4.84</v>
      </c>
      <c r="J50" s="196">
        <f t="shared" si="1"/>
        <v>4.84</v>
      </c>
      <c r="K50" s="104"/>
      <c r="L50" s="105"/>
      <c r="M50" s="105"/>
      <c r="N50" s="260">
        <f>I50</f>
        <v>4.84</v>
      </c>
      <c r="O50" s="105">
        <f t="shared" si="2"/>
        <v>4.84</v>
      </c>
      <c r="P50" s="245">
        <f>'Rider Rates'!D126</f>
        <v>45593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216</v>
      </c>
      <c r="B51" s="78"/>
      <c r="C51" s="78"/>
      <c r="D51" s="1">
        <f>IF($C$16&lt;1,0,$C$16)</f>
        <v>0</v>
      </c>
      <c r="E51" s="101" t="s">
        <v>41</v>
      </c>
      <c r="F51" s="249" t="s">
        <v>8</v>
      </c>
      <c r="G51" s="165"/>
      <c r="H51" s="165"/>
      <c r="I51" s="251">
        <f>'Rider Rates'!B122</f>
        <v>-6.2E-4</v>
      </c>
      <c r="J51" s="251">
        <f t="shared" si="1"/>
        <v>-6.2E-4</v>
      </c>
      <c r="K51" s="104" t="s">
        <v>42</v>
      </c>
      <c r="L51" s="105"/>
      <c r="M51" s="105"/>
      <c r="N51" s="105">
        <f>D51*I51</f>
        <v>0</v>
      </c>
      <c r="O51" s="105">
        <f t="shared" si="2"/>
        <v>0</v>
      </c>
      <c r="P51" s="245">
        <f>'Rider Rates'!D122</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241</v>
      </c>
      <c r="B52" s="78"/>
      <c r="C52" s="78"/>
      <c r="D52" s="100">
        <f>IF(C16&lt;0,0,IF(C16&gt;833000,833000,C16))</f>
        <v>0</v>
      </c>
      <c r="E52" s="101" t="s">
        <v>41</v>
      </c>
      <c r="F52" s="102" t="s">
        <v>8</v>
      </c>
      <c r="G52" s="265"/>
      <c r="H52" s="265"/>
      <c r="I52" s="265">
        <f>'Rider Rates'!$B$130</f>
        <v>2.9050000000000001E-4</v>
      </c>
      <c r="J52" s="265">
        <f t="shared" si="1"/>
        <v>2.9050000000000001E-4</v>
      </c>
      <c r="K52" s="104" t="s">
        <v>42</v>
      </c>
      <c r="L52" s="266"/>
      <c r="M52" s="266"/>
      <c r="N52" s="266">
        <f>IF(D52*J52&gt;'Rider Rates'!$C$130,'Rider Rates'!$C$130,D52*J52)</f>
        <v>0</v>
      </c>
      <c r="O52" s="266">
        <f t="shared" si="2"/>
        <v>0</v>
      </c>
      <c r="P52" s="264">
        <f>'Rider Rates'!$E$130</f>
        <v>45292</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78" t="s">
        <v>242</v>
      </c>
      <c r="B53" s="78"/>
      <c r="C53" s="78"/>
      <c r="D53" s="123">
        <f>IF(C16&gt;833000,C16-833000,0)</f>
        <v>0</v>
      </c>
      <c r="E53" s="101" t="s">
        <v>41</v>
      </c>
      <c r="F53" s="102" t="s">
        <v>8</v>
      </c>
      <c r="G53" s="265"/>
      <c r="H53" s="265"/>
      <c r="I53" s="265">
        <f>'Rider Rates'!$B$131</f>
        <v>0</v>
      </c>
      <c r="J53" s="265">
        <f t="shared" si="1"/>
        <v>0</v>
      </c>
      <c r="K53" s="104" t="s">
        <v>42</v>
      </c>
      <c r="L53" s="266"/>
      <c r="M53" s="266"/>
      <c r="N53" s="266">
        <f>D53*J53</f>
        <v>0</v>
      </c>
      <c r="O53" s="266">
        <f t="shared" si="2"/>
        <v>0</v>
      </c>
      <c r="P53" s="264">
        <f>'Rider Rates'!$E$131</f>
        <v>44927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250</v>
      </c>
      <c r="B54" s="78"/>
      <c r="C54" s="78"/>
      <c r="D54" s="100">
        <f>D16</f>
        <v>0</v>
      </c>
      <c r="E54" s="101" t="s">
        <v>41</v>
      </c>
      <c r="F54" s="249" t="s">
        <v>8</v>
      </c>
      <c r="G54" s="103"/>
      <c r="H54" s="103"/>
      <c r="I54" s="103">
        <f>'Rider Rates'!$B$137</f>
        <v>0</v>
      </c>
      <c r="J54" s="237">
        <f t="shared" si="1"/>
        <v>0</v>
      </c>
      <c r="K54" s="104" t="s">
        <v>42</v>
      </c>
      <c r="L54" s="105"/>
      <c r="M54" s="105"/>
      <c r="N54" s="105">
        <f>D54*J54</f>
        <v>0</v>
      </c>
      <c r="O54" s="105">
        <f t="shared" si="2"/>
        <v>0</v>
      </c>
      <c r="P54" s="245">
        <f>'Rider Rates'!$D$135</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249</v>
      </c>
      <c r="B55" s="78"/>
      <c r="C55" s="78"/>
      <c r="D55" s="100"/>
      <c r="E55" s="101" t="s">
        <v>114</v>
      </c>
      <c r="F55" s="102" t="s">
        <v>8</v>
      </c>
      <c r="G55" s="263"/>
      <c r="H55" s="263"/>
      <c r="I55" s="263">
        <f>'Rider Rates'!$B$142</f>
        <v>0</v>
      </c>
      <c r="J55" s="263">
        <f t="shared" si="1"/>
        <v>0</v>
      </c>
      <c r="K55" s="104"/>
      <c r="L55" s="209"/>
      <c r="M55" s="209"/>
      <c r="N55" s="209">
        <f>J55</f>
        <v>0</v>
      </c>
      <c r="O55" s="209">
        <f t="shared" si="2"/>
        <v>0</v>
      </c>
      <c r="P55" s="264">
        <f>'Rider Rates'!$D$142</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251</v>
      </c>
      <c r="B56" s="78"/>
      <c r="C56" s="78"/>
      <c r="D56" s="100"/>
      <c r="E56" s="101"/>
      <c r="F56" s="102"/>
      <c r="G56" s="263"/>
      <c r="H56" s="263"/>
      <c r="I56" s="263"/>
      <c r="J56" s="263"/>
      <c r="K56" s="104"/>
      <c r="L56" s="209"/>
      <c r="M56" s="209"/>
      <c r="N56" s="209"/>
      <c r="O56" s="209"/>
      <c r="P56" s="2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179" t="s">
        <v>70</v>
      </c>
      <c r="B57" s="148"/>
      <c r="C57" s="148"/>
      <c r="D57" s="180"/>
      <c r="E57" s="181"/>
      <c r="F57" s="182"/>
      <c r="G57" s="182"/>
      <c r="H57" s="182"/>
      <c r="I57" s="182"/>
      <c r="J57" s="182"/>
      <c r="K57" s="183"/>
      <c r="L57" s="169">
        <f>SUM(L34:L56)</f>
        <v>0</v>
      </c>
      <c r="M57" s="169">
        <f>SUM(M34:M56)</f>
        <v>0</v>
      </c>
      <c r="N57" s="169">
        <f>SUM(N34:N56)</f>
        <v>67.34</v>
      </c>
      <c r="O57" s="169">
        <f>SUM(O34:O56)</f>
        <v>67.34</v>
      </c>
      <c r="P57" s="184"/>
    </row>
    <row r="58" spans="1:221" x14ac:dyDescent="0.25">
      <c r="A58" s="37"/>
      <c r="D58" s="1"/>
      <c r="E58" s="35"/>
      <c r="F58" s="4"/>
      <c r="G58" s="42"/>
      <c r="H58" s="42"/>
      <c r="I58" s="42"/>
      <c r="J58" s="42"/>
      <c r="K58" s="36"/>
      <c r="L58" s="36"/>
      <c r="M58" s="36"/>
      <c r="N58" s="36"/>
      <c r="O58" s="34"/>
      <c r="P58" s="36"/>
    </row>
    <row r="59" spans="1:221" x14ac:dyDescent="0.25">
      <c r="A59" s="284" t="s">
        <v>71</v>
      </c>
      <c r="B59" s="92"/>
      <c r="C59" s="92"/>
      <c r="D59" s="92"/>
      <c r="E59" s="92"/>
      <c r="F59" s="92"/>
      <c r="G59" s="92"/>
      <c r="H59" s="92"/>
      <c r="I59" s="92"/>
      <c r="J59" s="92"/>
      <c r="K59" s="92"/>
      <c r="L59" s="98">
        <f>L30+L57</f>
        <v>0</v>
      </c>
      <c r="M59" s="98">
        <f>M30+M57</f>
        <v>0</v>
      </c>
      <c r="N59" s="98">
        <f>N30+N57</f>
        <v>205.84</v>
      </c>
      <c r="O59" s="98">
        <f>O30+O57</f>
        <v>205.84</v>
      </c>
      <c r="P59" s="98"/>
    </row>
    <row r="60" spans="1:221" x14ac:dyDescent="0.25">
      <c r="A60" s="37"/>
      <c r="B60" s="37"/>
      <c r="C60" s="37"/>
      <c r="D60" s="37"/>
      <c r="E60" s="37"/>
      <c r="F60" s="37"/>
      <c r="G60" s="37"/>
      <c r="H60" s="37"/>
      <c r="I60" s="37"/>
      <c r="J60" s="37"/>
      <c r="K60" s="37"/>
      <c r="L60" s="37"/>
      <c r="M60" s="37"/>
      <c r="N60" s="37"/>
      <c r="O60" s="40"/>
      <c r="P60" s="40"/>
    </row>
    <row r="61" spans="1:221" x14ac:dyDescent="0.25">
      <c r="A61" s="37" t="s">
        <v>37</v>
      </c>
      <c r="B61" s="37"/>
      <c r="C61" s="37"/>
      <c r="D61" s="37"/>
      <c r="E61" s="37"/>
      <c r="F61" s="37"/>
      <c r="G61" s="37"/>
      <c r="H61" s="37"/>
      <c r="I61" s="37"/>
      <c r="J61" s="37"/>
      <c r="K61" s="37"/>
      <c r="L61" s="37"/>
      <c r="M61" s="37"/>
      <c r="N61" s="37"/>
      <c r="O61" s="45">
        <f>O26+O28+O57</f>
        <v>205.84</v>
      </c>
      <c r="P61" s="245">
        <v>40967</v>
      </c>
    </row>
    <row r="62" spans="1:221" x14ac:dyDescent="0.25">
      <c r="A62" s="37"/>
      <c r="B62" s="37"/>
      <c r="C62" s="37"/>
      <c r="D62" s="37"/>
      <c r="E62" s="37"/>
      <c r="F62" s="37"/>
      <c r="G62" s="46"/>
      <c r="H62" s="46"/>
      <c r="I62" s="46"/>
      <c r="J62" s="46"/>
      <c r="K62" s="36"/>
      <c r="L62" s="36"/>
      <c r="M62" s="36"/>
      <c r="N62" s="36"/>
      <c r="O62" s="40"/>
    </row>
    <row r="63" spans="1:221" x14ac:dyDescent="0.25">
      <c r="A63" s="41" t="s">
        <v>116</v>
      </c>
      <c r="B63" s="37"/>
      <c r="C63" s="37"/>
      <c r="D63" s="37"/>
      <c r="E63" s="37"/>
      <c r="F63" s="37"/>
      <c r="G63" s="46"/>
      <c r="H63" s="46"/>
      <c r="I63" s="46"/>
      <c r="J63" s="46"/>
      <c r="K63" s="36"/>
      <c r="L63" s="36"/>
      <c r="M63" s="36"/>
      <c r="N63" s="36"/>
      <c r="O63" s="138">
        <f>MAX($O$59,$O$61)</f>
        <v>205.84</v>
      </c>
    </row>
    <row r="64" spans="1:221" x14ac:dyDescent="0.25">
      <c r="A64" s="37"/>
      <c r="B64" s="37"/>
      <c r="C64" s="37"/>
      <c r="D64" s="37"/>
      <c r="E64" s="37"/>
      <c r="F64" s="37"/>
      <c r="G64" s="46"/>
      <c r="H64" s="46"/>
      <c r="I64" s="46"/>
      <c r="J64" s="46"/>
      <c r="K64" s="36"/>
      <c r="L64" s="36"/>
      <c r="M64" s="36"/>
      <c r="N64" s="36"/>
      <c r="O64" s="40"/>
    </row>
    <row r="65" spans="1:16" x14ac:dyDescent="0.25">
      <c r="A65" s="37"/>
      <c r="B65" s="37"/>
      <c r="C65" s="37"/>
      <c r="D65" s="37"/>
      <c r="E65" s="37"/>
      <c r="F65" s="37"/>
      <c r="G65" s="96" t="s">
        <v>85</v>
      </c>
      <c r="H65" s="46"/>
      <c r="I65" s="37"/>
      <c r="J65" s="46"/>
      <c r="K65" s="36"/>
      <c r="L65" s="191"/>
      <c r="M65" s="191"/>
      <c r="N65" s="191"/>
      <c r="O65" s="191">
        <f>ROUND(IF($C$16&lt;1,0,$O$63/($C$16*100)*10000),2)</f>
        <v>0</v>
      </c>
      <c r="P65" s="37" t="s">
        <v>86</v>
      </c>
    </row>
    <row r="66" spans="1:16" x14ac:dyDescent="0.25">
      <c r="A66" s="37"/>
      <c r="B66" s="37"/>
      <c r="C66" s="37"/>
      <c r="D66" s="37"/>
      <c r="E66" s="37"/>
      <c r="F66" s="37"/>
      <c r="G66" s="242" t="s">
        <v>198</v>
      </c>
      <c r="H66" s="136"/>
      <c r="I66" s="133"/>
      <c r="J66" s="136"/>
      <c r="K66" s="137"/>
      <c r="L66" s="78"/>
      <c r="M66" s="78"/>
      <c r="N66" s="78"/>
      <c r="O66" s="243">
        <f>ROUND(IF($C$16&lt;1,0,(L59)/($C$16*100)*10000),2)</f>
        <v>0</v>
      </c>
      <c r="P66" s="25" t="s">
        <v>86</v>
      </c>
    </row>
    <row r="67" spans="1:16" x14ac:dyDescent="0.25">
      <c r="A67" s="37"/>
      <c r="B67" s="37"/>
      <c r="C67" s="37"/>
      <c r="D67" s="37"/>
      <c r="E67" s="37"/>
      <c r="F67" s="37"/>
      <c r="G67" s="96"/>
      <c r="H67" s="46"/>
      <c r="I67" s="96"/>
      <c r="J67" s="46"/>
      <c r="K67" s="36"/>
      <c r="L67" s="36"/>
      <c r="M67" s="36"/>
      <c r="N67" s="36"/>
      <c r="O67" s="130"/>
      <c r="P67" s="37"/>
    </row>
    <row r="68" spans="1:16" ht="20.25" customHeight="1" x14ac:dyDescent="0.4">
      <c r="A68" s="3"/>
      <c r="B68" s="37"/>
      <c r="C68" s="37"/>
      <c r="D68" s="228" t="str">
        <f>IF('Customer Info'!$C$33=TRUE,"Notice: Billing Charge does not include Self Assessed KWH Tax"," ")</f>
        <v xml:space="preserve"> </v>
      </c>
      <c r="E68" s="3"/>
      <c r="F68" s="4"/>
      <c r="G68" s="121"/>
      <c r="H68" s="55"/>
      <c r="I68" s="34"/>
      <c r="J68" s="55"/>
      <c r="K68" s="37"/>
      <c r="L68" s="37"/>
      <c r="M68" s="37"/>
      <c r="N68" s="34"/>
    </row>
    <row r="69" spans="1:16" x14ac:dyDescent="0.25">
      <c r="A69" s="37"/>
      <c r="B69" s="37"/>
      <c r="C69" s="37"/>
      <c r="D69" s="54"/>
      <c r="E69" s="3"/>
      <c r="F69" s="4"/>
      <c r="G69" s="55"/>
      <c r="H69" s="55"/>
      <c r="I69" s="93"/>
      <c r="J69" s="55"/>
      <c r="K69" s="37"/>
      <c r="L69" s="37"/>
      <c r="M69" s="37"/>
      <c r="N69" s="37"/>
      <c r="O69" s="40"/>
    </row>
    <row r="70" spans="1:16" x14ac:dyDescent="0.25">
      <c r="A70" s="37"/>
      <c r="B70" s="37"/>
      <c r="C70" s="37"/>
      <c r="D70" s="54"/>
      <c r="E70" s="3"/>
      <c r="F70" s="4"/>
      <c r="G70" s="55"/>
      <c r="H70" s="55"/>
      <c r="I70" s="55"/>
      <c r="J70" s="55"/>
      <c r="K70" s="37"/>
      <c r="L70" s="37"/>
      <c r="M70" s="37"/>
      <c r="N70" s="37"/>
      <c r="O70" s="40"/>
    </row>
    <row r="71" spans="1:16" x14ac:dyDescent="0.25">
      <c r="A71" s="41"/>
      <c r="B71" s="37"/>
      <c r="C71" s="37"/>
      <c r="D71" s="37"/>
      <c r="E71" s="37"/>
      <c r="F71" s="37"/>
      <c r="G71" s="37"/>
      <c r="H71" s="37"/>
      <c r="J71" s="37"/>
      <c r="K71" s="37"/>
      <c r="L71" s="40"/>
      <c r="M71" s="40"/>
      <c r="N71" s="40"/>
      <c r="O71" s="138"/>
    </row>
    <row r="72" spans="1:16" x14ac:dyDescent="0.25">
      <c r="B72" s="37"/>
      <c r="C72" s="37"/>
      <c r="D72" s="37"/>
      <c r="E72" s="37"/>
      <c r="F72" s="37"/>
      <c r="G72" s="96"/>
      <c r="H72" s="37"/>
      <c r="I72" s="37"/>
      <c r="J72" s="37"/>
      <c r="K72" s="37"/>
      <c r="L72" s="60"/>
      <c r="M72" s="60"/>
      <c r="N72" s="60"/>
      <c r="O72" s="130"/>
      <c r="P72" s="37"/>
    </row>
    <row r="73" spans="1:16" x14ac:dyDescent="0.25">
      <c r="G73" s="133"/>
      <c r="H73" s="56"/>
      <c r="I73" s="133"/>
      <c r="J73" s="56"/>
      <c r="K73" s="56"/>
      <c r="L73" s="134"/>
      <c r="M73" s="134"/>
      <c r="N73" s="134"/>
      <c r="O73" s="135"/>
      <c r="P73" s="25"/>
    </row>
    <row r="75" spans="1:16" x14ac:dyDescent="0.25">
      <c r="A75" s="550"/>
    </row>
    <row r="76" spans="1:16" x14ac:dyDescent="0.25">
      <c r="A76" s="550"/>
    </row>
    <row r="77" spans="1:16" x14ac:dyDescent="0.25">
      <c r="A77" s="550"/>
    </row>
    <row r="78" spans="1:16" x14ac:dyDescent="0.25">
      <c r="A78" s="550"/>
    </row>
    <row r="79" spans="1:16" x14ac:dyDescent="0.25">
      <c r="A79" s="550"/>
    </row>
    <row r="80" spans="1:1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row r="89" spans="1:1" x14ac:dyDescent="0.25">
      <c r="A89" s="550"/>
    </row>
  </sheetData>
  <sheetProtection algorithmName="SHA-512" hashValue="7O0cgJ0hRrPnajfr0edx6x+TquN/+iznE4lW89Lf6hUtehg2viXn8uifousFmp1rybhU541PCqzwdEJt2bVtYA==" saltValue="lE0O6t6oKOxdF6z3Q+nq2w==" spinCount="100000" sheet="1" objects="1" scenarios="1"/>
  <mergeCells count="26">
    <mergeCell ref="A75:A89"/>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Button 1">
              <controlPr defaultSize="0" print="0" autoFill="0" autoPict="0" macro="[0]!Info">
                <anchor moveWithCells="1">
                  <from>
                    <xdr:col>0</xdr:col>
                    <xdr:colOff>30480</xdr:colOff>
                    <xdr:row>0</xdr:row>
                    <xdr:rowOff>30480</xdr:rowOff>
                  </from>
                  <to>
                    <xdr:col>0</xdr:col>
                    <xdr:colOff>373380</xdr:colOff>
                    <xdr:row>1</xdr:row>
                    <xdr:rowOff>30480</xdr:rowOff>
                  </to>
                </anchor>
              </controlPr>
            </control>
          </mc:Choice>
        </mc:AlternateContent>
        <mc:AlternateContent xmlns:mc="http://schemas.openxmlformats.org/markup-compatibility/2006">
          <mc:Choice Requires="x14">
            <control shapeId="123906" r:id="rId5" name="Button 2">
              <controlPr defaultSize="0" print="0" autoFill="0" autoPict="0" macro="[0]!Info">
                <anchor moveWithCells="1">
                  <from>
                    <xdr:col>15</xdr:col>
                    <xdr:colOff>274320</xdr:colOff>
                    <xdr:row>83</xdr:row>
                    <xdr:rowOff>45720</xdr:rowOff>
                  </from>
                  <to>
                    <xdr:col>16</xdr:col>
                    <xdr:colOff>30480</xdr:colOff>
                    <xdr:row>84</xdr:row>
                    <xdr:rowOff>83820</xdr:rowOff>
                  </to>
                </anchor>
              </controlPr>
            </control>
          </mc:Choice>
        </mc:AlternateContent>
        <mc:AlternateContent xmlns:mc="http://schemas.openxmlformats.org/markup-compatibility/2006">
          <mc:Choice Requires="x14">
            <control shapeId="123907"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3908"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3909" r:id="rId8" name="Button 5">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3910" r:id="rId9" name="Button 6">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123911" r:id="rId10" name="Button 7">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23912" r:id="rId11" name="Button 8">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23913" r:id="rId12" name="Button 9">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23914" r:id="rId13" name="Button 10">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123915" r:id="rId14" name="Button 11">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23916" r:id="rId15" name="Button 12">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23917" r:id="rId16" name="Button 13">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23918" r:id="rId17" name="Button 14">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123919" r:id="rId18" name="Button 15">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23920" r:id="rId19" name="Button 16">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23921" r:id="rId20" name="Button 17">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23922" r:id="rId21" name="Button 18">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123923" r:id="rId22" name="Button 19">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23924" r:id="rId23" name="Button 20">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23925" r:id="rId24" name="Button 21">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23926" r:id="rId25" name="Button 22">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123927" r:id="rId26" name="Button 23">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23928" r:id="rId27" name="Button 24">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23929" r:id="rId28" name="Button 25">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23930" r:id="rId29" name="Button 26">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123931" r:id="rId30" name="Button 27">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23932" r:id="rId31" name="Button 28">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23933" r:id="rId32" name="Button 29">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23934" r:id="rId33" name="Button 30">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123935" r:id="rId34" name="Button 31">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23936" r:id="rId35" name="Button 32">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23937" r:id="rId36" name="Button 33">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23938" r:id="rId37" name="Button 34">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123939" r:id="rId38" name="Button 35">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23940" r:id="rId39" name="Button 36">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23941" r:id="rId40" name="Button 37">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23942" r:id="rId41" name="Button 38">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123943" r:id="rId42" name="Button 39">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23944" r:id="rId43" name="Button 40">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23945" r:id="rId44" name="Button 41">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23946" r:id="rId45" name="Button 42">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123947" r:id="rId46" name="Button 43">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23948" r:id="rId47" name="Button 44">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23949" r:id="rId48" name="Button 45">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23950" r:id="rId49" name="Button 46">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123951" r:id="rId50" name="Button 47">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23952" r:id="rId51" name="Button 48">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23953" r:id="rId52" name="Button 49">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23954" r:id="rId53" name="Button 50">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123955" r:id="rId54" name="Button 51">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23956" r:id="rId55" name="Button 52">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23957" r:id="rId56" name="Button 53">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23958" r:id="rId57" name="Button 54">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123959" r:id="rId58" name="Button 55">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123960" r:id="rId59" name="Button 56">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123961" r:id="rId60" name="Button 57">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123962" r:id="rId61" name="Button 58">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pageSetUpPr fitToPage="1"/>
  </sheetPr>
  <dimension ref="A1:IV88"/>
  <sheetViews>
    <sheetView showGridLines="0" topLeftCell="A25" zoomScale="80" zoomScaleNormal="80" workbookViewId="0">
      <selection activeCell="J49" sqref="J49"/>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9.109375" hidden="1" customWidth="1"/>
  </cols>
  <sheetData>
    <row r="1" spans="1:256" ht="21" x14ac:dyDescent="0.4">
      <c r="A1" s="567" t="s">
        <v>119</v>
      </c>
      <c r="B1" s="567"/>
      <c r="C1" s="567"/>
      <c r="D1" s="567"/>
      <c r="E1" s="567"/>
      <c r="F1" s="567"/>
      <c r="G1" s="567"/>
      <c r="H1" s="567"/>
      <c r="I1" s="567"/>
      <c r="J1" s="567"/>
      <c r="K1" s="567"/>
      <c r="L1" s="567"/>
      <c r="M1" s="567"/>
      <c r="N1" s="567"/>
      <c r="O1" s="567"/>
      <c r="P1" s="567"/>
    </row>
    <row r="2" spans="1:256" ht="21" x14ac:dyDescent="0.4">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7.399999999999999" x14ac:dyDescent="0.3">
      <c r="A3" s="568" t="s">
        <v>281</v>
      </c>
      <c r="B3" s="568"/>
      <c r="C3" s="568"/>
      <c r="D3" s="568"/>
      <c r="E3" s="568"/>
      <c r="F3" s="568"/>
      <c r="G3" s="568"/>
      <c r="H3" s="568"/>
      <c r="I3" s="568"/>
      <c r="J3" s="568"/>
      <c r="K3" s="568"/>
      <c r="L3" s="568"/>
      <c r="M3" s="568"/>
      <c r="N3" s="568"/>
      <c r="O3" s="568"/>
      <c r="P3" s="568"/>
    </row>
    <row r="4" spans="1:256" ht="15.6" x14ac:dyDescent="0.3">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5">
      <c r="A5" s="75"/>
      <c r="B5" s="75"/>
      <c r="C5" s="75"/>
      <c r="D5" s="75"/>
      <c r="E5" s="75"/>
      <c r="F5" s="75"/>
      <c r="G5" s="75"/>
      <c r="H5" s="75"/>
      <c r="I5" s="75"/>
      <c r="J5" s="75"/>
      <c r="K5" s="75"/>
    </row>
    <row r="6" spans="1:256" x14ac:dyDescent="0.25">
      <c r="A6" s="76">
        <f ca="1">TODAY()</f>
        <v>45588</v>
      </c>
      <c r="B6" s="210" t="s">
        <v>301</v>
      </c>
      <c r="C6" s="274"/>
      <c r="D6" s="274"/>
      <c r="E6" s="274"/>
      <c r="F6" s="274"/>
      <c r="G6" s="274"/>
      <c r="H6" s="274"/>
      <c r="I6" s="274"/>
      <c r="J6" s="274"/>
      <c r="K6" s="274"/>
    </row>
    <row r="7" spans="1:256" ht="24.6" x14ac:dyDescent="0.4">
      <c r="A7" s="569"/>
      <c r="B7" s="569"/>
      <c r="C7" s="569"/>
      <c r="D7" s="569"/>
      <c r="E7" s="569"/>
      <c r="F7" s="569"/>
      <c r="G7" s="569"/>
      <c r="H7" s="569"/>
      <c r="I7" s="569"/>
      <c r="J7" s="569"/>
      <c r="K7" s="569"/>
      <c r="L7" s="569"/>
      <c r="M7" s="569"/>
      <c r="N7" s="569"/>
      <c r="O7" s="569"/>
      <c r="P7" s="569"/>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11</v>
      </c>
      <c r="C10" s="194" t="str">
        <f>LOOKUP(B10,R10:AD10,R11:AD11)</f>
        <v>November</v>
      </c>
      <c r="D10" s="133">
        <f>'Customer Info'!C9</f>
        <v>2024</v>
      </c>
      <c r="S10">
        <v>1</v>
      </c>
      <c r="T10">
        <v>2</v>
      </c>
      <c r="U10">
        <v>3</v>
      </c>
      <c r="V10">
        <v>4</v>
      </c>
      <c r="W10">
        <v>5</v>
      </c>
      <c r="X10">
        <v>6</v>
      </c>
      <c r="Y10">
        <v>7</v>
      </c>
      <c r="Z10">
        <v>8</v>
      </c>
      <c r="AA10">
        <v>9</v>
      </c>
      <c r="AB10">
        <v>10</v>
      </c>
      <c r="AC10">
        <v>11</v>
      </c>
      <c r="AD10">
        <v>12</v>
      </c>
    </row>
    <row r="11" spans="1:256" ht="15" customHeight="1" x14ac:dyDescent="0.25">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5">
      <c r="A12" s="28" t="s">
        <v>27</v>
      </c>
      <c r="B12" s="22"/>
      <c r="C12" s="22"/>
      <c r="D12" s="22"/>
      <c r="E12" s="22"/>
      <c r="F12" s="22"/>
      <c r="G12" s="22"/>
      <c r="H12" s="22"/>
      <c r="I12" s="22"/>
      <c r="J12" s="22"/>
      <c r="K12" s="22"/>
      <c r="L12" s="22"/>
      <c r="M12" s="22"/>
      <c r="N12" s="22"/>
      <c r="O12" s="22"/>
      <c r="P12" s="22"/>
      <c r="R12" s="3" t="s">
        <v>195</v>
      </c>
      <c r="S12" s="207">
        <f>'Rider Rates'!$C$25</f>
        <v>6.6629999999999995E-2</v>
      </c>
      <c r="T12" s="207">
        <f>'Rider Rates'!$C$25</f>
        <v>6.6629999999999995E-2</v>
      </c>
      <c r="U12" s="207">
        <f>'Rider Rates'!$C$25</f>
        <v>6.6629999999999995E-2</v>
      </c>
      <c r="V12" s="207">
        <f>'Rider Rates'!$C$25</f>
        <v>6.6629999999999995E-2</v>
      </c>
      <c r="W12" s="207">
        <f>'Rider Rates'!$C$25</f>
        <v>6.6629999999999995E-2</v>
      </c>
      <c r="X12" s="207">
        <f>'Rider Rates'!$C$25</f>
        <v>6.6629999999999995E-2</v>
      </c>
      <c r="Y12" s="207">
        <f>'Rider Rates'!$C$25</f>
        <v>6.6629999999999995E-2</v>
      </c>
      <c r="Z12" s="207">
        <f>'Rider Rates'!$C$25</f>
        <v>6.6629999999999995E-2</v>
      </c>
      <c r="AA12" s="207">
        <f>'Rider Rates'!$C$25</f>
        <v>6.6629999999999995E-2</v>
      </c>
      <c r="AB12" s="207">
        <f>'Rider Rates'!$C$25</f>
        <v>6.6629999999999995E-2</v>
      </c>
      <c r="AC12" s="207">
        <f>'Rider Rates'!$C$25</f>
        <v>6.6629999999999995E-2</v>
      </c>
      <c r="AD12" s="207">
        <f>'Rider Rates'!$C$25</f>
        <v>6.6629999999999995E-2</v>
      </c>
      <c r="AE12" s="207"/>
      <c r="AF12" s="207"/>
    </row>
    <row r="13" spans="1:256" x14ac:dyDescent="0.25">
      <c r="A13" s="18"/>
      <c r="B13" s="18"/>
      <c r="C13" s="59" t="s">
        <v>54</v>
      </c>
      <c r="D13" s="59" t="s">
        <v>55</v>
      </c>
      <c r="E13" s="18"/>
      <c r="F13" s="18"/>
      <c r="G13" s="18"/>
      <c r="H13" s="18"/>
      <c r="I13" s="18"/>
      <c r="J13" s="18"/>
      <c r="K13" s="18"/>
      <c r="L13" s="18"/>
      <c r="M13" s="18"/>
      <c r="N13" s="18"/>
      <c r="O13" s="18"/>
    </row>
    <row r="14" spans="1:256" x14ac:dyDescent="0.25">
      <c r="A14" s="29" t="s">
        <v>28</v>
      </c>
      <c r="B14" s="29"/>
      <c r="C14" s="44">
        <f>'Customer Info'!B19</f>
        <v>0</v>
      </c>
      <c r="D14" s="44">
        <f>ROUND(C14*C19,1)</f>
        <v>0</v>
      </c>
      <c r="E14" s="29" t="s">
        <v>45</v>
      </c>
      <c r="F14" s="30"/>
      <c r="G14" s="29" t="s">
        <v>15</v>
      </c>
      <c r="I14" s="53" t="s">
        <v>15</v>
      </c>
      <c r="J14" s="29"/>
      <c r="K14" s="29"/>
      <c r="L14" s="29"/>
      <c r="M14" s="29"/>
      <c r="N14" s="29"/>
    </row>
    <row r="15" spans="1:256" x14ac:dyDescent="0.25">
      <c r="A15" s="31" t="s">
        <v>29</v>
      </c>
      <c r="B15" s="31"/>
      <c r="C15" s="44">
        <f>'Customer Info'!B20</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Info'!B22+'Customer Info'!B23-'Customer Info'!B24&lt;0,0,'Customer Info'!B22+'Customer Info'!B23-'Customer Info'!B24)</f>
        <v>0</v>
      </c>
      <c r="D16" s="32">
        <f>C16*C19</f>
        <v>0</v>
      </c>
      <c r="E16" s="31" t="s">
        <v>41</v>
      </c>
      <c r="F16" s="33"/>
      <c r="G16" s="31"/>
      <c r="H16" s="31"/>
      <c r="I16" s="31"/>
      <c r="J16" s="31"/>
      <c r="K16" s="31"/>
      <c r="L16" s="31"/>
      <c r="M16" s="31"/>
      <c r="N16" s="31"/>
      <c r="O16" s="31"/>
    </row>
    <row r="17" spans="1:30" x14ac:dyDescent="0.25">
      <c r="A17" s="31" t="s">
        <v>129</v>
      </c>
      <c r="B17" s="31"/>
      <c r="C17" s="32">
        <f>'Customer Info'!$B$27</f>
        <v>0</v>
      </c>
      <c r="D17" s="32">
        <f>C17*C19</f>
        <v>0</v>
      </c>
      <c r="E17" s="31" t="s">
        <v>266</v>
      </c>
      <c r="F17" s="33"/>
      <c r="K17" s="31"/>
      <c r="L17" s="31"/>
      <c r="M17" s="31"/>
      <c r="N17" s="31"/>
    </row>
    <row r="18" spans="1:30" x14ac:dyDescent="0.25">
      <c r="A18" s="31" t="s">
        <v>265</v>
      </c>
      <c r="B18" s="31"/>
      <c r="C18" s="32"/>
      <c r="D18" s="32">
        <f>IF((D17-(ROUND(MAX(D14,D15)*0.5,1)))&lt;0,0,(D17-(ROUND(MAX(D14,D15)*0.5,1))))</f>
        <v>0</v>
      </c>
      <c r="E18" s="31" t="s">
        <v>269</v>
      </c>
      <c r="F18" s="33"/>
      <c r="K18" s="31"/>
      <c r="L18" s="31"/>
      <c r="M18" s="31"/>
      <c r="N18" s="31"/>
    </row>
    <row r="19" spans="1:30" x14ac:dyDescent="0.25">
      <c r="A19" s="31" t="s">
        <v>53</v>
      </c>
      <c r="B19" s="31"/>
      <c r="C19" s="58">
        <f>+'Customer Info'!E19</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5">
      <c r="A20" s="31" t="s">
        <v>15</v>
      </c>
      <c r="B20" s="31"/>
      <c r="C20" s="82" t="s">
        <v>15</v>
      </c>
      <c r="D20" s="571" t="s">
        <v>15</v>
      </c>
      <c r="E20" s="571"/>
      <c r="F20" s="571"/>
      <c r="G20" s="571"/>
      <c r="H20" s="571"/>
      <c r="K20" s="31"/>
      <c r="L20" s="31"/>
      <c r="M20" s="31"/>
      <c r="N20" s="31"/>
      <c r="O20" s="50"/>
    </row>
    <row r="21" spans="1:30" x14ac:dyDescent="0.25">
      <c r="A21" s="31" t="s">
        <v>15</v>
      </c>
      <c r="B21" s="31"/>
      <c r="C21" s="82" t="s">
        <v>15</v>
      </c>
      <c r="D21" s="571" t="s">
        <v>15</v>
      </c>
      <c r="E21" s="571"/>
      <c r="F21" s="571"/>
      <c r="G21" s="571"/>
      <c r="H21" s="571"/>
      <c r="I21" s="23"/>
      <c r="J21" s="23"/>
      <c r="K21" s="31"/>
      <c r="L21" s="31"/>
      <c r="M21" s="31"/>
      <c r="N21" s="31"/>
      <c r="O21" s="50"/>
    </row>
    <row r="22" spans="1:30" x14ac:dyDescent="0.25">
      <c r="A22" s="31"/>
      <c r="B22" s="31"/>
      <c r="C22" s="33"/>
      <c r="D22" s="33"/>
      <c r="E22" s="33"/>
      <c r="F22" s="33"/>
      <c r="G22" s="23"/>
      <c r="H22" s="23"/>
      <c r="I22" s="23"/>
      <c r="J22" s="23"/>
      <c r="K22" s="31"/>
      <c r="L22" s="31"/>
      <c r="M22" s="31"/>
      <c r="N22" s="31"/>
      <c r="O22" s="31"/>
    </row>
    <row r="23" spans="1:30" x14ac:dyDescent="0.25">
      <c r="A23" s="28" t="s">
        <v>31</v>
      </c>
      <c r="B23" s="22"/>
      <c r="C23" s="22"/>
      <c r="D23" s="22"/>
      <c r="E23" s="22"/>
      <c r="F23" s="22"/>
      <c r="G23" s="563" t="s">
        <v>67</v>
      </c>
      <c r="H23" s="564"/>
      <c r="I23" s="564"/>
      <c r="J23" s="565"/>
      <c r="K23" s="22"/>
      <c r="L23" s="566" t="s">
        <v>68</v>
      </c>
      <c r="M23" s="566"/>
      <c r="N23" s="566"/>
      <c r="O23" s="566"/>
    </row>
    <row r="24" spans="1:30" x14ac:dyDescent="0.25">
      <c r="A24" s="18"/>
      <c r="B24" s="18"/>
      <c r="C24" s="18"/>
      <c r="D24" s="18"/>
      <c r="E24" s="18"/>
      <c r="F24" s="18"/>
      <c r="G24" s="8" t="s">
        <v>64</v>
      </c>
      <c r="H24" s="8" t="s">
        <v>65</v>
      </c>
      <c r="I24" s="8" t="s">
        <v>66</v>
      </c>
      <c r="J24" s="112" t="s">
        <v>34</v>
      </c>
      <c r="K24" s="18"/>
      <c r="L24" s="131" t="s">
        <v>64</v>
      </c>
      <c r="M24" s="131" t="s">
        <v>65</v>
      </c>
      <c r="N24" s="131" t="s">
        <v>66</v>
      </c>
      <c r="O24" s="132" t="s">
        <v>34</v>
      </c>
      <c r="P24" s="43" t="s">
        <v>56</v>
      </c>
    </row>
    <row r="25" spans="1:30" x14ac:dyDescent="0.25">
      <c r="A25" t="s">
        <v>32</v>
      </c>
      <c r="G25" s="86"/>
      <c r="H25" s="86"/>
      <c r="I25" s="86">
        <f>IF(D14&gt;2000,3600,825)</f>
        <v>825</v>
      </c>
      <c r="J25" s="86">
        <f>SUM(G25:I25)</f>
        <v>825</v>
      </c>
      <c r="L25" s="88"/>
      <c r="M25" s="88"/>
      <c r="N25" s="88">
        <f>I25</f>
        <v>825</v>
      </c>
      <c r="O25" s="209">
        <f>SUM(L25:N25)</f>
        <v>825</v>
      </c>
      <c r="P25" s="245">
        <v>44531</v>
      </c>
    </row>
    <row r="26" spans="1:30" x14ac:dyDescent="0.25">
      <c r="A26" t="s">
        <v>132</v>
      </c>
      <c r="D26" s="1">
        <f>D16</f>
        <v>0</v>
      </c>
      <c r="E26" s="101" t="s">
        <v>41</v>
      </c>
      <c r="F26" s="102" t="s">
        <v>8</v>
      </c>
      <c r="G26" s="84"/>
      <c r="H26" s="86"/>
      <c r="I26" s="86"/>
      <c r="J26" s="84"/>
      <c r="K26" s="104" t="s">
        <v>42</v>
      </c>
      <c r="L26" s="87"/>
      <c r="M26" s="88"/>
      <c r="N26" s="87"/>
      <c r="O26" s="209"/>
      <c r="P26" s="245"/>
    </row>
    <row r="27" spans="1:30" x14ac:dyDescent="0.25">
      <c r="A27" t="s">
        <v>33</v>
      </c>
      <c r="D27" s="49">
        <f>ROUND(MAX(D14,D15,('Customer Info'!B15-100)*0.6,('Customer Info'!B17-100)*0.6),1)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5">
      <c r="A28" t="s">
        <v>270</v>
      </c>
      <c r="D28" s="49">
        <f>D18</f>
        <v>0</v>
      </c>
      <c r="E28" s="29" t="s">
        <v>268</v>
      </c>
      <c r="F28" s="4" t="s">
        <v>8</v>
      </c>
      <c r="G28" s="116"/>
      <c r="H28" s="85"/>
      <c r="I28" s="85">
        <v>0.7</v>
      </c>
      <c r="J28" s="116">
        <f>SUM(G28:I28)</f>
        <v>0.7</v>
      </c>
      <c r="K28" s="36" t="s">
        <v>44</v>
      </c>
      <c r="L28" s="87"/>
      <c r="M28" s="87"/>
      <c r="N28" s="87">
        <f>ROUND($D28*I28,2)</f>
        <v>0</v>
      </c>
      <c r="O28" s="87">
        <f>SUM(L28:N28)</f>
        <v>0</v>
      </c>
      <c r="P28" s="245">
        <v>44531</v>
      </c>
    </row>
    <row r="29" spans="1:30" x14ac:dyDescent="0.25">
      <c r="A29" s="37" t="s">
        <v>50</v>
      </c>
      <c r="B29" s="37"/>
      <c r="C29" s="37"/>
      <c r="D29" s="38"/>
      <c r="E29" s="38"/>
      <c r="F29" s="37"/>
      <c r="G29" s="37"/>
      <c r="H29" s="37"/>
      <c r="I29" s="37"/>
      <c r="J29" s="37"/>
      <c r="K29" s="39"/>
      <c r="L29" s="40"/>
      <c r="M29" s="40"/>
      <c r="N29" s="40">
        <f>SUM(N25:N28)</f>
        <v>825</v>
      </c>
      <c r="O29" s="40">
        <f>SUM(O25:O28)</f>
        <v>825</v>
      </c>
    </row>
    <row r="30" spans="1:30" x14ac:dyDescent="0.25">
      <c r="A30" s="89"/>
      <c r="B30" s="89"/>
      <c r="C30" s="90"/>
      <c r="D30" s="90"/>
      <c r="E30" s="90"/>
      <c r="F30" s="90"/>
      <c r="G30" s="91"/>
      <c r="H30" s="91"/>
      <c r="I30" s="91"/>
      <c r="J30" s="91"/>
      <c r="K30" s="89"/>
      <c r="L30" s="89"/>
      <c r="M30" s="89"/>
      <c r="N30" s="89"/>
      <c r="O30" s="89"/>
      <c r="P30" s="89"/>
    </row>
    <row r="31" spans="1:30" x14ac:dyDescent="0.25">
      <c r="A31" s="41" t="s">
        <v>69</v>
      </c>
      <c r="D31" s="1"/>
      <c r="E31" s="1"/>
      <c r="K31" s="36"/>
      <c r="L31" s="36"/>
      <c r="M31" s="36"/>
      <c r="N31" s="36"/>
      <c r="O31" s="34"/>
      <c r="P31" s="34"/>
    </row>
    <row r="32" spans="1:30" x14ac:dyDescent="0.25">
      <c r="A32" s="37"/>
      <c r="D32" s="1"/>
      <c r="E32" s="1"/>
      <c r="K32" s="36"/>
      <c r="L32" s="36"/>
      <c r="M32" s="36"/>
      <c r="N32" s="36"/>
      <c r="O32" s="34"/>
    </row>
    <row r="33" spans="1:221" x14ac:dyDescent="0.25">
      <c r="A33" s="78" t="s">
        <v>78</v>
      </c>
      <c r="D33" s="1">
        <f>IF($C$16&lt;0,0,IF($C$16&gt;833000,833000,$C$16))</f>
        <v>0</v>
      </c>
      <c r="E33" s="35" t="s">
        <v>41</v>
      </c>
      <c r="F33" s="4" t="s">
        <v>8</v>
      </c>
      <c r="G33" s="83"/>
      <c r="H33" s="84"/>
      <c r="I33" s="103">
        <f>'Rider Rates'!$B$4</f>
        <v>5.9216E-3</v>
      </c>
      <c r="J33" s="6">
        <f>SUM(G33:I33)</f>
        <v>5.9216E-3</v>
      </c>
      <c r="K33" s="36" t="s">
        <v>42</v>
      </c>
      <c r="L33" s="87"/>
      <c r="M33" s="87"/>
      <c r="N33" s="87">
        <f>ROUND($D33*I33,2)</f>
        <v>0</v>
      </c>
      <c r="O33" s="87">
        <f t="shared" ref="O33:O41" si="0">SUM(L33:N33)</f>
        <v>0</v>
      </c>
      <c r="P33" s="245">
        <f>'Rider Rates'!$D$4</f>
        <v>45293</v>
      </c>
    </row>
    <row r="34" spans="1:221" x14ac:dyDescent="0.25">
      <c r="A34" s="78" t="s">
        <v>79</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 t="shared" si="0"/>
        <v>0</v>
      </c>
      <c r="P34" s="245">
        <f>'Rider Rates'!$D$4</f>
        <v>45293</v>
      </c>
    </row>
    <row r="35" spans="1:221" x14ac:dyDescent="0.25">
      <c r="A35" s="78" t="s">
        <v>47</v>
      </c>
      <c r="B35" t="s">
        <v>15</v>
      </c>
      <c r="D35" s="1">
        <f>IF('Customer Info'!$C$33=TRUE,0,IF(C16&lt;0,0,IF(C16&gt;2000,2000,C16)))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 t="shared" si="0"/>
        <v>0</v>
      </c>
      <c r="P35" s="245">
        <f>'Rider Rates'!$D$7</f>
        <v>44531</v>
      </c>
    </row>
    <row r="36" spans="1:221" x14ac:dyDescent="0.25">
      <c r="A36" s="78" t="s">
        <v>48</v>
      </c>
      <c r="B36" t="s">
        <v>15</v>
      </c>
      <c r="D36" s="1">
        <f>IF('Customer Info'!$C$33=TRUE,0,IF(C16&gt;15000,13000,IF(C16&gt;2000,C16-2000,0)))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 t="shared" si="0"/>
        <v>0</v>
      </c>
      <c r="P36" s="245">
        <f>'Rider Rates'!$D$7</f>
        <v>44531</v>
      </c>
    </row>
    <row r="37" spans="1:221" x14ac:dyDescent="0.25">
      <c r="A37" s="78" t="s">
        <v>49</v>
      </c>
      <c r="B37" t="s">
        <v>15</v>
      </c>
      <c r="D37" s="1">
        <f>IF('Customer Info'!$C$33=TRUE,0,IF(C16-D35-D36&gt;0,C16-D35-D36,0))</f>
        <v>0</v>
      </c>
      <c r="E37" s="35" t="s">
        <v>41</v>
      </c>
      <c r="F37" s="4" t="s">
        <v>8</v>
      </c>
      <c r="G37" s="83"/>
      <c r="H37" s="84"/>
      <c r="I37" s="177">
        <f>'Rider Rates'!$B$10</f>
        <v>3.63E-3</v>
      </c>
      <c r="J37" s="117">
        <f>SUM(G37:I37)</f>
        <v>3.63E-3</v>
      </c>
      <c r="K37" s="36" t="s">
        <v>42</v>
      </c>
      <c r="L37" s="87"/>
      <c r="M37" s="87"/>
      <c r="N37" s="87">
        <f>ROUND($D37*I37,2)</f>
        <v>0</v>
      </c>
      <c r="O37" s="87">
        <f t="shared" si="0"/>
        <v>0</v>
      </c>
      <c r="P37" s="245">
        <f>'Rider Rates'!$D$7</f>
        <v>44531</v>
      </c>
    </row>
    <row r="38" spans="1:221" x14ac:dyDescent="0.25">
      <c r="A38" s="241" t="s">
        <v>245</v>
      </c>
      <c r="B38" s="78"/>
      <c r="C38" s="78"/>
      <c r="D38" s="208">
        <f>$N$29</f>
        <v>825</v>
      </c>
      <c r="E38" s="101" t="s">
        <v>121</v>
      </c>
      <c r="F38" s="102" t="s">
        <v>8</v>
      </c>
      <c r="G38" s="103"/>
      <c r="H38" s="103"/>
      <c r="I38" s="178">
        <f>'Rider Rates'!$B$18+'Rider Rates'!$E$18</f>
        <v>0</v>
      </c>
      <c r="J38" s="120">
        <f>SUM(H38:I38)</f>
        <v>0</v>
      </c>
      <c r="K38" s="104"/>
      <c r="L38" s="105"/>
      <c r="M38" s="105"/>
      <c r="N38" s="105">
        <f>ROUND($D$38*'Rider Rates'!$B$18,2)+ROUND($D$38*'Rider Rates'!$E$18,2)</f>
        <v>0</v>
      </c>
      <c r="O38" s="105">
        <f t="shared" si="0"/>
        <v>0</v>
      </c>
      <c r="P38" s="245">
        <f>MAX('Rider Rates'!$D$18,'Rider Rates'!$F$18)</f>
        <v>44531</v>
      </c>
    </row>
    <row r="39" spans="1:221" x14ac:dyDescent="0.25">
      <c r="A39" s="241" t="s">
        <v>218</v>
      </c>
      <c r="B39" s="78"/>
      <c r="C39" s="78"/>
      <c r="D39" s="1">
        <f>IF($C$16&lt;0,0,IF($C$16&gt;833000,833000,$C$16))</f>
        <v>0</v>
      </c>
      <c r="E39" s="101" t="s">
        <v>41</v>
      </c>
      <c r="F39" s="102" t="s">
        <v>8</v>
      </c>
      <c r="G39" s="103"/>
      <c r="H39" s="103"/>
      <c r="I39" s="103">
        <f>'Rider Rates'!D53</f>
        <v>1.8006999999999999E-3</v>
      </c>
      <c r="J39" s="103">
        <f>SUM(G39:I39)</f>
        <v>1.8006999999999999E-3</v>
      </c>
      <c r="K39" s="104" t="s">
        <v>42</v>
      </c>
      <c r="L39" s="105"/>
      <c r="M39" s="105"/>
      <c r="N39" s="87">
        <f>D39*J39</f>
        <v>0</v>
      </c>
      <c r="O39" s="105">
        <f t="shared" si="0"/>
        <v>0</v>
      </c>
      <c r="P39" s="245">
        <f>'Rider Rates'!E53</f>
        <v>45474</v>
      </c>
    </row>
    <row r="40" spans="1:221" x14ac:dyDescent="0.25">
      <c r="A40" s="210" t="s">
        <v>197</v>
      </c>
      <c r="B40" s="78"/>
      <c r="C40" s="78"/>
      <c r="D40" s="1">
        <f>IF($C$16&lt;0,0,$C$16)</f>
        <v>0</v>
      </c>
      <c r="E40" s="113" t="s">
        <v>41</v>
      </c>
      <c r="F40" s="102" t="s">
        <v>8</v>
      </c>
      <c r="G40" s="103"/>
      <c r="H40" s="103">
        <f>'Rider Rates'!$B$63</f>
        <v>5.7019999999999998E-4</v>
      </c>
      <c r="I40" s="103"/>
      <c r="J40" s="103">
        <f>SUM(G40:I40)</f>
        <v>5.7019999999999998E-4</v>
      </c>
      <c r="K40" s="104" t="s">
        <v>42</v>
      </c>
      <c r="L40" s="105"/>
      <c r="M40" s="105">
        <f>ROUND(D40*H40,2)</f>
        <v>0</v>
      </c>
      <c r="N40" s="205"/>
      <c r="O40" s="105">
        <f t="shared" si="0"/>
        <v>0</v>
      </c>
      <c r="P40" s="245">
        <f>'Rider Rates'!$D$63</f>
        <v>45383</v>
      </c>
    </row>
    <row r="41" spans="1:221" x14ac:dyDescent="0.25">
      <c r="A41" s="210" t="s">
        <v>197</v>
      </c>
      <c r="B41" s="78"/>
      <c r="C41" s="78"/>
      <c r="D41" s="49">
        <f>D14</f>
        <v>0</v>
      </c>
      <c r="E41" s="35" t="s">
        <v>63</v>
      </c>
      <c r="F41" s="4" t="s">
        <v>8</v>
      </c>
      <c r="G41" s="103"/>
      <c r="H41" s="239">
        <f>'Rider Rates'!$B$68</f>
        <v>7.45</v>
      </c>
      <c r="I41" s="103"/>
      <c r="J41" s="239">
        <f>SUM(G41:I41)</f>
        <v>7.45</v>
      </c>
      <c r="K41" s="104" t="s">
        <v>44</v>
      </c>
      <c r="L41" s="105"/>
      <c r="M41" s="105">
        <f>ROUND(D41*H41,2)</f>
        <v>0</v>
      </c>
      <c r="N41" s="205"/>
      <c r="O41" s="105">
        <f t="shared" si="0"/>
        <v>0</v>
      </c>
      <c r="P41" s="245">
        <f>'Rider Rates'!$D$68</f>
        <v>45383</v>
      </c>
    </row>
    <row r="42" spans="1:221" x14ac:dyDescent="0.25">
      <c r="A42" s="99" t="s">
        <v>82</v>
      </c>
      <c r="B42" s="78"/>
      <c r="C42" s="78"/>
      <c r="D42" s="1">
        <f>IF('Customer Info'!C35=TRUE,0,IF($C$16&lt;0,0,$C$16))</f>
        <v>0</v>
      </c>
      <c r="E42" s="101" t="s">
        <v>41</v>
      </c>
      <c r="F42" s="102" t="s">
        <v>8</v>
      </c>
      <c r="G42" s="103"/>
      <c r="H42" s="103"/>
      <c r="I42" s="103">
        <f>'Rider Rates'!$B$75+'Rider Rates'!$C$75</f>
        <v>0</v>
      </c>
      <c r="J42" s="103">
        <f>SUM(G42:I42)</f>
        <v>0</v>
      </c>
      <c r="K42" s="104" t="s">
        <v>42</v>
      </c>
      <c r="L42" s="105"/>
      <c r="M42" s="105"/>
      <c r="N42" s="87">
        <f>ROUND($D$42*'Rider Rates'!$B$75,2)+ROUND($D$42*'Rider Rates'!$C$75,2)</f>
        <v>0</v>
      </c>
      <c r="O42" s="209">
        <f t="shared" ref="O42:O47" si="1">SUM(L42:N42)</f>
        <v>0</v>
      </c>
      <c r="P42" s="245">
        <f>'Rider Rates'!$D$75</f>
        <v>44531</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5">
      <c r="A43" s="99" t="s">
        <v>82</v>
      </c>
      <c r="B43" s="78"/>
      <c r="C43" s="78"/>
      <c r="D43" s="49">
        <f>D14</f>
        <v>0</v>
      </c>
      <c r="E43" s="101" t="s">
        <v>45</v>
      </c>
      <c r="F43" s="102" t="s">
        <v>8</v>
      </c>
      <c r="G43" s="103"/>
      <c r="H43" s="103"/>
      <c r="I43" s="239">
        <f>'Rider Rates'!$B$85</f>
        <v>0</v>
      </c>
      <c r="J43" s="239">
        <f>SUM(G43:I43)</f>
        <v>0</v>
      </c>
      <c r="K43" s="104" t="s">
        <v>42</v>
      </c>
      <c r="L43" s="105"/>
      <c r="M43" s="105"/>
      <c r="N43" s="87">
        <f>ROUND($D43*I43,2)</f>
        <v>0</v>
      </c>
      <c r="O43" s="209">
        <f>SUM(L43:N43)</f>
        <v>0</v>
      </c>
      <c r="P43" s="245">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80</v>
      </c>
      <c r="B44" s="78"/>
      <c r="C44" s="78"/>
      <c r="D44" s="208">
        <f>$N$29</f>
        <v>825</v>
      </c>
      <c r="E44" s="101" t="s">
        <v>121</v>
      </c>
      <c r="F44" s="102" t="s">
        <v>8</v>
      </c>
      <c r="G44" s="111"/>
      <c r="H44" s="112"/>
      <c r="I44" s="120">
        <f>'Rider Rates'!$B$89</f>
        <v>4.94232E-2</v>
      </c>
      <c r="J44" s="120">
        <f>SUM(H44:I44)</f>
        <v>4.94232E-2</v>
      </c>
      <c r="K44" s="104"/>
      <c r="L44" s="105"/>
      <c r="M44" s="105"/>
      <c r="N44" s="105">
        <f>ROUND(N$29*I44,2)</f>
        <v>40.770000000000003</v>
      </c>
      <c r="O44" s="209">
        <f t="shared" si="1"/>
        <v>40.770000000000003</v>
      </c>
      <c r="P44" s="245">
        <f>'Rider Rates'!$D$89</f>
        <v>45562</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5">
      <c r="A45" s="99" t="s">
        <v>81</v>
      </c>
      <c r="B45" s="78"/>
      <c r="C45" s="78"/>
      <c r="D45" s="208">
        <f>$N$29</f>
        <v>825</v>
      </c>
      <c r="E45" s="101" t="s">
        <v>121</v>
      </c>
      <c r="F45" s="102" t="s">
        <v>8</v>
      </c>
      <c r="G45" s="114"/>
      <c r="H45" s="115"/>
      <c r="I45" s="120">
        <f>'Rider Rates'!$B$91</f>
        <v>6.6985699999999995E-2</v>
      </c>
      <c r="J45" s="120">
        <f>SUM(H45:I45)</f>
        <v>6.6985699999999995E-2</v>
      </c>
      <c r="K45" s="104"/>
      <c r="L45" s="105"/>
      <c r="M45" s="105"/>
      <c r="N45" s="105">
        <f>ROUND(N$29*I45,2)</f>
        <v>55.26</v>
      </c>
      <c r="O45" s="209">
        <f t="shared" si="1"/>
        <v>55.26</v>
      </c>
      <c r="P45" s="245">
        <f>'Rider Rates'!$D$91</f>
        <v>45167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5">
      <c r="A46" s="210" t="s">
        <v>214</v>
      </c>
      <c r="B46" s="78"/>
      <c r="C46" s="78"/>
      <c r="D46" s="195"/>
      <c r="E46" s="113" t="s">
        <v>114</v>
      </c>
      <c r="F46" s="106"/>
      <c r="G46" s="114"/>
      <c r="H46" s="115"/>
      <c r="I46" s="196">
        <f>'Rider Rates'!$B$95</f>
        <v>17.12</v>
      </c>
      <c r="J46" s="196">
        <f>SUM(G46:I46)</f>
        <v>17.12</v>
      </c>
      <c r="K46" s="104"/>
      <c r="L46" s="105"/>
      <c r="M46" s="105"/>
      <c r="N46" s="105">
        <f>I46</f>
        <v>17.12</v>
      </c>
      <c r="O46" s="105">
        <f>SUM(L46:N46)</f>
        <v>17.12</v>
      </c>
      <c r="P46" s="245">
        <f>'Rider Rates'!$D$95</f>
        <v>45562</v>
      </c>
    </row>
    <row r="47" spans="1:221" x14ac:dyDescent="0.25">
      <c r="A47" s="99" t="s">
        <v>156</v>
      </c>
      <c r="B47" s="78"/>
      <c r="C47" s="78"/>
      <c r="D47" s="208">
        <f>$N$29</f>
        <v>825</v>
      </c>
      <c r="E47" s="101" t="s">
        <v>121</v>
      </c>
      <c r="F47" s="102" t="s">
        <v>8</v>
      </c>
      <c r="G47" s="114"/>
      <c r="H47" s="115"/>
      <c r="I47" s="120">
        <f>'Rider Rates'!$B$109</f>
        <v>0.211176</v>
      </c>
      <c r="J47" s="120">
        <f>SUM(H47:I47)</f>
        <v>0.211176</v>
      </c>
      <c r="K47" s="104"/>
      <c r="L47" s="105"/>
      <c r="M47" s="105"/>
      <c r="N47" s="105">
        <f>ROUND(N$29*I47,2)</f>
        <v>174.22</v>
      </c>
      <c r="O47" s="105">
        <f t="shared" si="1"/>
        <v>174.22</v>
      </c>
      <c r="P47" s="245">
        <f>'Rider Rates'!$D$109</f>
        <v>45532</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217</v>
      </c>
      <c r="B48" s="78"/>
      <c r="C48" s="78"/>
      <c r="D48" s="195"/>
      <c r="E48" s="113" t="s">
        <v>114</v>
      </c>
      <c r="F48" s="106"/>
      <c r="G48" s="114"/>
      <c r="H48" s="115"/>
      <c r="I48" s="196">
        <f>'Rider Rates'!$B$113</f>
        <v>0</v>
      </c>
      <c r="J48" s="196">
        <f t="shared" ref="J48:J54" si="2">SUM(G48:I48)</f>
        <v>0</v>
      </c>
      <c r="K48" s="104"/>
      <c r="L48" s="105"/>
      <c r="M48" s="105"/>
      <c r="N48" s="105">
        <f>I48</f>
        <v>0</v>
      </c>
      <c r="O48" s="105">
        <f t="shared" ref="O48:O54" si="3">SUM(L48:N48)</f>
        <v>0</v>
      </c>
      <c r="P48" s="245">
        <f>'Rider Rates'!$D$113</f>
        <v>44894</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225</v>
      </c>
      <c r="B49" s="78"/>
      <c r="C49" s="78"/>
      <c r="D49" s="195"/>
      <c r="E49" s="113" t="s">
        <v>114</v>
      </c>
      <c r="F49" s="106"/>
      <c r="G49" s="114"/>
      <c r="H49" s="115"/>
      <c r="I49" s="258">
        <f>'Rider Rates'!B126</f>
        <v>4.84</v>
      </c>
      <c r="J49" s="196">
        <f t="shared" si="2"/>
        <v>4.84</v>
      </c>
      <c r="K49" s="104"/>
      <c r="L49" s="105"/>
      <c r="M49" s="105"/>
      <c r="N49" s="260">
        <f>I49</f>
        <v>4.84</v>
      </c>
      <c r="O49" s="105">
        <f t="shared" si="3"/>
        <v>4.84</v>
      </c>
      <c r="P49" s="245">
        <f>'Rider Rates'!D126</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216</v>
      </c>
      <c r="B50" s="78"/>
      <c r="C50" s="78"/>
      <c r="D50" s="1">
        <f>IF($C$16&lt;1,0,$C$16)</f>
        <v>0</v>
      </c>
      <c r="E50" s="101" t="s">
        <v>41</v>
      </c>
      <c r="F50" s="249" t="s">
        <v>8</v>
      </c>
      <c r="G50" s="165"/>
      <c r="H50" s="165"/>
      <c r="I50" s="251">
        <f>'Rider Rates'!B122</f>
        <v>-6.2E-4</v>
      </c>
      <c r="J50" s="251">
        <f t="shared" si="2"/>
        <v>-6.2E-4</v>
      </c>
      <c r="K50" s="104" t="s">
        <v>42</v>
      </c>
      <c r="L50" s="105"/>
      <c r="M50" s="105"/>
      <c r="N50" s="105">
        <f>D50*I50</f>
        <v>0</v>
      </c>
      <c r="O50" s="105">
        <f t="shared" si="3"/>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241</v>
      </c>
      <c r="B51" s="78"/>
      <c r="C51" s="78"/>
      <c r="D51" s="100">
        <f>IF(C16&lt;0,0,IF(C16&gt;833000,833000,C16))</f>
        <v>0</v>
      </c>
      <c r="E51" s="101" t="s">
        <v>41</v>
      </c>
      <c r="F51" s="102" t="s">
        <v>8</v>
      </c>
      <c r="G51" s="265"/>
      <c r="H51" s="265"/>
      <c r="I51" s="265">
        <f>'Rider Rates'!$B$130</f>
        <v>2.9050000000000001E-4</v>
      </c>
      <c r="J51" s="265">
        <f t="shared" si="2"/>
        <v>2.9050000000000001E-4</v>
      </c>
      <c r="K51" s="104" t="s">
        <v>42</v>
      </c>
      <c r="L51" s="266"/>
      <c r="M51" s="266"/>
      <c r="N51" s="266">
        <f>IF(D51*J51&gt;'Rider Rates'!$C$130,'Rider Rates'!$C$130,D51*J51)</f>
        <v>0</v>
      </c>
      <c r="O51" s="266">
        <f t="shared" si="3"/>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242</v>
      </c>
      <c r="B52" s="78"/>
      <c r="C52" s="78"/>
      <c r="D52" s="123">
        <f>IF(C16&gt;833000,C16-833000,0)</f>
        <v>0</v>
      </c>
      <c r="E52" s="101" t="s">
        <v>41</v>
      </c>
      <c r="F52" s="102" t="s">
        <v>8</v>
      </c>
      <c r="G52" s="265"/>
      <c r="H52" s="265"/>
      <c r="I52" s="265">
        <f>'Rider Rates'!$B$131</f>
        <v>0</v>
      </c>
      <c r="J52" s="265">
        <f t="shared" si="2"/>
        <v>0</v>
      </c>
      <c r="K52" s="104" t="s">
        <v>42</v>
      </c>
      <c r="L52" s="266"/>
      <c r="M52" s="266"/>
      <c r="N52" s="266">
        <f>D52*J52</f>
        <v>0</v>
      </c>
      <c r="O52" s="266">
        <f t="shared" si="3"/>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250</v>
      </c>
      <c r="B53" s="78"/>
      <c r="C53" s="78"/>
      <c r="D53" s="100">
        <f>D16</f>
        <v>0</v>
      </c>
      <c r="E53" s="101" t="s">
        <v>41</v>
      </c>
      <c r="F53" s="249" t="s">
        <v>8</v>
      </c>
      <c r="G53" s="103"/>
      <c r="H53" s="103"/>
      <c r="I53" s="103">
        <f>'Rider Rates'!$B$137</f>
        <v>0</v>
      </c>
      <c r="J53" s="237">
        <f t="shared" si="2"/>
        <v>0</v>
      </c>
      <c r="K53" s="104" t="s">
        <v>42</v>
      </c>
      <c r="L53" s="105"/>
      <c r="M53" s="105"/>
      <c r="N53" s="105">
        <f>D53*J53</f>
        <v>0</v>
      </c>
      <c r="O53" s="105">
        <f t="shared" si="3"/>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249</v>
      </c>
      <c r="B54" s="78"/>
      <c r="C54" s="78"/>
      <c r="D54" s="100"/>
      <c r="E54" s="101" t="s">
        <v>114</v>
      </c>
      <c r="F54" s="102" t="s">
        <v>8</v>
      </c>
      <c r="G54" s="263"/>
      <c r="H54" s="263"/>
      <c r="I54" s="263">
        <f>'Rider Rates'!$B$142</f>
        <v>0</v>
      </c>
      <c r="J54" s="263">
        <f t="shared" si="2"/>
        <v>0</v>
      </c>
      <c r="K54" s="104"/>
      <c r="L54" s="209"/>
      <c r="M54" s="209"/>
      <c r="N54" s="209">
        <f>J54</f>
        <v>0</v>
      </c>
      <c r="O54" s="209">
        <f t="shared" si="3"/>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179" t="s">
        <v>70</v>
      </c>
      <c r="B56" s="148"/>
      <c r="C56" s="148"/>
      <c r="D56" s="180"/>
      <c r="E56" s="181"/>
      <c r="F56" s="182"/>
      <c r="G56" s="182"/>
      <c r="H56" s="182"/>
      <c r="I56" s="182"/>
      <c r="J56" s="182"/>
      <c r="K56" s="183"/>
      <c r="L56" s="169">
        <f>SUM(L33:L55)</f>
        <v>0</v>
      </c>
      <c r="M56" s="169">
        <f>SUM(M33:M55)</f>
        <v>0</v>
      </c>
      <c r="N56" s="169">
        <f>SUM(N33:N55)</f>
        <v>292.20999999999998</v>
      </c>
      <c r="O56" s="169">
        <f>SUM(O33:O55)</f>
        <v>292.20999999999998</v>
      </c>
      <c r="P56" s="184"/>
    </row>
    <row r="57" spans="1:221" x14ac:dyDescent="0.25">
      <c r="A57" s="37"/>
      <c r="D57" s="1"/>
      <c r="E57" s="35"/>
      <c r="F57" s="4"/>
      <c r="G57" s="42"/>
      <c r="H57" s="42"/>
      <c r="I57" s="42"/>
      <c r="J57" s="42"/>
      <c r="K57" s="36"/>
      <c r="L57" s="36"/>
      <c r="M57" s="36"/>
      <c r="N57" s="36"/>
      <c r="O57" s="34"/>
      <c r="P57" s="36"/>
    </row>
    <row r="58" spans="1:221" x14ac:dyDescent="0.25">
      <c r="A58" s="81" t="s">
        <v>71</v>
      </c>
      <c r="B58" s="92"/>
      <c r="C58" s="92"/>
      <c r="D58" s="92"/>
      <c r="E58" s="92"/>
      <c r="F58" s="92"/>
      <c r="G58" s="92"/>
      <c r="H58" s="92"/>
      <c r="I58" s="92"/>
      <c r="J58" s="92"/>
      <c r="K58" s="92"/>
      <c r="L58" s="98">
        <f>L29+L56</f>
        <v>0</v>
      </c>
      <c r="M58" s="98">
        <f>M29+M56</f>
        <v>0</v>
      </c>
      <c r="N58" s="98">
        <f>N29+N56</f>
        <v>1117.21</v>
      </c>
      <c r="O58" s="98">
        <f>O29+O56</f>
        <v>1117.21</v>
      </c>
      <c r="P58" s="98"/>
    </row>
    <row r="59" spans="1:221" x14ac:dyDescent="0.25">
      <c r="A59" s="37"/>
      <c r="B59" s="37"/>
      <c r="C59" s="37"/>
      <c r="D59" s="37"/>
      <c r="E59" s="37"/>
      <c r="F59" s="37"/>
      <c r="G59" s="37"/>
      <c r="H59" s="37"/>
      <c r="I59" s="37"/>
      <c r="J59" s="37"/>
      <c r="K59" s="37"/>
      <c r="L59" s="37"/>
      <c r="M59" s="37"/>
      <c r="N59" s="37"/>
      <c r="O59" s="40"/>
      <c r="P59" s="40"/>
    </row>
    <row r="60" spans="1:221" x14ac:dyDescent="0.25">
      <c r="A60" s="37" t="s">
        <v>37</v>
      </c>
      <c r="B60" s="37"/>
      <c r="C60" s="37"/>
      <c r="D60" s="37"/>
      <c r="E60" s="37"/>
      <c r="F60" s="37"/>
      <c r="G60" s="37"/>
      <c r="H60" s="37"/>
      <c r="I60" s="37"/>
      <c r="J60" s="37"/>
      <c r="K60" s="37"/>
      <c r="L60" s="37"/>
      <c r="M60" s="37"/>
      <c r="N60" s="37"/>
      <c r="O60" s="45">
        <f>O25+O27+O56</f>
        <v>1117.21</v>
      </c>
      <c r="P60" s="245">
        <v>40967</v>
      </c>
    </row>
    <row r="61" spans="1:221" x14ac:dyDescent="0.25">
      <c r="A61" s="37"/>
      <c r="B61" s="37"/>
      <c r="C61" s="37"/>
      <c r="D61" s="37"/>
      <c r="E61" s="37"/>
      <c r="F61" s="37"/>
      <c r="G61" s="46"/>
      <c r="H61" s="46"/>
      <c r="I61" s="46"/>
      <c r="J61" s="46"/>
      <c r="K61" s="36"/>
      <c r="L61" s="36"/>
      <c r="M61" s="36"/>
      <c r="N61" s="36"/>
      <c r="O61" s="40"/>
    </row>
    <row r="62" spans="1:221" x14ac:dyDescent="0.25">
      <c r="A62" s="41" t="s">
        <v>116</v>
      </c>
      <c r="B62" s="37"/>
      <c r="C62" s="37"/>
      <c r="D62" s="37"/>
      <c r="E62" s="37"/>
      <c r="F62" s="37"/>
      <c r="G62" s="46"/>
      <c r="H62" s="46"/>
      <c r="I62" s="46"/>
      <c r="J62" s="46"/>
      <c r="K62" s="36"/>
      <c r="L62" s="36"/>
      <c r="M62" s="36"/>
      <c r="N62" s="36"/>
      <c r="O62" s="138">
        <f>MAX($O$58,$O$60)</f>
        <v>1117.21</v>
      </c>
    </row>
    <row r="63" spans="1:221" x14ac:dyDescent="0.25">
      <c r="A63" s="37"/>
      <c r="B63" s="37"/>
      <c r="C63" s="37"/>
      <c r="D63" s="37"/>
      <c r="E63" s="37"/>
      <c r="F63" s="37"/>
      <c r="G63" s="46"/>
      <c r="H63" s="46"/>
      <c r="I63" s="46"/>
      <c r="J63" s="46"/>
      <c r="K63" s="36"/>
      <c r="L63" s="36"/>
      <c r="M63" s="36"/>
      <c r="N63" s="36"/>
      <c r="O63" s="40"/>
    </row>
    <row r="64" spans="1:221" x14ac:dyDescent="0.25">
      <c r="A64" s="37"/>
      <c r="B64" s="37"/>
      <c r="C64" s="37"/>
      <c r="D64" s="37"/>
      <c r="E64" s="37"/>
      <c r="F64" s="37"/>
      <c r="G64" s="96" t="s">
        <v>85</v>
      </c>
      <c r="H64" s="46"/>
      <c r="I64" s="37"/>
      <c r="J64" s="46"/>
      <c r="K64" s="36"/>
      <c r="L64" s="191"/>
      <c r="M64" s="191"/>
      <c r="N64" s="191"/>
      <c r="O64" s="191">
        <f>ROUND(IF($C$16&lt;1,0,$O$62/($C$16*100)*10000),2)</f>
        <v>0</v>
      </c>
      <c r="P64" s="37" t="s">
        <v>86</v>
      </c>
    </row>
    <row r="65" spans="1:16" x14ac:dyDescent="0.25">
      <c r="A65" s="37"/>
      <c r="B65" s="37"/>
      <c r="C65" s="37"/>
      <c r="D65" s="37"/>
      <c r="E65" s="37"/>
      <c r="F65" s="37"/>
      <c r="G65" s="242" t="s">
        <v>198</v>
      </c>
      <c r="H65" s="136"/>
      <c r="I65" s="133"/>
      <c r="J65" s="136"/>
      <c r="K65" s="137"/>
      <c r="L65" s="78"/>
      <c r="M65" s="78"/>
      <c r="N65" s="78"/>
      <c r="O65" s="243">
        <f>ROUND(IF($C$16&lt;1,0,(L58)/($C$16*100)*10000),2)</f>
        <v>0</v>
      </c>
      <c r="P65" s="25" t="s">
        <v>86</v>
      </c>
    </row>
    <row r="66" spans="1:16" x14ac:dyDescent="0.25">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Info'!$C$33=TRUE,"Notice: Billing Charge does not include Self Assessed KWH Tax"," ")</f>
        <v xml:space="preserve"> </v>
      </c>
      <c r="E67" s="3"/>
      <c r="F67" s="4"/>
      <c r="G67" s="121"/>
      <c r="H67" s="55"/>
      <c r="I67" s="34"/>
      <c r="J67" s="55"/>
      <c r="K67" s="37"/>
      <c r="L67" s="37"/>
      <c r="M67" s="37"/>
      <c r="N67" s="34"/>
    </row>
    <row r="68" spans="1:16" x14ac:dyDescent="0.25">
      <c r="A68" s="37"/>
      <c r="B68" s="37"/>
      <c r="C68" s="37"/>
      <c r="D68" s="54"/>
      <c r="E68" s="3"/>
      <c r="F68" s="4"/>
      <c r="G68" s="55"/>
      <c r="H68" s="55"/>
      <c r="I68" s="93"/>
      <c r="J68" s="55"/>
      <c r="K68" s="37"/>
      <c r="L68" s="37"/>
      <c r="M68" s="37"/>
      <c r="N68" s="37"/>
      <c r="O68" s="40"/>
    </row>
    <row r="69" spans="1:16" x14ac:dyDescent="0.25">
      <c r="A69" s="37"/>
      <c r="B69" s="37"/>
      <c r="C69" s="37"/>
      <c r="D69" s="54"/>
      <c r="E69" s="3"/>
      <c r="F69" s="4"/>
      <c r="G69" s="55"/>
      <c r="H69" s="55"/>
      <c r="I69" s="55"/>
      <c r="J69" s="55"/>
      <c r="K69" s="37"/>
      <c r="L69" s="37"/>
      <c r="M69" s="37"/>
      <c r="N69" s="37"/>
      <c r="O69" s="40"/>
    </row>
    <row r="70" spans="1:16" x14ac:dyDescent="0.25">
      <c r="A70" s="41"/>
      <c r="B70" s="37"/>
      <c r="C70" s="37"/>
      <c r="D70" s="37"/>
      <c r="E70" s="37"/>
      <c r="F70" s="37"/>
      <c r="G70" s="37"/>
      <c r="H70" s="37"/>
      <c r="J70" s="37"/>
      <c r="K70" s="37"/>
      <c r="L70" s="40"/>
      <c r="M70" s="40"/>
      <c r="N70" s="40"/>
      <c r="O70" s="138"/>
    </row>
    <row r="71" spans="1:16" x14ac:dyDescent="0.25">
      <c r="B71" s="37"/>
      <c r="C71" s="37"/>
      <c r="D71" s="37"/>
      <c r="E71" s="37"/>
      <c r="F71" s="37"/>
      <c r="G71" s="96"/>
      <c r="H71" s="37"/>
      <c r="I71" s="37"/>
      <c r="J71" s="37"/>
      <c r="K71" s="37"/>
      <c r="L71" s="60"/>
      <c r="M71" s="60"/>
      <c r="N71" s="60"/>
      <c r="O71" s="130"/>
      <c r="P71" s="37"/>
    </row>
    <row r="72" spans="1:16" x14ac:dyDescent="0.25">
      <c r="G72" s="133"/>
      <c r="H72" s="56"/>
      <c r="I72" s="133"/>
      <c r="J72" s="56"/>
      <c r="K72" s="56"/>
      <c r="L72" s="134"/>
      <c r="M72" s="134"/>
      <c r="N72" s="134"/>
      <c r="O72" s="135"/>
      <c r="P72" s="25"/>
    </row>
    <row r="74" spans="1:16" x14ac:dyDescent="0.25">
      <c r="A74" s="550"/>
    </row>
    <row r="75" spans="1:16" x14ac:dyDescent="0.25">
      <c r="A75" s="550"/>
    </row>
    <row r="76" spans="1:16" x14ac:dyDescent="0.25">
      <c r="A76" s="550"/>
    </row>
    <row r="77" spans="1:16" x14ac:dyDescent="0.25">
      <c r="A77" s="550"/>
    </row>
    <row r="78" spans="1:16" x14ac:dyDescent="0.25">
      <c r="A78" s="550"/>
    </row>
    <row r="79" spans="1:16" x14ac:dyDescent="0.25">
      <c r="A79" s="550"/>
    </row>
    <row r="80" spans="1:16" x14ac:dyDescent="0.25">
      <c r="A80" s="550"/>
    </row>
    <row r="81" spans="1:1" x14ac:dyDescent="0.25">
      <c r="A81" s="550"/>
    </row>
    <row r="82" spans="1:1" x14ac:dyDescent="0.25">
      <c r="A82" s="550"/>
    </row>
    <row r="83" spans="1:1" x14ac:dyDescent="0.25">
      <c r="A83" s="550"/>
    </row>
    <row r="84" spans="1:1" x14ac:dyDescent="0.25">
      <c r="A84" s="550"/>
    </row>
    <row r="85" spans="1:1" x14ac:dyDescent="0.25">
      <c r="A85" s="550"/>
    </row>
    <row r="86" spans="1:1" x14ac:dyDescent="0.25">
      <c r="A86" s="550"/>
    </row>
    <row r="87" spans="1:1" x14ac:dyDescent="0.25">
      <c r="A87" s="550"/>
    </row>
    <row r="88" spans="1:1" x14ac:dyDescent="0.25">
      <c r="A88" s="550"/>
    </row>
  </sheetData>
  <sheetProtection algorithmName="SHA-512" hashValue="oykhgbyXwGIkfo862N+p+Ildv2m7VeKU54N8evxXRUNAOwwGtfkUQkMEc/SIT7S1nw+NPGJOYVlWPjuQIB8bIQ==" saltValue="7KLZF1JbFW4+5tO+rEYGgQ==" spinCount="100000" sheet="1" objects="1" scenarios="1"/>
  <mergeCells count="26">
    <mergeCell ref="A74:A88"/>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Button 1">
              <controlPr defaultSize="0" print="0" autoFill="0" autoPict="0" macro="[0]!Info">
                <anchor moveWithCells="1">
                  <from>
                    <xdr:col>0</xdr:col>
                    <xdr:colOff>30480</xdr:colOff>
                    <xdr:row>0</xdr:row>
                    <xdr:rowOff>30480</xdr:rowOff>
                  </from>
                  <to>
                    <xdr:col>0</xdr:col>
                    <xdr:colOff>373380</xdr:colOff>
                    <xdr:row>1</xdr:row>
                    <xdr:rowOff>30480</xdr:rowOff>
                  </to>
                </anchor>
              </controlPr>
            </control>
          </mc:Choice>
        </mc:AlternateContent>
        <mc:AlternateContent xmlns:mc="http://schemas.openxmlformats.org/markup-compatibility/2006">
          <mc:Choice Requires="x14">
            <control shapeId="83970" r:id="rId5" name="Button 2">
              <controlPr defaultSize="0" print="0" autoFill="0" autoPict="0" macro="[0]!Info">
                <anchor moveWithCells="1">
                  <from>
                    <xdr:col>15</xdr:col>
                    <xdr:colOff>274320</xdr:colOff>
                    <xdr:row>82</xdr:row>
                    <xdr:rowOff>45720</xdr:rowOff>
                  </from>
                  <to>
                    <xdr:col>16</xdr:col>
                    <xdr:colOff>30480</xdr:colOff>
                    <xdr:row>83</xdr:row>
                    <xdr:rowOff>83820</xdr:rowOff>
                  </to>
                </anchor>
              </controlPr>
            </control>
          </mc:Choice>
        </mc:AlternateContent>
        <mc:AlternateContent xmlns:mc="http://schemas.openxmlformats.org/markup-compatibility/2006">
          <mc:Choice Requires="x14">
            <control shapeId="83971" r:id="rId6" name="Button 3">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83972" r:id="rId7" name="Button 4">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83973" r:id="rId8" name="Button 5">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83974" r:id="rId9" name="Button 6">
              <controlPr defaultSize="0" print="0" autoFill="0" autoPict="0" macro="[0]!Info">
                <anchor moveWithCells="1">
                  <from>
                    <xdr:col>0</xdr:col>
                    <xdr:colOff>45720</xdr:colOff>
                    <xdr:row>0</xdr:row>
                    <xdr:rowOff>45720</xdr:rowOff>
                  </from>
                  <to>
                    <xdr:col>0</xdr:col>
                    <xdr:colOff>388620</xdr:colOff>
                    <xdr:row>1</xdr:row>
                    <xdr:rowOff>45720</xdr:rowOff>
                  </to>
                </anchor>
              </controlPr>
            </control>
          </mc:Choice>
        </mc:AlternateContent>
        <mc:AlternateContent xmlns:mc="http://schemas.openxmlformats.org/markup-compatibility/2006">
          <mc:Choice Requires="x14">
            <control shapeId="83975" r:id="rId10" name="Button 7">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83976" r:id="rId11" name="Button 8">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83977" r:id="rId12" name="Button 9">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83978" r:id="rId13" name="Button 10">
              <controlPr defaultSize="0" print="0" autoFill="0" autoPict="0" macro="[0]!Info">
                <anchor moveWithCells="1">
                  <from>
                    <xdr:col>47</xdr:col>
                    <xdr:colOff>350520</xdr:colOff>
                    <xdr:row>0</xdr:row>
                    <xdr:rowOff>45720</xdr:rowOff>
                  </from>
                  <to>
                    <xdr:col>48</xdr:col>
                    <xdr:colOff>297180</xdr:colOff>
                    <xdr:row>1</xdr:row>
                    <xdr:rowOff>45720</xdr:rowOff>
                  </to>
                </anchor>
              </controlPr>
            </control>
          </mc:Choice>
        </mc:AlternateContent>
        <mc:AlternateContent xmlns:mc="http://schemas.openxmlformats.org/markup-compatibility/2006">
          <mc:Choice Requires="x14">
            <control shapeId="83979" r:id="rId14" name="Button 11">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83980" r:id="rId15" name="Button 12">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83981" r:id="rId16" name="Button 13">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83982" r:id="rId17" name="Button 14">
              <controlPr defaultSize="0" print="0" autoFill="0" autoPict="0" macro="[0]!Info">
                <anchor moveWithCells="1">
                  <from>
                    <xdr:col>63</xdr:col>
                    <xdr:colOff>259080</xdr:colOff>
                    <xdr:row>0</xdr:row>
                    <xdr:rowOff>45720</xdr:rowOff>
                  </from>
                  <to>
                    <xdr:col>64</xdr:col>
                    <xdr:colOff>182880</xdr:colOff>
                    <xdr:row>1</xdr:row>
                    <xdr:rowOff>45720</xdr:rowOff>
                  </to>
                </anchor>
              </controlPr>
            </control>
          </mc:Choice>
        </mc:AlternateContent>
        <mc:AlternateContent xmlns:mc="http://schemas.openxmlformats.org/markup-compatibility/2006">
          <mc:Choice Requires="x14">
            <control shapeId="83983" r:id="rId18" name="Button 15">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83984" r:id="rId19" name="Button 16">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83985" r:id="rId20" name="Button 17">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83986" r:id="rId21" name="Button 18">
              <controlPr defaultSize="0" print="0" autoFill="0" autoPict="0" macro="[0]!Info">
                <anchor moveWithCells="1">
                  <from>
                    <xdr:col>79</xdr:col>
                    <xdr:colOff>144780</xdr:colOff>
                    <xdr:row>0</xdr:row>
                    <xdr:rowOff>45720</xdr:rowOff>
                  </from>
                  <to>
                    <xdr:col>80</xdr:col>
                    <xdr:colOff>83820</xdr:colOff>
                    <xdr:row>1</xdr:row>
                    <xdr:rowOff>45720</xdr:rowOff>
                  </to>
                </anchor>
              </controlPr>
            </control>
          </mc:Choice>
        </mc:AlternateContent>
        <mc:AlternateContent xmlns:mc="http://schemas.openxmlformats.org/markup-compatibility/2006">
          <mc:Choice Requires="x14">
            <control shapeId="83987" r:id="rId22" name="Button 19">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83988" r:id="rId23" name="Button 20">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83989" r:id="rId24" name="Button 21">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83990" r:id="rId25" name="Button 22">
              <controlPr defaultSize="0" print="0" autoFill="0" autoPict="0" macro="[0]!Info">
                <anchor moveWithCells="1">
                  <from>
                    <xdr:col>95</xdr:col>
                    <xdr:colOff>45720</xdr:colOff>
                    <xdr:row>0</xdr:row>
                    <xdr:rowOff>45720</xdr:rowOff>
                  </from>
                  <to>
                    <xdr:col>95</xdr:col>
                    <xdr:colOff>388620</xdr:colOff>
                    <xdr:row>1</xdr:row>
                    <xdr:rowOff>45720</xdr:rowOff>
                  </to>
                </anchor>
              </controlPr>
            </control>
          </mc:Choice>
        </mc:AlternateContent>
        <mc:AlternateContent xmlns:mc="http://schemas.openxmlformats.org/markup-compatibility/2006">
          <mc:Choice Requires="x14">
            <control shapeId="83991" r:id="rId26" name="Button 23">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83992" r:id="rId27" name="Button 24">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83993" r:id="rId28" name="Button 25">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83994" r:id="rId29" name="Button 26">
              <controlPr defaultSize="0" print="0" autoFill="0" autoPict="0" macro="[0]!Info">
                <anchor moveWithCells="1">
                  <from>
                    <xdr:col>110</xdr:col>
                    <xdr:colOff>350520</xdr:colOff>
                    <xdr:row>0</xdr:row>
                    <xdr:rowOff>45720</xdr:rowOff>
                  </from>
                  <to>
                    <xdr:col>111</xdr:col>
                    <xdr:colOff>297180</xdr:colOff>
                    <xdr:row>1</xdr:row>
                    <xdr:rowOff>45720</xdr:rowOff>
                  </to>
                </anchor>
              </controlPr>
            </control>
          </mc:Choice>
        </mc:AlternateContent>
        <mc:AlternateContent xmlns:mc="http://schemas.openxmlformats.org/markup-compatibility/2006">
          <mc:Choice Requires="x14">
            <control shapeId="83995" r:id="rId30" name="Button 27">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83996" r:id="rId31" name="Button 28">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83997" r:id="rId32" name="Button 29">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83998" r:id="rId33" name="Button 30">
              <controlPr defaultSize="0" print="0" autoFill="0" autoPict="0" macro="[0]!Info">
                <anchor moveWithCells="1">
                  <from>
                    <xdr:col>126</xdr:col>
                    <xdr:colOff>259080</xdr:colOff>
                    <xdr:row>0</xdr:row>
                    <xdr:rowOff>45720</xdr:rowOff>
                  </from>
                  <to>
                    <xdr:col>127</xdr:col>
                    <xdr:colOff>182880</xdr:colOff>
                    <xdr:row>1</xdr:row>
                    <xdr:rowOff>45720</xdr:rowOff>
                  </to>
                </anchor>
              </controlPr>
            </control>
          </mc:Choice>
        </mc:AlternateContent>
        <mc:AlternateContent xmlns:mc="http://schemas.openxmlformats.org/markup-compatibility/2006">
          <mc:Choice Requires="x14">
            <control shapeId="83999" r:id="rId34" name="Button 31">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84000" r:id="rId35" name="Button 32">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84001" r:id="rId36" name="Button 33">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84002" r:id="rId37" name="Button 34">
              <controlPr defaultSize="0" print="0" autoFill="0" autoPict="0" macro="[0]!Info">
                <anchor moveWithCells="1">
                  <from>
                    <xdr:col>142</xdr:col>
                    <xdr:colOff>152400</xdr:colOff>
                    <xdr:row>0</xdr:row>
                    <xdr:rowOff>45720</xdr:rowOff>
                  </from>
                  <to>
                    <xdr:col>143</xdr:col>
                    <xdr:colOff>83820</xdr:colOff>
                    <xdr:row>1</xdr:row>
                    <xdr:rowOff>45720</xdr:rowOff>
                  </to>
                </anchor>
              </controlPr>
            </control>
          </mc:Choice>
        </mc:AlternateContent>
        <mc:AlternateContent xmlns:mc="http://schemas.openxmlformats.org/markup-compatibility/2006">
          <mc:Choice Requires="x14">
            <control shapeId="84003" r:id="rId38" name="Button 35">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84004" r:id="rId39" name="Button 36">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84005" r:id="rId40" name="Button 37">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84006" r:id="rId41" name="Button 38">
              <controlPr defaultSize="0" print="0" autoFill="0" autoPict="0" macro="[0]!Info">
                <anchor moveWithCells="1">
                  <from>
                    <xdr:col>158</xdr:col>
                    <xdr:colOff>45720</xdr:colOff>
                    <xdr:row>0</xdr:row>
                    <xdr:rowOff>45720</xdr:rowOff>
                  </from>
                  <to>
                    <xdr:col>158</xdr:col>
                    <xdr:colOff>388620</xdr:colOff>
                    <xdr:row>1</xdr:row>
                    <xdr:rowOff>45720</xdr:rowOff>
                  </to>
                </anchor>
              </controlPr>
            </control>
          </mc:Choice>
        </mc:AlternateContent>
        <mc:AlternateContent xmlns:mc="http://schemas.openxmlformats.org/markup-compatibility/2006">
          <mc:Choice Requires="x14">
            <control shapeId="84007" r:id="rId42" name="Button 39">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84008" r:id="rId43" name="Button 40">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84009" r:id="rId44" name="Button 41">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84010" r:id="rId45" name="Button 42">
              <controlPr defaultSize="0" print="0" autoFill="0" autoPict="0" macro="[0]!Info">
                <anchor moveWithCells="1">
                  <from>
                    <xdr:col>173</xdr:col>
                    <xdr:colOff>373380</xdr:colOff>
                    <xdr:row>0</xdr:row>
                    <xdr:rowOff>45720</xdr:rowOff>
                  </from>
                  <to>
                    <xdr:col>174</xdr:col>
                    <xdr:colOff>297180</xdr:colOff>
                    <xdr:row>1</xdr:row>
                    <xdr:rowOff>45720</xdr:rowOff>
                  </to>
                </anchor>
              </controlPr>
            </control>
          </mc:Choice>
        </mc:AlternateContent>
        <mc:AlternateContent xmlns:mc="http://schemas.openxmlformats.org/markup-compatibility/2006">
          <mc:Choice Requires="x14">
            <control shapeId="84011" r:id="rId46" name="Button 43">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84012" r:id="rId47" name="Button 44">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84013" r:id="rId48" name="Button 45">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84014" r:id="rId49" name="Button 46">
              <controlPr defaultSize="0" print="0" autoFill="0" autoPict="0" macro="[0]!Info">
                <anchor moveWithCells="1">
                  <from>
                    <xdr:col>189</xdr:col>
                    <xdr:colOff>259080</xdr:colOff>
                    <xdr:row>0</xdr:row>
                    <xdr:rowOff>45720</xdr:rowOff>
                  </from>
                  <to>
                    <xdr:col>190</xdr:col>
                    <xdr:colOff>182880</xdr:colOff>
                    <xdr:row>1</xdr:row>
                    <xdr:rowOff>45720</xdr:rowOff>
                  </to>
                </anchor>
              </controlPr>
            </control>
          </mc:Choice>
        </mc:AlternateContent>
        <mc:AlternateContent xmlns:mc="http://schemas.openxmlformats.org/markup-compatibility/2006">
          <mc:Choice Requires="x14">
            <control shapeId="84015" r:id="rId50" name="Button 47">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84016" r:id="rId51" name="Button 48">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84017" r:id="rId52" name="Button 49">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84018" r:id="rId53" name="Button 50">
              <controlPr defaultSize="0" print="0" autoFill="0" autoPict="0" macro="[0]!Info">
                <anchor moveWithCells="1">
                  <from>
                    <xdr:col>205</xdr:col>
                    <xdr:colOff>160020</xdr:colOff>
                    <xdr:row>0</xdr:row>
                    <xdr:rowOff>45720</xdr:rowOff>
                  </from>
                  <to>
                    <xdr:col>206</xdr:col>
                    <xdr:colOff>83820</xdr:colOff>
                    <xdr:row>1</xdr:row>
                    <xdr:rowOff>45720</xdr:rowOff>
                  </to>
                </anchor>
              </controlPr>
            </control>
          </mc:Choice>
        </mc:AlternateContent>
        <mc:AlternateContent xmlns:mc="http://schemas.openxmlformats.org/markup-compatibility/2006">
          <mc:Choice Requires="x14">
            <control shapeId="84019" r:id="rId54" name="Button 51">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84020" r:id="rId55" name="Button 52">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84021" r:id="rId56" name="Button 53">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84022" r:id="rId57" name="Button 54">
              <controlPr defaultSize="0" print="0" autoFill="0" autoPict="0" macro="[0]!Info">
                <anchor moveWithCells="1">
                  <from>
                    <xdr:col>221</xdr:col>
                    <xdr:colOff>68580</xdr:colOff>
                    <xdr:row>0</xdr:row>
                    <xdr:rowOff>45720</xdr:rowOff>
                  </from>
                  <to>
                    <xdr:col>221</xdr:col>
                    <xdr:colOff>388620</xdr:colOff>
                    <xdr:row>1</xdr:row>
                    <xdr:rowOff>45720</xdr:rowOff>
                  </to>
                </anchor>
              </controlPr>
            </control>
          </mc:Choice>
        </mc:AlternateContent>
        <mc:AlternateContent xmlns:mc="http://schemas.openxmlformats.org/markup-compatibility/2006">
          <mc:Choice Requires="x14">
            <control shapeId="84023" r:id="rId58" name="Button 55">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84024" r:id="rId59" name="Button 56">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84025" r:id="rId60" name="Button 57">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mc:AlternateContent xmlns:mc="http://schemas.openxmlformats.org/markup-compatibility/2006">
          <mc:Choice Requires="x14">
            <control shapeId="84026" r:id="rId61" name="Button 58">
              <controlPr defaultSize="0" print="0" autoFill="0" autoPict="0" macro="[0]!Info">
                <anchor moveWithCells="1">
                  <from>
                    <xdr:col>236</xdr:col>
                    <xdr:colOff>373380</xdr:colOff>
                    <xdr:row>0</xdr:row>
                    <xdr:rowOff>45720</xdr:rowOff>
                  </from>
                  <to>
                    <xdr:col>237</xdr:col>
                    <xdr:colOff>297180</xdr:colOff>
                    <xdr:row>1</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E89A-B7F5-4EE1-9382-607DAC8B9ADC}">
  <dimension ref="A1:IB66"/>
  <sheetViews>
    <sheetView topLeftCell="A27" zoomScale="85" zoomScaleNormal="85" workbookViewId="0">
      <selection activeCell="J48" sqref="J48"/>
    </sheetView>
  </sheetViews>
  <sheetFormatPr defaultColWidth="8.5546875" defaultRowHeight="13.2" x14ac:dyDescent="0.25"/>
  <cols>
    <col min="1" max="1" width="31" style="426" customWidth="1"/>
    <col min="2" max="2" width="2.109375" style="426" customWidth="1"/>
    <col min="3" max="3" width="21.109375" style="426" customWidth="1"/>
    <col min="4" max="4" width="15.44140625" style="426" customWidth="1"/>
    <col min="5" max="5" width="10.109375" style="426" customWidth="1"/>
    <col min="6" max="6" width="5.5546875" style="426" customWidth="1"/>
    <col min="7" max="8" width="13.44140625" style="426" customWidth="1"/>
    <col min="9" max="9" width="14.5546875" style="426" customWidth="1"/>
    <col min="10" max="10" width="13.44140625" style="426" customWidth="1"/>
    <col min="11" max="11" width="7" style="426" customWidth="1"/>
    <col min="12" max="12" width="15.109375" style="426" customWidth="1"/>
    <col min="13" max="13" width="17.44140625" style="426" bestFit="1" customWidth="1"/>
    <col min="14" max="14" width="16.5546875" style="426" customWidth="1"/>
    <col min="15" max="15" width="19.109375" style="426" bestFit="1" customWidth="1"/>
    <col min="16" max="16" width="12.88671875" style="426" bestFit="1" customWidth="1"/>
    <col min="17" max="17" width="8.5546875" style="426"/>
    <col min="18" max="18" width="9.109375" style="426" hidden="1" customWidth="1"/>
    <col min="19" max="26" width="10.44140625" style="426" hidden="1" customWidth="1"/>
    <col min="27" max="27" width="10.5546875" style="426" hidden="1" customWidth="1"/>
    <col min="28" max="30" width="10.44140625" style="426" hidden="1" customWidth="1"/>
    <col min="31" max="16384" width="8.5546875" style="426"/>
  </cols>
  <sheetData>
    <row r="1" spans="1:30" ht="21" x14ac:dyDescent="0.4">
      <c r="A1" s="576" t="s">
        <v>119</v>
      </c>
      <c r="B1" s="576"/>
      <c r="C1" s="576"/>
      <c r="D1" s="576"/>
      <c r="E1" s="576"/>
      <c r="F1" s="576"/>
      <c r="G1" s="576"/>
      <c r="H1" s="576"/>
      <c r="I1" s="576"/>
      <c r="J1" s="576"/>
      <c r="K1" s="576"/>
      <c r="L1" s="576"/>
      <c r="M1" s="576"/>
      <c r="N1" s="576"/>
      <c r="O1" s="576"/>
      <c r="P1" s="576"/>
    </row>
    <row r="2" spans="1:30" ht="21" x14ac:dyDescent="0.4">
      <c r="A2" s="576" t="s">
        <v>122</v>
      </c>
      <c r="B2" s="576"/>
      <c r="C2" s="576"/>
      <c r="D2" s="576"/>
      <c r="E2" s="576"/>
      <c r="F2" s="576"/>
      <c r="G2" s="576"/>
      <c r="H2" s="576"/>
      <c r="I2" s="576"/>
      <c r="J2" s="576"/>
      <c r="K2" s="576"/>
      <c r="L2" s="576"/>
      <c r="M2" s="576"/>
      <c r="N2" s="576"/>
      <c r="O2" s="576"/>
      <c r="P2" s="576"/>
    </row>
    <row r="3" spans="1:30" ht="17.399999999999999" x14ac:dyDescent="0.3">
      <c r="A3" s="577" t="s">
        <v>332</v>
      </c>
      <c r="B3" s="577"/>
      <c r="C3" s="577"/>
      <c r="D3" s="577"/>
      <c r="E3" s="577"/>
      <c r="F3" s="577"/>
      <c r="G3" s="577"/>
      <c r="H3" s="577"/>
      <c r="I3" s="577"/>
      <c r="J3" s="577"/>
      <c r="K3" s="577"/>
      <c r="L3" s="577"/>
      <c r="M3" s="577"/>
      <c r="N3" s="577"/>
      <c r="O3" s="577"/>
      <c r="P3" s="577"/>
    </row>
    <row r="4" spans="1:30" ht="15.6" x14ac:dyDescent="0.3">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5">
      <c r="A5" s="425"/>
      <c r="B5" s="425"/>
      <c r="C5" s="425"/>
      <c r="D5" s="425"/>
      <c r="E5" s="425"/>
      <c r="F5" s="425"/>
      <c r="G5" s="425"/>
      <c r="H5" s="425" t="s">
        <v>335</v>
      </c>
      <c r="I5" s="425"/>
      <c r="J5" s="425"/>
      <c r="K5" s="425"/>
    </row>
    <row r="6" spans="1:30" x14ac:dyDescent="0.25">
      <c r="A6" s="427">
        <f ca="1">TODAY()</f>
        <v>45588</v>
      </c>
      <c r="B6" s="428"/>
      <c r="C6" s="427"/>
      <c r="D6" s="427"/>
      <c r="E6" s="427"/>
      <c r="F6" s="427"/>
      <c r="G6" s="427"/>
      <c r="H6" s="427"/>
      <c r="I6" s="427"/>
    </row>
    <row r="7" spans="1:30" ht="24.6" x14ac:dyDescent="0.4">
      <c r="A7" s="579"/>
      <c r="B7" s="579"/>
      <c r="C7" s="579"/>
      <c r="D7" s="579"/>
      <c r="E7" s="579"/>
      <c r="F7" s="579"/>
      <c r="G7" s="579"/>
      <c r="H7" s="579"/>
      <c r="I7" s="579"/>
      <c r="J7" s="579"/>
      <c r="K7" s="579"/>
      <c r="L7" s="579"/>
      <c r="M7" s="579"/>
      <c r="N7" s="579"/>
      <c r="O7" s="579"/>
      <c r="P7" s="579"/>
    </row>
    <row r="8" spans="1:30" x14ac:dyDescent="0.25">
      <c r="C8" s="429"/>
      <c r="D8" s="429"/>
      <c r="E8" s="429"/>
      <c r="F8" s="429"/>
      <c r="G8" s="429"/>
      <c r="H8" s="429"/>
      <c r="I8" s="429"/>
      <c r="J8" s="429"/>
      <c r="K8" s="429"/>
    </row>
    <row r="9" spans="1:30" ht="15" x14ac:dyDescent="0.25">
      <c r="A9" s="430" t="s">
        <v>2</v>
      </c>
      <c r="B9" s="431"/>
      <c r="C9" s="432">
        <f>'Customer Info'!B7</f>
        <v>0</v>
      </c>
      <c r="I9" s="433"/>
    </row>
    <row r="10" spans="1:30" ht="15" x14ac:dyDescent="0.25">
      <c r="A10" s="434" t="s">
        <v>26</v>
      </c>
      <c r="B10" s="431"/>
      <c r="C10" s="432">
        <f>'Customer Info'!B8</f>
        <v>0</v>
      </c>
    </row>
    <row r="11" spans="1:30" x14ac:dyDescent="0.25">
      <c r="A11" s="430" t="s">
        <v>3</v>
      </c>
      <c r="B11" s="435">
        <f>'Customer Info'!B9</f>
        <v>11</v>
      </c>
      <c r="C11" s="436" t="str">
        <f>LOOKUP(B11,R11:AD11,R12:AD12)</f>
        <v>November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5">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5">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5">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5">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5">
      <c r="A16" s="442" t="s">
        <v>233</v>
      </c>
      <c r="B16" s="442"/>
      <c r="C16" s="443">
        <f>'Customer Info'!B22</f>
        <v>0</v>
      </c>
      <c r="D16" s="442" t="s">
        <v>41</v>
      </c>
      <c r="E16" s="442"/>
      <c r="F16" s="444"/>
      <c r="G16" s="430" t="s">
        <v>15</v>
      </c>
      <c r="H16" s="442"/>
    </row>
    <row r="17" spans="1:221" x14ac:dyDescent="0.25">
      <c r="A17" s="442" t="s">
        <v>234</v>
      </c>
      <c r="B17" s="442"/>
      <c r="C17" s="443">
        <f>'Customer Info'!B23</f>
        <v>0</v>
      </c>
      <c r="D17" s="445" t="s">
        <v>41</v>
      </c>
      <c r="E17" s="444"/>
      <c r="F17" s="444"/>
      <c r="G17" s="430" t="s">
        <v>15</v>
      </c>
      <c r="H17" s="442"/>
      <c r="I17" s="446" t="s">
        <v>15</v>
      </c>
    </row>
    <row r="19" spans="1:221" x14ac:dyDescent="0.25">
      <c r="A19" s="440" t="s">
        <v>31</v>
      </c>
      <c r="B19" s="441"/>
      <c r="C19" s="441"/>
      <c r="D19" s="441"/>
      <c r="E19" s="441"/>
      <c r="F19" s="441"/>
      <c r="G19" s="572" t="s">
        <v>67</v>
      </c>
      <c r="H19" s="573"/>
      <c r="I19" s="573"/>
      <c r="J19" s="574"/>
      <c r="K19" s="441"/>
      <c r="L19" s="575" t="s">
        <v>68</v>
      </c>
      <c r="M19" s="575"/>
      <c r="N19" s="575"/>
      <c r="O19" s="575"/>
    </row>
    <row r="20" spans="1:221" x14ac:dyDescent="0.25">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5">
      <c r="A21" s="426" t="s">
        <v>32</v>
      </c>
      <c r="G21" s="451"/>
      <c r="H21" s="451"/>
      <c r="I21" s="451">
        <f>'Rider Rates'!B148</f>
        <v>9.4</v>
      </c>
      <c r="J21" s="451">
        <f>SUM(G21:I21)</f>
        <v>9.4</v>
      </c>
      <c r="L21" s="452"/>
      <c r="M21" s="452"/>
      <c r="N21" s="452">
        <f>I21</f>
        <v>9.4</v>
      </c>
      <c r="O21" s="453">
        <f>SUM(L21:N21)</f>
        <v>9.4</v>
      </c>
      <c r="P21" s="454">
        <v>44531</v>
      </c>
    </row>
    <row r="22" spans="1:221" x14ac:dyDescent="0.25">
      <c r="A22" s="455" t="s">
        <v>302</v>
      </c>
      <c r="D22" s="456">
        <f>C15</f>
        <v>0</v>
      </c>
      <c r="E22" s="457" t="s">
        <v>41</v>
      </c>
      <c r="F22" s="458" t="s">
        <v>8</v>
      </c>
      <c r="G22" s="459"/>
      <c r="H22" s="459"/>
      <c r="I22" s="459">
        <f>'Rider Rates'!C148</f>
        <v>2.0634799999999998E-2</v>
      </c>
      <c r="J22" s="459">
        <f>SUM(G22:I22)</f>
        <v>2.0634799999999998E-2</v>
      </c>
      <c r="K22" s="460" t="s">
        <v>42</v>
      </c>
      <c r="L22" s="453"/>
      <c r="M22" s="453"/>
      <c r="N22" s="453">
        <f>IF(C15&lt;0,0,ROUND($D22*I22,2))</f>
        <v>0</v>
      </c>
      <c r="O22" s="453">
        <f>SUM(L22:N22)</f>
        <v>0</v>
      </c>
      <c r="P22" s="454">
        <f>'Rider Rates'!H148</f>
        <v>45444</v>
      </c>
    </row>
    <row r="23" spans="1:221" x14ac:dyDescent="0.25">
      <c r="A23" s="461" t="s">
        <v>50</v>
      </c>
      <c r="B23" s="461"/>
      <c r="C23" s="461"/>
      <c r="D23" s="462"/>
      <c r="E23" s="462"/>
      <c r="F23" s="461"/>
      <c r="G23" s="461"/>
      <c r="H23" s="461"/>
      <c r="I23" s="461"/>
      <c r="J23" s="461"/>
      <c r="K23" s="463"/>
      <c r="L23" s="464"/>
      <c r="M23" s="464"/>
      <c r="N23" s="464">
        <f>SUM(N21:N22)</f>
        <v>9.4</v>
      </c>
      <c r="O23" s="464">
        <f>SUM(O21:O22)</f>
        <v>9.4</v>
      </c>
    </row>
    <row r="24" spans="1:221" x14ac:dyDescent="0.25">
      <c r="A24" s="465"/>
      <c r="B24" s="465"/>
      <c r="C24" s="466"/>
      <c r="D24" s="466"/>
      <c r="E24" s="466"/>
      <c r="F24" s="466"/>
      <c r="G24" s="467"/>
      <c r="H24" s="467"/>
      <c r="I24" s="467"/>
      <c r="J24" s="467"/>
      <c r="K24" s="465"/>
      <c r="L24" s="465"/>
      <c r="M24" s="465"/>
      <c r="N24" s="465"/>
      <c r="O24" s="465"/>
      <c r="P24" s="465"/>
    </row>
    <row r="25" spans="1:221" x14ac:dyDescent="0.25">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5">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5">
      <c r="A27" s="473" t="s">
        <v>78</v>
      </c>
      <c r="B27" s="474"/>
      <c r="C27" s="474"/>
      <c r="D27" s="423">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5">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5">
      <c r="A29" s="473" t="s">
        <v>96</v>
      </c>
      <c r="B29" s="429"/>
      <c r="C29" s="429"/>
      <c r="D29" s="423">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5">
      <c r="A30" s="473" t="s">
        <v>97</v>
      </c>
      <c r="B30" s="429"/>
      <c r="C30" s="429"/>
      <c r="D30" s="423">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5">
      <c r="A31" s="473" t="s">
        <v>98</v>
      </c>
      <c r="B31" s="429"/>
      <c r="C31" s="429"/>
      <c r="D31" s="423">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5">
      <c r="A32" s="428" t="s">
        <v>159</v>
      </c>
      <c r="B32" s="429"/>
      <c r="C32" s="429"/>
      <c r="D32" s="423">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5">
      <c r="A33" s="428" t="s">
        <v>245</v>
      </c>
      <c r="B33" s="429"/>
      <c r="C33" s="429"/>
      <c r="D33" s="424">
        <f>$N$23</f>
        <v>9.4</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5">
      <c r="A34" s="428" t="s">
        <v>194</v>
      </c>
      <c r="B34" s="429"/>
      <c r="C34" s="429"/>
      <c r="D34" s="456">
        <f>'Customer Info'!$B$22+'Customer Info'!$B$23-'Customer Info'!$B$24</f>
        <v>0</v>
      </c>
      <c r="E34" s="457" t="s">
        <v>41</v>
      </c>
      <c r="F34" s="458" t="s">
        <v>8</v>
      </c>
      <c r="G34" s="475"/>
      <c r="H34" s="475"/>
      <c r="I34" s="475"/>
      <c r="J34" s="478">
        <f>SUM(G34:H34)</f>
        <v>0</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5">
      <c r="A35" s="428" t="s">
        <v>164</v>
      </c>
      <c r="B35" s="429"/>
      <c r="C35" s="429"/>
      <c r="D35" s="423">
        <f>$C$16</f>
        <v>0</v>
      </c>
      <c r="E35" s="457" t="s">
        <v>41</v>
      </c>
      <c r="F35" s="458" t="s">
        <v>8</v>
      </c>
      <c r="G35" s="475"/>
      <c r="H35" s="475"/>
      <c r="I35" s="475"/>
      <c r="J35" s="478">
        <f>SUM(G35:H35)</f>
        <v>0</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5">
      <c r="A36" s="428" t="s">
        <v>227</v>
      </c>
      <c r="B36" s="429"/>
      <c r="C36" s="429"/>
      <c r="D36" s="423">
        <f>$C$17</f>
        <v>0</v>
      </c>
      <c r="E36" s="457" t="s">
        <v>41</v>
      </c>
      <c r="F36" s="450" t="s">
        <v>8</v>
      </c>
      <c r="G36" s="475"/>
      <c r="H36" s="475"/>
      <c r="I36" s="475"/>
      <c r="J36" s="478">
        <f>SUM(G36:H36)</f>
        <v>0</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5">
      <c r="A37" s="428" t="s">
        <v>201</v>
      </c>
      <c r="B37" s="429"/>
      <c r="C37" s="429"/>
      <c r="D37" s="423">
        <f>C16+C17</f>
        <v>0</v>
      </c>
      <c r="E37" s="457" t="s">
        <v>41</v>
      </c>
      <c r="F37" s="458" t="s">
        <v>8</v>
      </c>
      <c r="G37" s="475"/>
      <c r="H37" s="475"/>
      <c r="I37" s="475"/>
      <c r="J37" s="478">
        <f>SUM(G37:H37)</f>
        <v>0</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5">
      <c r="A38" s="479" t="s">
        <v>218</v>
      </c>
      <c r="B38" s="429"/>
      <c r="C38" s="429"/>
      <c r="D38" s="423">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5">
      <c r="A39" s="428" t="s">
        <v>197</v>
      </c>
      <c r="B39" s="429"/>
      <c r="C39" s="429"/>
      <c r="D39" s="423">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5">
      <c r="A40" s="473" t="s">
        <v>95</v>
      </c>
      <c r="B40" s="429"/>
      <c r="C40" s="429"/>
      <c r="D40" s="423">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5">
      <c r="A41" s="473" t="s">
        <v>95</v>
      </c>
      <c r="B41" s="429"/>
      <c r="C41" s="429"/>
      <c r="D41" s="423"/>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5">
      <c r="A42" s="473" t="s">
        <v>80</v>
      </c>
      <c r="B42" s="429"/>
      <c r="C42" s="429"/>
      <c r="D42" s="424">
        <f>$N$23</f>
        <v>9.4</v>
      </c>
      <c r="E42" s="457" t="s">
        <v>121</v>
      </c>
      <c r="F42" s="458" t="s">
        <v>8</v>
      </c>
      <c r="G42" s="483"/>
      <c r="H42" s="448"/>
      <c r="I42" s="484">
        <f>'Rider Rates'!$B$89</f>
        <v>4.94232E-2</v>
      </c>
      <c r="J42" s="484">
        <f t="shared" si="0"/>
        <v>4.94232E-2</v>
      </c>
      <c r="K42" s="460"/>
      <c r="L42" s="250"/>
      <c r="M42" s="250"/>
      <c r="N42" s="250">
        <f>ROUND(D42*I42,2)</f>
        <v>0.46</v>
      </c>
      <c r="O42" s="250">
        <f t="shared" si="2"/>
        <v>0.46</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5">
      <c r="A43" s="473" t="s">
        <v>81</v>
      </c>
      <c r="B43" s="429"/>
      <c r="C43" s="429"/>
      <c r="D43" s="424">
        <f>$N$23</f>
        <v>9.4</v>
      </c>
      <c r="E43" s="457" t="s">
        <v>121</v>
      </c>
      <c r="F43" s="458" t="s">
        <v>8</v>
      </c>
      <c r="G43" s="485"/>
      <c r="H43" s="448"/>
      <c r="I43" s="484">
        <f>'Rider Rates'!$B$91</f>
        <v>6.6985699999999995E-2</v>
      </c>
      <c r="J43" s="484">
        <f t="shared" si="0"/>
        <v>6.6985699999999995E-2</v>
      </c>
      <c r="K43" s="460"/>
      <c r="L43" s="250"/>
      <c r="M43" s="250"/>
      <c r="N43" s="250">
        <f>ROUND(D43*I43,2)</f>
        <v>0.63</v>
      </c>
      <c r="O43" s="250">
        <f t="shared" si="2"/>
        <v>0.63</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5">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5">
      <c r="A45" s="428" t="s">
        <v>247</v>
      </c>
      <c r="B45" s="429"/>
      <c r="C45" s="429"/>
      <c r="D45" s="423">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5">
      <c r="A46" s="473" t="s">
        <v>156</v>
      </c>
      <c r="B46" s="429"/>
      <c r="C46" s="429"/>
      <c r="D46" s="424">
        <f>$N$23</f>
        <v>9.4</v>
      </c>
      <c r="E46" s="457" t="s">
        <v>121</v>
      </c>
      <c r="F46" s="458" t="s">
        <v>8</v>
      </c>
      <c r="G46" s="485"/>
      <c r="H46" s="448"/>
      <c r="I46" s="484">
        <f>'Rider Rates'!$B$109</f>
        <v>0.211176</v>
      </c>
      <c r="J46" s="484">
        <f t="shared" si="0"/>
        <v>0.211176</v>
      </c>
      <c r="K46" s="460"/>
      <c r="L46" s="250"/>
      <c r="M46" s="250"/>
      <c r="N46" s="250">
        <f>ROUND(D46*I46,2)</f>
        <v>1.99</v>
      </c>
      <c r="O46" s="250">
        <f t="shared" si="2"/>
        <v>1.99</v>
      </c>
      <c r="P46" s="454">
        <f>'Rider Rates'!$D$109</f>
        <v>45532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5">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5">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5">
      <c r="A49" s="473" t="s">
        <v>157</v>
      </c>
      <c r="B49" s="429"/>
      <c r="C49" s="429"/>
      <c r="D49" s="423">
        <f>C16+C17</f>
        <v>0</v>
      </c>
      <c r="E49" s="457" t="s">
        <v>41</v>
      </c>
      <c r="F49" s="458" t="s">
        <v>8</v>
      </c>
      <c r="G49" s="475"/>
      <c r="H49" s="475"/>
      <c r="I49" s="484"/>
      <c r="J49" s="478">
        <f>SUM(G49:H49)</f>
        <v>0</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5">
      <c r="A50" s="428" t="s">
        <v>216</v>
      </c>
      <c r="B50" s="429"/>
      <c r="C50" s="429"/>
      <c r="D50" s="423">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5">
      <c r="A51" s="429" t="s">
        <v>241</v>
      </c>
      <c r="B51" s="429"/>
      <c r="C51" s="429"/>
      <c r="D51" s="423">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5">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5">
      <c r="A53" s="479" t="s">
        <v>250</v>
      </c>
      <c r="B53" s="429"/>
      <c r="C53" s="429"/>
      <c r="D53" s="423">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5">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5">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5">
      <c r="A56" s="494" t="s">
        <v>70</v>
      </c>
      <c r="B56" s="468"/>
      <c r="C56" s="468"/>
      <c r="D56" s="495"/>
      <c r="E56" s="496"/>
      <c r="F56" s="497"/>
      <c r="G56" s="497"/>
      <c r="H56" s="497"/>
      <c r="I56" s="497"/>
      <c r="J56" s="497"/>
      <c r="K56" s="498"/>
      <c r="L56" s="499">
        <f>SUM(L27:L55)</f>
        <v>0</v>
      </c>
      <c r="M56" s="499">
        <f>SUM(M27:M55)</f>
        <v>0</v>
      </c>
      <c r="N56" s="499">
        <f>SUM(N27:N55)</f>
        <v>25.04</v>
      </c>
      <c r="O56" s="499">
        <f>SUM(O27:O55)</f>
        <v>25.04</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5">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5">
      <c r="A58" s="503" t="s">
        <v>93</v>
      </c>
      <c r="B58" s="438"/>
      <c r="C58" s="438"/>
      <c r="D58" s="438"/>
      <c r="E58" s="438"/>
      <c r="F58" s="438"/>
      <c r="G58" s="438"/>
      <c r="H58" s="438"/>
      <c r="I58" s="438"/>
      <c r="J58" s="438"/>
      <c r="K58" s="438"/>
      <c r="L58" s="504">
        <f>L23+L56</f>
        <v>0</v>
      </c>
      <c r="M58" s="504">
        <f>M23+M56</f>
        <v>0</v>
      </c>
      <c r="N58" s="504">
        <f>N23+N56</f>
        <v>34.44</v>
      </c>
      <c r="O58" s="505">
        <f>O23+O56</f>
        <v>34.44</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5">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5">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5">
      <c r="A61" s="469" t="s">
        <v>92</v>
      </c>
      <c r="B61" s="429"/>
      <c r="C61" s="429"/>
      <c r="D61" s="429"/>
      <c r="E61" s="429"/>
      <c r="F61" s="429"/>
      <c r="G61" s="429"/>
      <c r="H61" s="429"/>
      <c r="I61" s="429"/>
      <c r="J61" s="429"/>
      <c r="K61" s="429"/>
      <c r="L61" s="429"/>
      <c r="M61" s="429"/>
      <c r="N61" s="429"/>
      <c r="O61" s="506">
        <f>O21+O56</f>
        <v>34.44</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5">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5">
      <c r="A63" s="468" t="s">
        <v>116</v>
      </c>
      <c r="O63" s="507">
        <f>IF($D$17&lt;0,O58,IF(O58&gt;O61,O58,O61))</f>
        <v>34.44</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5">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5">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5">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xKqUqMY0R21FmtbsVcYuu0zvJABhdjjTrynh6bV92VNrx1o3Tl66ZaLarlUFde8Lihz5bX+8C1RZSpyIH0f4MA==" saltValue="Ittne6Jr5j4LR1S22+CDy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0945" r:id="rId3" name="Button 1">
              <controlPr defaultSize="0" print="0" autoFill="0" autoPict="0" macro="[0]!Info">
                <anchor moveWithCells="1">
                  <from>
                    <xdr:col>0</xdr:col>
                    <xdr:colOff>38100</xdr:colOff>
                    <xdr:row>0</xdr:row>
                    <xdr:rowOff>30480</xdr:rowOff>
                  </from>
                  <to>
                    <xdr:col>0</xdr:col>
                    <xdr:colOff>381000</xdr:colOff>
                    <xdr:row>1</xdr:row>
                    <xdr:rowOff>0</xdr:rowOff>
                  </to>
                </anchor>
              </controlPr>
            </control>
          </mc:Choice>
        </mc:AlternateContent>
        <mc:AlternateContent xmlns:mc="http://schemas.openxmlformats.org/markup-compatibility/2006">
          <mc:Choice Requires="x14">
            <control shapeId="210946" r:id="rId4" name="Button 2">
              <controlPr defaultSize="0" print="0" autoFill="0" autoPict="0" macro="[0]!Info">
                <anchor moveWithCells="1">
                  <from>
                    <xdr:col>15</xdr:col>
                    <xdr:colOff>190500</xdr:colOff>
                    <xdr:row>73</xdr:row>
                    <xdr:rowOff>45720</xdr:rowOff>
                  </from>
                  <to>
                    <xdr:col>15</xdr:col>
                    <xdr:colOff>541020</xdr:colOff>
                    <xdr:row>74</xdr:row>
                    <xdr:rowOff>106680</xdr:rowOff>
                  </to>
                </anchor>
              </controlPr>
            </control>
          </mc:Choice>
        </mc:AlternateContent>
        <mc:AlternateContent xmlns:mc="http://schemas.openxmlformats.org/markup-compatibility/2006">
          <mc:Choice Requires="x14">
            <control shapeId="210947" r:id="rId5" name="Button 3">
              <controlPr defaultSize="0" print="0" autoFill="0" autoPict="0" macro="[0]!Info">
                <anchor moveWithCells="1">
                  <from>
                    <xdr:col>0</xdr:col>
                    <xdr:colOff>45720</xdr:colOff>
                    <xdr:row>0</xdr:row>
                    <xdr:rowOff>45720</xdr:rowOff>
                  </from>
                  <to>
                    <xdr:col>0</xdr:col>
                    <xdr:colOff>388620</xdr:colOff>
                    <xdr:row>1</xdr:row>
                    <xdr:rowOff>144780</xdr:rowOff>
                  </to>
                </anchor>
              </controlPr>
            </control>
          </mc:Choice>
        </mc:AlternateContent>
        <mc:AlternateContent xmlns:mc="http://schemas.openxmlformats.org/markup-compatibility/2006">
          <mc:Choice Requires="x14">
            <control shapeId="210948" r:id="rId6" name="Button 4">
              <controlPr defaultSize="0" print="0" autoFill="0" autoPict="0" macro="[0]!Info">
                <anchor moveWithCells="1">
                  <from>
                    <xdr:col>0</xdr:col>
                    <xdr:colOff>45720</xdr:colOff>
                    <xdr:row>0</xdr:row>
                    <xdr:rowOff>45720</xdr:rowOff>
                  </from>
                  <to>
                    <xdr:col>0</xdr:col>
                    <xdr:colOff>388620</xdr:colOff>
                    <xdr:row>1</xdr:row>
                    <xdr:rowOff>144780</xdr:rowOff>
                  </to>
                </anchor>
              </controlPr>
            </control>
          </mc:Choice>
        </mc:AlternateContent>
        <mc:AlternateContent xmlns:mc="http://schemas.openxmlformats.org/markup-compatibility/2006">
          <mc:Choice Requires="x14">
            <control shapeId="210949" r:id="rId7" name="Button 5">
              <controlPr defaultSize="0" print="0" autoFill="0" autoPict="0" macro="[0]!Info">
                <anchor moveWithCells="1">
                  <from>
                    <xdr:col>0</xdr:col>
                    <xdr:colOff>45720</xdr:colOff>
                    <xdr:row>0</xdr:row>
                    <xdr:rowOff>45720</xdr:rowOff>
                  </from>
                  <to>
                    <xdr:col>0</xdr:col>
                    <xdr:colOff>388620</xdr:colOff>
                    <xdr:row>1</xdr:row>
                    <xdr:rowOff>144780</xdr:rowOff>
                  </to>
                </anchor>
              </controlPr>
            </control>
          </mc:Choice>
        </mc:AlternateContent>
        <mc:AlternateContent xmlns:mc="http://schemas.openxmlformats.org/markup-compatibility/2006">
          <mc:Choice Requires="x14">
            <control shapeId="210950" r:id="rId8" name="Button 6">
              <controlPr defaultSize="0" print="0" autoFill="0" autoPict="0" macro="[0]!Info">
                <anchor moveWithCells="1">
                  <from>
                    <xdr:col>0</xdr:col>
                    <xdr:colOff>45720</xdr:colOff>
                    <xdr:row>0</xdr:row>
                    <xdr:rowOff>45720</xdr:rowOff>
                  </from>
                  <to>
                    <xdr:col>0</xdr:col>
                    <xdr:colOff>388620</xdr:colOff>
                    <xdr:row>1</xdr:row>
                    <xdr:rowOff>144780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0D32-D0F1-4F93-A845-FAB70AD1B81B}">
  <dimension ref="A1:IB66"/>
  <sheetViews>
    <sheetView topLeftCell="A27" zoomScale="80" zoomScaleNormal="80" workbookViewId="0">
      <selection activeCell="M58" sqref="M58:N58"/>
    </sheetView>
  </sheetViews>
  <sheetFormatPr defaultColWidth="8.5546875" defaultRowHeight="13.2" x14ac:dyDescent="0.25"/>
  <cols>
    <col min="1" max="1" width="31" style="426" customWidth="1"/>
    <col min="2" max="2" width="2.109375" style="426" customWidth="1"/>
    <col min="3" max="3" width="21.109375" style="426" customWidth="1"/>
    <col min="4" max="4" width="15.44140625" style="426" customWidth="1"/>
    <col min="5" max="5" width="10.109375" style="426" customWidth="1"/>
    <col min="6" max="6" width="5.5546875" style="426" customWidth="1"/>
    <col min="7" max="8" width="13.44140625" style="426" customWidth="1"/>
    <col min="9" max="9" width="14.5546875" style="426" customWidth="1"/>
    <col min="10" max="10" width="13.44140625" style="426" customWidth="1"/>
    <col min="11" max="11" width="7" style="426" customWidth="1"/>
    <col min="12" max="12" width="15.109375" style="426" customWidth="1"/>
    <col min="13" max="13" width="17.44140625" style="426" bestFit="1" customWidth="1"/>
    <col min="14" max="14" width="16.5546875" style="426" customWidth="1"/>
    <col min="15" max="15" width="19.109375" style="426" bestFit="1" customWidth="1"/>
    <col min="16" max="16" width="12.88671875" style="426" bestFit="1" customWidth="1"/>
    <col min="17" max="17" width="8.5546875" style="426"/>
    <col min="18" max="18" width="9.109375" style="426" hidden="1" customWidth="1"/>
    <col min="19" max="26" width="10.44140625" style="426" hidden="1" customWidth="1"/>
    <col min="27" max="27" width="10.5546875" style="426" hidden="1" customWidth="1"/>
    <col min="28" max="30" width="10.44140625" style="426" hidden="1" customWidth="1"/>
    <col min="31" max="16384" width="8.5546875" style="426"/>
  </cols>
  <sheetData>
    <row r="1" spans="1:30" ht="21" x14ac:dyDescent="0.4">
      <c r="A1" s="576" t="s">
        <v>119</v>
      </c>
      <c r="B1" s="576"/>
      <c r="C1" s="576"/>
      <c r="D1" s="576"/>
      <c r="E1" s="576"/>
      <c r="F1" s="576"/>
      <c r="G1" s="576"/>
      <c r="H1" s="576"/>
      <c r="I1" s="576"/>
      <c r="J1" s="576"/>
      <c r="K1" s="576"/>
      <c r="L1" s="576"/>
      <c r="M1" s="576"/>
      <c r="N1" s="576"/>
      <c r="O1" s="576"/>
      <c r="P1" s="576"/>
    </row>
    <row r="2" spans="1:30" ht="21" x14ac:dyDescent="0.4">
      <c r="A2" s="576" t="s">
        <v>122</v>
      </c>
      <c r="B2" s="576"/>
      <c r="C2" s="576"/>
      <c r="D2" s="576"/>
      <c r="E2" s="576"/>
      <c r="F2" s="576"/>
      <c r="G2" s="576"/>
      <c r="H2" s="576"/>
      <c r="I2" s="576"/>
      <c r="J2" s="576"/>
      <c r="K2" s="576"/>
      <c r="L2" s="576"/>
      <c r="M2" s="576"/>
      <c r="N2" s="576"/>
      <c r="O2" s="576"/>
      <c r="P2" s="576"/>
    </row>
    <row r="3" spans="1:30" ht="17.399999999999999" x14ac:dyDescent="0.3">
      <c r="A3" s="577" t="s">
        <v>334</v>
      </c>
      <c r="B3" s="577"/>
      <c r="C3" s="577"/>
      <c r="D3" s="577"/>
      <c r="E3" s="577"/>
      <c r="F3" s="577"/>
      <c r="G3" s="577"/>
      <c r="H3" s="577"/>
      <c r="I3" s="577"/>
      <c r="J3" s="577"/>
      <c r="K3" s="577"/>
      <c r="L3" s="577"/>
      <c r="M3" s="577"/>
      <c r="N3" s="577"/>
      <c r="O3" s="577"/>
      <c r="P3" s="577"/>
    </row>
    <row r="4" spans="1:30" ht="15.6" x14ac:dyDescent="0.3">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5">
      <c r="A5" s="425"/>
      <c r="B5" s="425"/>
      <c r="C5" s="425"/>
      <c r="D5" s="425"/>
      <c r="E5" s="425"/>
      <c r="F5" s="425"/>
      <c r="G5" s="425"/>
      <c r="H5" s="425" t="s">
        <v>337</v>
      </c>
      <c r="I5" s="425"/>
      <c r="J5" s="425"/>
      <c r="K5" s="425"/>
    </row>
    <row r="6" spans="1:30" x14ac:dyDescent="0.25">
      <c r="A6" s="427">
        <f ca="1">TODAY()</f>
        <v>45588</v>
      </c>
      <c r="B6" s="428"/>
      <c r="C6" s="427"/>
      <c r="D6" s="427"/>
      <c r="E6" s="427"/>
      <c r="F6" s="427"/>
      <c r="G6" s="427"/>
      <c r="H6" s="427"/>
      <c r="I6" s="427"/>
    </row>
    <row r="7" spans="1:30" ht="24.6" x14ac:dyDescent="0.4">
      <c r="A7" s="579"/>
      <c r="B7" s="579"/>
      <c r="C7" s="579"/>
      <c r="D7" s="579"/>
      <c r="E7" s="579"/>
      <c r="F7" s="579"/>
      <c r="G7" s="579"/>
      <c r="H7" s="579"/>
      <c r="I7" s="579"/>
      <c r="J7" s="579"/>
      <c r="K7" s="579"/>
      <c r="L7" s="579"/>
      <c r="M7" s="579"/>
      <c r="N7" s="579"/>
      <c r="O7" s="579"/>
      <c r="P7" s="579"/>
    </row>
    <row r="8" spans="1:30" x14ac:dyDescent="0.25">
      <c r="C8" s="429"/>
      <c r="D8" s="429"/>
      <c r="E8" s="429"/>
      <c r="F8" s="429"/>
      <c r="G8" s="429"/>
      <c r="H8" s="429"/>
      <c r="I8" s="429"/>
      <c r="J8" s="429"/>
      <c r="K8" s="429"/>
    </row>
    <row r="9" spans="1:30" ht="15" x14ac:dyDescent="0.25">
      <c r="A9" s="430" t="s">
        <v>2</v>
      </c>
      <c r="B9" s="431"/>
      <c r="C9" s="432">
        <f>'Customer Info'!B7</f>
        <v>0</v>
      </c>
      <c r="I9" s="433"/>
    </row>
    <row r="10" spans="1:30" ht="15" x14ac:dyDescent="0.25">
      <c r="A10" s="434" t="s">
        <v>26</v>
      </c>
      <c r="B10" s="431"/>
      <c r="C10" s="432">
        <f>'Customer Info'!B8</f>
        <v>0</v>
      </c>
    </row>
    <row r="11" spans="1:30" x14ac:dyDescent="0.25">
      <c r="A11" s="430" t="s">
        <v>3</v>
      </c>
      <c r="B11" s="435">
        <f>'Customer Info'!B9</f>
        <v>11</v>
      </c>
      <c r="C11" s="436" t="str">
        <f>LOOKUP(B11,R11:AD11,R12:AD12)</f>
        <v>November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5">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5">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5">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5">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5">
      <c r="A16" s="442" t="s">
        <v>233</v>
      </c>
      <c r="B16" s="442"/>
      <c r="C16" s="443">
        <f>'Customer Info'!B22</f>
        <v>0</v>
      </c>
      <c r="D16" s="442" t="s">
        <v>41</v>
      </c>
      <c r="E16" s="442"/>
      <c r="F16" s="444"/>
      <c r="G16" s="430" t="s">
        <v>15</v>
      </c>
      <c r="H16" s="442"/>
    </row>
    <row r="17" spans="1:221" x14ac:dyDescent="0.25">
      <c r="A17" s="442" t="s">
        <v>234</v>
      </c>
      <c r="B17" s="442"/>
      <c r="C17" s="443">
        <f>'Customer Info'!B23</f>
        <v>0</v>
      </c>
      <c r="D17" s="445" t="s">
        <v>41</v>
      </c>
      <c r="E17" s="444"/>
      <c r="F17" s="444"/>
      <c r="G17" s="430" t="s">
        <v>15</v>
      </c>
      <c r="H17" s="442"/>
      <c r="I17" s="446" t="s">
        <v>15</v>
      </c>
    </row>
    <row r="19" spans="1:221" x14ac:dyDescent="0.25">
      <c r="A19" s="440" t="s">
        <v>31</v>
      </c>
      <c r="B19" s="441"/>
      <c r="C19" s="441"/>
      <c r="D19" s="441"/>
      <c r="E19" s="441"/>
      <c r="F19" s="441"/>
      <c r="G19" s="572" t="s">
        <v>67</v>
      </c>
      <c r="H19" s="573"/>
      <c r="I19" s="573"/>
      <c r="J19" s="574"/>
      <c r="K19" s="441"/>
      <c r="L19" s="575" t="s">
        <v>68</v>
      </c>
      <c r="M19" s="575"/>
      <c r="N19" s="575"/>
      <c r="O19" s="575"/>
    </row>
    <row r="20" spans="1:221" x14ac:dyDescent="0.25">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5">
      <c r="A21" s="426" t="s">
        <v>32</v>
      </c>
      <c r="G21" s="451"/>
      <c r="H21" s="451"/>
      <c r="I21" s="451">
        <f>'Rider Rates'!B149</f>
        <v>138.5</v>
      </c>
      <c r="J21" s="451">
        <f>SUM(G21:I21)</f>
        <v>138.5</v>
      </c>
      <c r="L21" s="452"/>
      <c r="M21" s="452"/>
      <c r="N21" s="452">
        <f>I21</f>
        <v>138.5</v>
      </c>
      <c r="O21" s="453">
        <f>SUM(L21:N21)</f>
        <v>138.5</v>
      </c>
      <c r="P21" s="454">
        <v>44531</v>
      </c>
    </row>
    <row r="22" spans="1:221" x14ac:dyDescent="0.25">
      <c r="A22" s="455" t="s">
        <v>302</v>
      </c>
      <c r="D22" s="456">
        <f>C15</f>
        <v>0</v>
      </c>
      <c r="E22" s="457" t="s">
        <v>41</v>
      </c>
      <c r="F22" s="458" t="s">
        <v>8</v>
      </c>
      <c r="G22" s="459"/>
      <c r="H22" s="459"/>
      <c r="I22" s="459">
        <f>'Rider Rates'!C149</f>
        <v>1.3832199999999999E-2</v>
      </c>
      <c r="J22" s="459">
        <f>SUM(G22:I22)</f>
        <v>1.3832199999999999E-2</v>
      </c>
      <c r="K22" s="460" t="s">
        <v>42</v>
      </c>
      <c r="L22" s="453"/>
      <c r="M22" s="453"/>
      <c r="N22" s="453">
        <f>IF(C15&lt;0,0,ROUND($D22*I22,2))</f>
        <v>0</v>
      </c>
      <c r="O22" s="453">
        <f>SUM(L22:N22)</f>
        <v>0</v>
      </c>
      <c r="P22" s="454">
        <f>'Rider Rates'!H149</f>
        <v>45444</v>
      </c>
    </row>
    <row r="23" spans="1:221" x14ac:dyDescent="0.25">
      <c r="A23" s="461" t="s">
        <v>50</v>
      </c>
      <c r="B23" s="461"/>
      <c r="C23" s="461"/>
      <c r="D23" s="462"/>
      <c r="E23" s="462"/>
      <c r="F23" s="461"/>
      <c r="G23" s="461"/>
      <c r="H23" s="461"/>
      <c r="I23" s="461"/>
      <c r="J23" s="461"/>
      <c r="K23" s="463"/>
      <c r="L23" s="464"/>
      <c r="M23" s="464"/>
      <c r="N23" s="464">
        <f>SUM(N21:N22)</f>
        <v>138.5</v>
      </c>
      <c r="O23" s="464">
        <f>SUM(O21:O22)</f>
        <v>138.5</v>
      </c>
    </row>
    <row r="24" spans="1:221" x14ac:dyDescent="0.25">
      <c r="A24" s="465"/>
      <c r="B24" s="465"/>
      <c r="C24" s="466"/>
      <c r="D24" s="466"/>
      <c r="E24" s="466"/>
      <c r="F24" s="466"/>
      <c r="G24" s="467"/>
      <c r="H24" s="467"/>
      <c r="I24" s="467"/>
      <c r="J24" s="467"/>
      <c r="K24" s="465"/>
      <c r="L24" s="465"/>
      <c r="M24" s="465"/>
      <c r="N24" s="465"/>
      <c r="O24" s="465"/>
      <c r="P24" s="465"/>
    </row>
    <row r="25" spans="1:221" x14ac:dyDescent="0.25">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5">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5">
      <c r="A27" s="473" t="s">
        <v>78</v>
      </c>
      <c r="B27" s="474"/>
      <c r="C27" s="474"/>
      <c r="D27" s="456">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5">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5">
      <c r="A29" s="473" t="s">
        <v>96</v>
      </c>
      <c r="B29" s="429"/>
      <c r="C29" s="429"/>
      <c r="D29" s="456">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5">
      <c r="A30" s="473" t="s">
        <v>97</v>
      </c>
      <c r="B30" s="429"/>
      <c r="C30" s="429"/>
      <c r="D30" s="456">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5">
      <c r="A31" s="473" t="s">
        <v>98</v>
      </c>
      <c r="B31" s="429"/>
      <c r="C31" s="429"/>
      <c r="D31" s="456">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5">
      <c r="A32" s="428" t="s">
        <v>159</v>
      </c>
      <c r="B32" s="429"/>
      <c r="C32" s="429"/>
      <c r="D32" s="456">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5">
      <c r="A33" s="428" t="s">
        <v>245</v>
      </c>
      <c r="B33" s="429"/>
      <c r="C33" s="429"/>
      <c r="D33" s="424">
        <f>$N$23</f>
        <v>138.5</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5">
      <c r="A34" s="428" t="s">
        <v>194</v>
      </c>
      <c r="B34" s="429"/>
      <c r="C34" s="429"/>
      <c r="D34" s="456">
        <f>C15</f>
        <v>0</v>
      </c>
      <c r="E34" s="457" t="s">
        <v>41</v>
      </c>
      <c r="F34" s="458" t="s">
        <v>8</v>
      </c>
      <c r="G34" s="475"/>
      <c r="H34" s="475"/>
      <c r="I34" s="475"/>
      <c r="J34" s="478">
        <f>SUM(G34:H34)</f>
        <v>0</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5">
      <c r="A35" s="428" t="s">
        <v>164</v>
      </c>
      <c r="B35" s="429"/>
      <c r="C35" s="429"/>
      <c r="D35" s="456">
        <f>C16</f>
        <v>0</v>
      </c>
      <c r="E35" s="457" t="s">
        <v>41</v>
      </c>
      <c r="F35" s="458" t="s">
        <v>8</v>
      </c>
      <c r="G35" s="475"/>
      <c r="H35" s="475"/>
      <c r="I35" s="475"/>
      <c r="J35" s="478">
        <f>SUM(G35:H35)</f>
        <v>0</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5">
      <c r="A36" s="428" t="s">
        <v>227</v>
      </c>
      <c r="B36" s="429"/>
      <c r="C36" s="429"/>
      <c r="D36" s="456">
        <f>C17</f>
        <v>0</v>
      </c>
      <c r="E36" s="457" t="s">
        <v>41</v>
      </c>
      <c r="F36" s="450" t="s">
        <v>8</v>
      </c>
      <c r="G36" s="475"/>
      <c r="H36" s="475"/>
      <c r="I36" s="475"/>
      <c r="J36" s="478">
        <f>SUM(G36:H36)</f>
        <v>0</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5">
      <c r="A37" s="428" t="s">
        <v>201</v>
      </c>
      <c r="B37" s="429"/>
      <c r="C37" s="429"/>
      <c r="D37" s="456">
        <f>C16+C17</f>
        <v>0</v>
      </c>
      <c r="E37" s="457" t="s">
        <v>41</v>
      </c>
      <c r="F37" s="458" t="s">
        <v>8</v>
      </c>
      <c r="G37" s="475"/>
      <c r="H37" s="475"/>
      <c r="I37" s="475"/>
      <c r="J37" s="478">
        <f>SUM(G37:H37)</f>
        <v>0</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5">
      <c r="A38" s="479" t="s">
        <v>218</v>
      </c>
      <c r="B38" s="429"/>
      <c r="C38" s="429"/>
      <c r="D38" s="456">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5">
      <c r="A39" s="428" t="s">
        <v>197</v>
      </c>
      <c r="B39" s="429"/>
      <c r="C39" s="429"/>
      <c r="D39" s="456">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5">
      <c r="A40" s="473" t="s">
        <v>95</v>
      </c>
      <c r="B40" s="429"/>
      <c r="C40" s="429"/>
      <c r="D40" s="456">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5">
      <c r="A41" s="473" t="s">
        <v>95</v>
      </c>
      <c r="B41" s="429"/>
      <c r="C41" s="429"/>
      <c r="D41" s="456"/>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5">
      <c r="A42" s="473" t="s">
        <v>80</v>
      </c>
      <c r="B42" s="429"/>
      <c r="C42" s="429"/>
      <c r="D42" s="424">
        <f>$N$23</f>
        <v>138.5</v>
      </c>
      <c r="E42" s="457" t="s">
        <v>121</v>
      </c>
      <c r="F42" s="458" t="s">
        <v>8</v>
      </c>
      <c r="G42" s="483"/>
      <c r="H42" s="448"/>
      <c r="I42" s="484">
        <f>'Rider Rates'!$B$89</f>
        <v>4.94232E-2</v>
      </c>
      <c r="J42" s="484">
        <f t="shared" si="0"/>
        <v>4.94232E-2</v>
      </c>
      <c r="K42" s="460"/>
      <c r="L42" s="250"/>
      <c r="M42" s="250"/>
      <c r="N42" s="250">
        <f>ROUND(D42*I42,2)</f>
        <v>6.85</v>
      </c>
      <c r="O42" s="250">
        <f t="shared" si="2"/>
        <v>6.85</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5">
      <c r="A43" s="473" t="s">
        <v>81</v>
      </c>
      <c r="B43" s="429"/>
      <c r="C43" s="429"/>
      <c r="D43" s="424">
        <f>$N$23</f>
        <v>138.5</v>
      </c>
      <c r="E43" s="457" t="s">
        <v>121</v>
      </c>
      <c r="F43" s="458" t="s">
        <v>8</v>
      </c>
      <c r="G43" s="485"/>
      <c r="H43" s="448"/>
      <c r="I43" s="484">
        <f>'Rider Rates'!$B$91</f>
        <v>6.6985699999999995E-2</v>
      </c>
      <c r="J43" s="484">
        <f t="shared" si="0"/>
        <v>6.6985699999999995E-2</v>
      </c>
      <c r="K43" s="460"/>
      <c r="L43" s="250"/>
      <c r="M43" s="250"/>
      <c r="N43" s="250">
        <f>ROUND(D43*I43,2)</f>
        <v>9.2799999999999994</v>
      </c>
      <c r="O43" s="250">
        <f t="shared" si="2"/>
        <v>9.2799999999999994</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5">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5">
      <c r="A45" s="428" t="s">
        <v>247</v>
      </c>
      <c r="B45" s="429"/>
      <c r="C45" s="429"/>
      <c r="D45" s="456">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5">
      <c r="A46" s="473" t="s">
        <v>156</v>
      </c>
      <c r="B46" s="429"/>
      <c r="C46" s="429"/>
      <c r="D46" s="424">
        <f>$N$23</f>
        <v>138.5</v>
      </c>
      <c r="E46" s="457" t="s">
        <v>121</v>
      </c>
      <c r="F46" s="458" t="s">
        <v>8</v>
      </c>
      <c r="G46" s="485"/>
      <c r="H46" s="448"/>
      <c r="I46" s="484">
        <f>'Rider Rates'!$B$109</f>
        <v>0.211176</v>
      </c>
      <c r="J46" s="484">
        <f t="shared" si="0"/>
        <v>0.211176</v>
      </c>
      <c r="K46" s="460"/>
      <c r="L46" s="250"/>
      <c r="M46" s="250"/>
      <c r="N46" s="250">
        <f>ROUND(D46*I46,2)</f>
        <v>29.25</v>
      </c>
      <c r="O46" s="250">
        <f t="shared" si="2"/>
        <v>29.25</v>
      </c>
      <c r="P46" s="454">
        <f>'Rider Rates'!$D$109</f>
        <v>45532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5">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5">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5">
      <c r="A49" s="473" t="s">
        <v>157</v>
      </c>
      <c r="B49" s="429"/>
      <c r="C49" s="429"/>
      <c r="D49" s="456">
        <f>C16+C17</f>
        <v>0</v>
      </c>
      <c r="E49" s="457" t="s">
        <v>41</v>
      </c>
      <c r="F49" s="458" t="s">
        <v>8</v>
      </c>
      <c r="G49" s="475"/>
      <c r="H49" s="475"/>
      <c r="I49" s="484"/>
      <c r="J49" s="478">
        <f>SUM(G49:H49)</f>
        <v>0</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5">
      <c r="A50" s="428" t="s">
        <v>216</v>
      </c>
      <c r="B50" s="429"/>
      <c r="C50" s="429"/>
      <c r="D50" s="456">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5">
      <c r="A51" s="429" t="s">
        <v>241</v>
      </c>
      <c r="B51" s="429"/>
      <c r="C51" s="429"/>
      <c r="D51" s="456">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5">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5">
      <c r="A53" s="479" t="s">
        <v>250</v>
      </c>
      <c r="B53" s="429"/>
      <c r="C53" s="429"/>
      <c r="D53" s="456">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5">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5">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5">
      <c r="A56" s="494" t="s">
        <v>70</v>
      </c>
      <c r="B56" s="468"/>
      <c r="C56" s="468"/>
      <c r="D56" s="495"/>
      <c r="E56" s="496"/>
      <c r="F56" s="497"/>
      <c r="G56" s="497"/>
      <c r="H56" s="497"/>
      <c r="I56" s="497"/>
      <c r="J56" s="497"/>
      <c r="K56" s="498"/>
      <c r="L56" s="499">
        <f>SUM(L27:L55)</f>
        <v>0</v>
      </c>
      <c r="M56" s="499">
        <f>SUM(M27:M55)</f>
        <v>0</v>
      </c>
      <c r="N56" s="499">
        <f>SUM(N27:N55)</f>
        <v>67.34</v>
      </c>
      <c r="O56" s="499">
        <f>SUM(O27:O55)</f>
        <v>67.34</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5">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5">
      <c r="A58" s="503" t="s">
        <v>93</v>
      </c>
      <c r="B58" s="438"/>
      <c r="C58" s="438"/>
      <c r="D58" s="438"/>
      <c r="E58" s="438"/>
      <c r="F58" s="438"/>
      <c r="G58" s="438"/>
      <c r="H58" s="438"/>
      <c r="I58" s="438"/>
      <c r="J58" s="438"/>
      <c r="K58" s="438"/>
      <c r="L58" s="504">
        <f>L23+L56</f>
        <v>0</v>
      </c>
      <c r="M58" s="504">
        <f>M23+M56</f>
        <v>0</v>
      </c>
      <c r="N58" s="504">
        <f>N23+N56</f>
        <v>205.84</v>
      </c>
      <c r="O58" s="505">
        <f>O23+O56</f>
        <v>205.84</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5">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5">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5">
      <c r="A61" s="469" t="s">
        <v>92</v>
      </c>
      <c r="B61" s="429"/>
      <c r="C61" s="429"/>
      <c r="D61" s="429"/>
      <c r="E61" s="429"/>
      <c r="F61" s="429"/>
      <c r="G61" s="429"/>
      <c r="H61" s="429"/>
      <c r="I61" s="429"/>
      <c r="J61" s="429"/>
      <c r="K61" s="429"/>
      <c r="L61" s="429"/>
      <c r="M61" s="429"/>
      <c r="N61" s="429"/>
      <c r="O61" s="506">
        <f>O21+O56</f>
        <v>205.84</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5">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5">
      <c r="A63" s="468" t="s">
        <v>116</v>
      </c>
      <c r="O63" s="507">
        <f>IF($D$17&lt;0,O58,IF(O58&gt;O61,O58,O61))</f>
        <v>205.84</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5">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5">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5">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j3WJDTXvkw+jSUg7eZnFFw7J0QVbjz4pQhNDN3uWRLz4hLTd91yvwycHWRTf2eXqPM5P8U2smGYvLKLte8gs4Q==" saltValue="ACqEib/atvC1t4z9L30vx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1969" r:id="rId3" name="Button 1">
              <controlPr defaultSize="0" print="0" autoFill="0" autoPict="0" macro="[0]!Info">
                <anchor moveWithCells="1">
                  <from>
                    <xdr:col>0</xdr:col>
                    <xdr:colOff>38100</xdr:colOff>
                    <xdr:row>0</xdr:row>
                    <xdr:rowOff>30480</xdr:rowOff>
                  </from>
                  <to>
                    <xdr:col>0</xdr:col>
                    <xdr:colOff>381000</xdr:colOff>
                    <xdr:row>1</xdr:row>
                    <xdr:rowOff>106680</xdr:rowOff>
                  </to>
                </anchor>
              </controlPr>
            </control>
          </mc:Choice>
        </mc:AlternateContent>
        <mc:AlternateContent xmlns:mc="http://schemas.openxmlformats.org/markup-compatibility/2006">
          <mc:Choice Requires="x14">
            <control shapeId="211970" r:id="rId4" name="Button 2">
              <controlPr defaultSize="0" print="0" autoFill="0" autoPict="0" macro="[0]!Info">
                <anchor moveWithCells="1">
                  <from>
                    <xdr:col>15</xdr:col>
                    <xdr:colOff>190500</xdr:colOff>
                    <xdr:row>73</xdr:row>
                    <xdr:rowOff>45720</xdr:rowOff>
                  </from>
                  <to>
                    <xdr:col>15</xdr:col>
                    <xdr:colOff>541020</xdr:colOff>
                    <xdr:row>74</xdr:row>
                    <xdr:rowOff>106680</xdr:rowOff>
                  </to>
                </anchor>
              </controlPr>
            </control>
          </mc:Choice>
        </mc:AlternateContent>
        <mc:AlternateContent xmlns:mc="http://schemas.openxmlformats.org/markup-compatibility/2006">
          <mc:Choice Requires="x14">
            <control shapeId="211971" r:id="rId5" name="Button 3">
              <controlPr defaultSize="0" print="0" autoFill="0" autoPict="0" macro="[0]!Info">
                <anchor moveWithCells="1">
                  <from>
                    <xdr:col>0</xdr:col>
                    <xdr:colOff>45720</xdr:colOff>
                    <xdr:row>0</xdr:row>
                    <xdr:rowOff>45720</xdr:rowOff>
                  </from>
                  <to>
                    <xdr:col>0</xdr:col>
                    <xdr:colOff>388620</xdr:colOff>
                    <xdr:row>2</xdr:row>
                    <xdr:rowOff>68580</xdr:rowOff>
                  </to>
                </anchor>
              </controlPr>
            </control>
          </mc:Choice>
        </mc:AlternateContent>
        <mc:AlternateContent xmlns:mc="http://schemas.openxmlformats.org/markup-compatibility/2006">
          <mc:Choice Requires="x14">
            <control shapeId="211972" r:id="rId6" name="Button 4">
              <controlPr defaultSize="0" print="0" autoFill="0" autoPict="0" macro="[0]!Info">
                <anchor moveWithCells="1">
                  <from>
                    <xdr:col>0</xdr:col>
                    <xdr:colOff>45720</xdr:colOff>
                    <xdr:row>0</xdr:row>
                    <xdr:rowOff>45720</xdr:rowOff>
                  </from>
                  <to>
                    <xdr:col>0</xdr:col>
                    <xdr:colOff>388620</xdr:colOff>
                    <xdr:row>2</xdr:row>
                    <xdr:rowOff>68580</xdr:rowOff>
                  </to>
                </anchor>
              </controlPr>
            </control>
          </mc:Choice>
        </mc:AlternateContent>
        <mc:AlternateContent xmlns:mc="http://schemas.openxmlformats.org/markup-compatibility/2006">
          <mc:Choice Requires="x14">
            <control shapeId="211973" r:id="rId7" name="Button 5">
              <controlPr defaultSize="0" print="0" autoFill="0" autoPict="0" macro="[0]!Info">
                <anchor moveWithCells="1">
                  <from>
                    <xdr:col>0</xdr:col>
                    <xdr:colOff>45720</xdr:colOff>
                    <xdr:row>0</xdr:row>
                    <xdr:rowOff>45720</xdr:rowOff>
                  </from>
                  <to>
                    <xdr:col>0</xdr:col>
                    <xdr:colOff>388620</xdr:colOff>
                    <xdr:row>2</xdr:row>
                    <xdr:rowOff>68580</xdr:rowOff>
                  </to>
                </anchor>
              </controlPr>
            </control>
          </mc:Choice>
        </mc:AlternateContent>
        <mc:AlternateContent xmlns:mc="http://schemas.openxmlformats.org/markup-compatibility/2006">
          <mc:Choice Requires="x14">
            <control shapeId="211974" r:id="rId8" name="Button 6">
              <controlPr defaultSize="0" print="0" autoFill="0" autoPict="0" macro="[0]!Info">
                <anchor moveWithCells="1">
                  <from>
                    <xdr:col>0</xdr:col>
                    <xdr:colOff>45720</xdr:colOff>
                    <xdr:row>0</xdr:row>
                    <xdr:rowOff>45720</xdr:rowOff>
                  </from>
                  <to>
                    <xdr:col>0</xdr:col>
                    <xdr:colOff>388620</xdr:colOff>
                    <xdr:row>2</xdr:row>
                    <xdr:rowOff>68580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C4881-47A2-423A-8A16-41A7A8C3B246}">
  <dimension ref="A1:IB66"/>
  <sheetViews>
    <sheetView topLeftCell="A29" zoomScale="85" zoomScaleNormal="85" workbookViewId="0">
      <selection activeCell="J48" sqref="J48"/>
    </sheetView>
  </sheetViews>
  <sheetFormatPr defaultColWidth="8.5546875" defaultRowHeight="13.2" x14ac:dyDescent="0.25"/>
  <cols>
    <col min="1" max="1" width="31" style="426" customWidth="1"/>
    <col min="2" max="2" width="2.109375" style="426" customWidth="1"/>
    <col min="3" max="3" width="21.109375" style="426" customWidth="1"/>
    <col min="4" max="4" width="15.44140625" style="426" customWidth="1"/>
    <col min="5" max="5" width="10.109375" style="426" customWidth="1"/>
    <col min="6" max="6" width="5.5546875" style="426" customWidth="1"/>
    <col min="7" max="8" width="13.44140625" style="426" customWidth="1"/>
    <col min="9" max="9" width="14.5546875" style="426" customWidth="1"/>
    <col min="10" max="10" width="13.44140625" style="426" customWidth="1"/>
    <col min="11" max="11" width="7" style="426" customWidth="1"/>
    <col min="12" max="12" width="15.109375" style="426" customWidth="1"/>
    <col min="13" max="13" width="17.44140625" style="426" bestFit="1" customWidth="1"/>
    <col min="14" max="14" width="16.5546875" style="426" customWidth="1"/>
    <col min="15" max="15" width="19.109375" style="426" bestFit="1" customWidth="1"/>
    <col min="16" max="16" width="12.88671875" style="426" bestFit="1" customWidth="1"/>
    <col min="17" max="17" width="8.5546875" style="426"/>
    <col min="18" max="18" width="9.109375" style="426" hidden="1" customWidth="1"/>
    <col min="19" max="26" width="10.44140625" style="426" hidden="1" customWidth="1"/>
    <col min="27" max="27" width="10.5546875" style="426" hidden="1" customWidth="1"/>
    <col min="28" max="30" width="10.44140625" style="426" hidden="1" customWidth="1"/>
    <col min="31" max="16384" width="8.5546875" style="426"/>
  </cols>
  <sheetData>
    <row r="1" spans="1:30" ht="21" x14ac:dyDescent="0.4">
      <c r="A1" s="576" t="s">
        <v>119</v>
      </c>
      <c r="B1" s="576"/>
      <c r="C1" s="576"/>
      <c r="D1" s="576"/>
      <c r="E1" s="576"/>
      <c r="F1" s="576"/>
      <c r="G1" s="576"/>
      <c r="H1" s="576"/>
      <c r="I1" s="576"/>
      <c r="J1" s="576"/>
      <c r="K1" s="576"/>
      <c r="L1" s="576"/>
      <c r="M1" s="576"/>
      <c r="N1" s="576"/>
      <c r="O1" s="576"/>
      <c r="P1" s="576"/>
    </row>
    <row r="2" spans="1:30" ht="21" x14ac:dyDescent="0.4">
      <c r="A2" s="576" t="s">
        <v>122</v>
      </c>
      <c r="B2" s="576"/>
      <c r="C2" s="576"/>
      <c r="D2" s="576"/>
      <c r="E2" s="576"/>
      <c r="F2" s="576"/>
      <c r="G2" s="576"/>
      <c r="H2" s="576"/>
      <c r="I2" s="576"/>
      <c r="J2" s="576"/>
      <c r="K2" s="576"/>
      <c r="L2" s="576"/>
      <c r="M2" s="576"/>
      <c r="N2" s="576"/>
      <c r="O2" s="576"/>
      <c r="P2" s="576"/>
    </row>
    <row r="3" spans="1:30" ht="17.399999999999999" x14ac:dyDescent="0.3">
      <c r="A3" s="577" t="s">
        <v>339</v>
      </c>
      <c r="B3" s="577"/>
      <c r="C3" s="577"/>
      <c r="D3" s="577"/>
      <c r="E3" s="577"/>
      <c r="F3" s="577"/>
      <c r="G3" s="577"/>
      <c r="H3" s="577"/>
      <c r="I3" s="577"/>
      <c r="J3" s="577"/>
      <c r="K3" s="577"/>
      <c r="L3" s="577"/>
      <c r="M3" s="577"/>
      <c r="N3" s="577"/>
      <c r="O3" s="577"/>
      <c r="P3" s="577"/>
    </row>
    <row r="4" spans="1:30" ht="15.6" x14ac:dyDescent="0.3">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5">
      <c r="A5" s="425"/>
      <c r="B5" s="425"/>
      <c r="C5" s="425"/>
      <c r="D5" s="425"/>
      <c r="E5" s="425"/>
      <c r="F5" s="425"/>
      <c r="G5" s="425"/>
      <c r="H5" s="425" t="s">
        <v>338</v>
      </c>
      <c r="I5" s="425"/>
      <c r="J5" s="425"/>
      <c r="K5" s="425"/>
    </row>
    <row r="6" spans="1:30" x14ac:dyDescent="0.25">
      <c r="A6" s="427">
        <f ca="1">TODAY()</f>
        <v>45588</v>
      </c>
      <c r="B6" s="428"/>
      <c r="C6" s="427"/>
      <c r="D6" s="427"/>
      <c r="E6" s="427"/>
      <c r="F6" s="427"/>
      <c r="G6" s="427"/>
      <c r="H6" s="427"/>
      <c r="I6" s="427"/>
    </row>
    <row r="7" spans="1:30" ht="24.6" x14ac:dyDescent="0.4">
      <c r="A7" s="579"/>
      <c r="B7" s="579"/>
      <c r="C7" s="579"/>
      <c r="D7" s="579"/>
      <c r="E7" s="579"/>
      <c r="F7" s="579"/>
      <c r="G7" s="579"/>
      <c r="H7" s="579"/>
      <c r="I7" s="579"/>
      <c r="J7" s="579"/>
      <c r="K7" s="579"/>
      <c r="L7" s="579"/>
      <c r="M7" s="579"/>
      <c r="N7" s="579"/>
      <c r="O7" s="579"/>
      <c r="P7" s="579"/>
    </row>
    <row r="8" spans="1:30" x14ac:dyDescent="0.25">
      <c r="C8" s="429"/>
      <c r="D8" s="429"/>
      <c r="E8" s="429"/>
      <c r="F8" s="429"/>
      <c r="G8" s="429"/>
      <c r="H8" s="429"/>
      <c r="I8" s="429"/>
      <c r="J8" s="429"/>
      <c r="K8" s="429"/>
    </row>
    <row r="9" spans="1:30" ht="15" x14ac:dyDescent="0.25">
      <c r="A9" s="430" t="s">
        <v>2</v>
      </c>
      <c r="B9" s="431"/>
      <c r="C9" s="432">
        <f>'Customer Info'!B7</f>
        <v>0</v>
      </c>
      <c r="I9" s="433"/>
    </row>
    <row r="10" spans="1:30" ht="15" x14ac:dyDescent="0.25">
      <c r="A10" s="434" t="s">
        <v>26</v>
      </c>
      <c r="B10" s="431"/>
      <c r="C10" s="432">
        <f>'Customer Info'!B8</f>
        <v>0</v>
      </c>
    </row>
    <row r="11" spans="1:30" x14ac:dyDescent="0.25">
      <c r="A11" s="430" t="s">
        <v>3</v>
      </c>
      <c r="B11" s="435">
        <f>'Customer Info'!B9</f>
        <v>11</v>
      </c>
      <c r="C11" s="436" t="str">
        <f>LOOKUP(B11,R11:AD11,R12:AD12)</f>
        <v>November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5">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5">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5">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5">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5">
      <c r="A16" s="442" t="s">
        <v>233</v>
      </c>
      <c r="B16" s="442"/>
      <c r="C16" s="443">
        <f>'Customer Info'!B22</f>
        <v>0</v>
      </c>
      <c r="D16" s="442" t="s">
        <v>41</v>
      </c>
      <c r="E16" s="442"/>
      <c r="F16" s="444"/>
      <c r="G16" s="430" t="s">
        <v>15</v>
      </c>
      <c r="H16" s="442"/>
    </row>
    <row r="17" spans="1:221" x14ac:dyDescent="0.25">
      <c r="A17" s="442" t="s">
        <v>234</v>
      </c>
      <c r="B17" s="442"/>
      <c r="C17" s="443">
        <f>'Customer Info'!B23</f>
        <v>0</v>
      </c>
      <c r="D17" s="445" t="s">
        <v>41</v>
      </c>
      <c r="E17" s="444"/>
      <c r="F17" s="444"/>
      <c r="G17" s="430" t="s">
        <v>15</v>
      </c>
      <c r="H17" s="442"/>
      <c r="I17" s="446" t="s">
        <v>15</v>
      </c>
    </row>
    <row r="19" spans="1:221" x14ac:dyDescent="0.25">
      <c r="A19" s="440" t="s">
        <v>31</v>
      </c>
      <c r="B19" s="441"/>
      <c r="C19" s="441"/>
      <c r="D19" s="441"/>
      <c r="E19" s="441"/>
      <c r="F19" s="441"/>
      <c r="G19" s="572" t="s">
        <v>67</v>
      </c>
      <c r="H19" s="573"/>
      <c r="I19" s="573"/>
      <c r="J19" s="574"/>
      <c r="K19" s="441"/>
      <c r="L19" s="575" t="s">
        <v>68</v>
      </c>
      <c r="M19" s="575"/>
      <c r="N19" s="575"/>
      <c r="O19" s="575"/>
    </row>
    <row r="20" spans="1:221" x14ac:dyDescent="0.25">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5">
      <c r="A21" s="426" t="s">
        <v>32</v>
      </c>
      <c r="G21" s="451"/>
      <c r="H21" s="451"/>
      <c r="I21" s="451">
        <f>'Rider Rates'!B150</f>
        <v>825</v>
      </c>
      <c r="J21" s="451">
        <f>SUM(G21:I21)</f>
        <v>825</v>
      </c>
      <c r="L21" s="452"/>
      <c r="M21" s="452"/>
      <c r="N21" s="452">
        <f>I21</f>
        <v>825</v>
      </c>
      <c r="O21" s="453">
        <f>SUM(L21:N21)</f>
        <v>825</v>
      </c>
      <c r="P21" s="454">
        <v>44531</v>
      </c>
    </row>
    <row r="22" spans="1:221" x14ac:dyDescent="0.25">
      <c r="A22" s="455" t="s">
        <v>302</v>
      </c>
      <c r="D22" s="456">
        <f>C15</f>
        <v>0</v>
      </c>
      <c r="E22" s="457" t="s">
        <v>41</v>
      </c>
      <c r="F22" s="458" t="s">
        <v>8</v>
      </c>
      <c r="G22" s="459"/>
      <c r="H22" s="459"/>
      <c r="I22" s="459">
        <f>'Rider Rates'!C150</f>
        <v>5.9799999999999997E-5</v>
      </c>
      <c r="J22" s="459">
        <f>SUM(G22:I22)</f>
        <v>5.9799999999999997E-5</v>
      </c>
      <c r="K22" s="460" t="s">
        <v>42</v>
      </c>
      <c r="L22" s="453"/>
      <c r="M22" s="453"/>
      <c r="N22" s="453">
        <f>IF(C15&lt;0,0,ROUND($D22*I22,2))</f>
        <v>0</v>
      </c>
      <c r="O22" s="453">
        <f>SUM(L22:N22)</f>
        <v>0</v>
      </c>
      <c r="P22" s="454">
        <f>'Rider Rates'!H150</f>
        <v>45444</v>
      </c>
    </row>
    <row r="23" spans="1:221" x14ac:dyDescent="0.25">
      <c r="A23" s="461" t="s">
        <v>50</v>
      </c>
      <c r="B23" s="461"/>
      <c r="C23" s="461"/>
      <c r="D23" s="462"/>
      <c r="E23" s="462"/>
      <c r="F23" s="461"/>
      <c r="G23" s="461"/>
      <c r="H23" s="461"/>
      <c r="I23" s="461"/>
      <c r="J23" s="461"/>
      <c r="K23" s="463"/>
      <c r="L23" s="464"/>
      <c r="M23" s="464"/>
      <c r="N23" s="464">
        <f>SUM(N21:N22)</f>
        <v>825</v>
      </c>
      <c r="O23" s="464">
        <f>SUM(O21:O22)</f>
        <v>825</v>
      </c>
    </row>
    <row r="24" spans="1:221" x14ac:dyDescent="0.25">
      <c r="A24" s="465"/>
      <c r="B24" s="465"/>
      <c r="C24" s="466"/>
      <c r="D24" s="466"/>
      <c r="E24" s="466"/>
      <c r="F24" s="466"/>
      <c r="G24" s="467"/>
      <c r="H24" s="467"/>
      <c r="I24" s="467"/>
      <c r="J24" s="467"/>
      <c r="K24" s="465"/>
      <c r="L24" s="465"/>
      <c r="M24" s="465"/>
      <c r="N24" s="465"/>
      <c r="O24" s="465"/>
      <c r="P24" s="465"/>
    </row>
    <row r="25" spans="1:221" x14ac:dyDescent="0.25">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5">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5">
      <c r="A27" s="473" t="s">
        <v>78</v>
      </c>
      <c r="B27" s="474"/>
      <c r="C27" s="474"/>
      <c r="D27" s="456">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5">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5">
      <c r="A29" s="473" t="s">
        <v>96</v>
      </c>
      <c r="B29" s="429"/>
      <c r="C29" s="429"/>
      <c r="D29" s="456">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5">
      <c r="A30" s="473" t="s">
        <v>97</v>
      </c>
      <c r="B30" s="429"/>
      <c r="C30" s="429"/>
      <c r="D30" s="456">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5">
      <c r="A31" s="473" t="s">
        <v>98</v>
      </c>
      <c r="B31" s="429"/>
      <c r="C31" s="429"/>
      <c r="D31" s="456">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5">
      <c r="A32" s="428" t="s">
        <v>159</v>
      </c>
      <c r="B32" s="429"/>
      <c r="C32" s="429"/>
      <c r="D32" s="456">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5">
      <c r="A33" s="428" t="s">
        <v>245</v>
      </c>
      <c r="B33" s="429"/>
      <c r="C33" s="429"/>
      <c r="D33" s="424">
        <f>$N$23</f>
        <v>825</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5">
      <c r="A34" s="428" t="s">
        <v>194</v>
      </c>
      <c r="B34" s="429"/>
      <c r="C34" s="429"/>
      <c r="D34" s="456">
        <f>C15</f>
        <v>0</v>
      </c>
      <c r="E34" s="457" t="s">
        <v>41</v>
      </c>
      <c r="F34" s="458" t="s">
        <v>8</v>
      </c>
      <c r="G34" s="475"/>
      <c r="H34" s="475"/>
      <c r="I34" s="475"/>
      <c r="J34" s="478">
        <f>SUM(G34:H34)</f>
        <v>0</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5">
      <c r="A35" s="428" t="s">
        <v>164</v>
      </c>
      <c r="B35" s="429"/>
      <c r="C35" s="429"/>
      <c r="D35" s="456">
        <f>C16</f>
        <v>0</v>
      </c>
      <c r="E35" s="457" t="s">
        <v>41</v>
      </c>
      <c r="F35" s="458" t="s">
        <v>8</v>
      </c>
      <c r="G35" s="475"/>
      <c r="H35" s="475"/>
      <c r="I35" s="475"/>
      <c r="J35" s="478">
        <f>SUM(G35:H35)</f>
        <v>0</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5">
      <c r="A36" s="428" t="s">
        <v>227</v>
      </c>
      <c r="B36" s="429"/>
      <c r="C36" s="429"/>
      <c r="D36" s="456">
        <f>C17</f>
        <v>0</v>
      </c>
      <c r="E36" s="457" t="s">
        <v>41</v>
      </c>
      <c r="F36" s="450" t="s">
        <v>8</v>
      </c>
      <c r="G36" s="475"/>
      <c r="H36" s="475"/>
      <c r="I36" s="475"/>
      <c r="J36" s="478">
        <f>SUM(G36:H36)</f>
        <v>0</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5">
      <c r="A37" s="428" t="s">
        <v>201</v>
      </c>
      <c r="B37" s="429"/>
      <c r="C37" s="429"/>
      <c r="D37" s="456">
        <f>C16+C17</f>
        <v>0</v>
      </c>
      <c r="E37" s="457" t="s">
        <v>41</v>
      </c>
      <c r="F37" s="458" t="s">
        <v>8</v>
      </c>
      <c r="G37" s="475"/>
      <c r="H37" s="475"/>
      <c r="I37" s="475"/>
      <c r="J37" s="478">
        <f>SUM(G37:H37)</f>
        <v>0</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5">
      <c r="A38" s="479" t="s">
        <v>218</v>
      </c>
      <c r="B38" s="429"/>
      <c r="C38" s="429"/>
      <c r="D38" s="456">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5">
      <c r="A39" s="428" t="s">
        <v>197</v>
      </c>
      <c r="B39" s="429"/>
      <c r="C39" s="429"/>
      <c r="D39" s="456">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5">
      <c r="A40" s="473" t="s">
        <v>95</v>
      </c>
      <c r="B40" s="429"/>
      <c r="C40" s="429"/>
      <c r="D40" s="456">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5">
      <c r="A41" s="473" t="s">
        <v>95</v>
      </c>
      <c r="B41" s="429"/>
      <c r="C41" s="429"/>
      <c r="D41" s="456"/>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5">
      <c r="A42" s="473" t="s">
        <v>80</v>
      </c>
      <c r="B42" s="429"/>
      <c r="C42" s="429"/>
      <c r="D42" s="424">
        <f>$N$23</f>
        <v>825</v>
      </c>
      <c r="E42" s="457" t="s">
        <v>121</v>
      </c>
      <c r="F42" s="458" t="s">
        <v>8</v>
      </c>
      <c r="G42" s="483"/>
      <c r="H42" s="448"/>
      <c r="I42" s="484">
        <f>'Rider Rates'!$B$89</f>
        <v>4.94232E-2</v>
      </c>
      <c r="J42" s="484">
        <f t="shared" si="0"/>
        <v>4.94232E-2</v>
      </c>
      <c r="K42" s="460"/>
      <c r="L42" s="250"/>
      <c r="M42" s="250"/>
      <c r="N42" s="250">
        <f>ROUND(D42*I42,2)</f>
        <v>40.770000000000003</v>
      </c>
      <c r="O42" s="250">
        <f t="shared" si="2"/>
        <v>40.770000000000003</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5">
      <c r="A43" s="473" t="s">
        <v>81</v>
      </c>
      <c r="B43" s="429"/>
      <c r="C43" s="429"/>
      <c r="D43" s="424">
        <f>$N$23</f>
        <v>825</v>
      </c>
      <c r="E43" s="457" t="s">
        <v>121</v>
      </c>
      <c r="F43" s="458" t="s">
        <v>8</v>
      </c>
      <c r="G43" s="485"/>
      <c r="H43" s="448"/>
      <c r="I43" s="484">
        <f>'Rider Rates'!$B$91</f>
        <v>6.6985699999999995E-2</v>
      </c>
      <c r="J43" s="484">
        <f t="shared" si="0"/>
        <v>6.6985699999999995E-2</v>
      </c>
      <c r="K43" s="460"/>
      <c r="L43" s="250"/>
      <c r="M43" s="250"/>
      <c r="N43" s="250">
        <f>ROUND(D43*I43,2)</f>
        <v>55.26</v>
      </c>
      <c r="O43" s="250">
        <f t="shared" si="2"/>
        <v>55.26</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5">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5">
      <c r="A45" s="428" t="s">
        <v>247</v>
      </c>
      <c r="B45" s="429"/>
      <c r="C45" s="429"/>
      <c r="D45" s="456">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5">
      <c r="A46" s="473" t="s">
        <v>156</v>
      </c>
      <c r="B46" s="429"/>
      <c r="C46" s="429"/>
      <c r="D46" s="424">
        <f>$N$23</f>
        <v>825</v>
      </c>
      <c r="E46" s="457" t="s">
        <v>121</v>
      </c>
      <c r="F46" s="458" t="s">
        <v>8</v>
      </c>
      <c r="G46" s="485"/>
      <c r="H46" s="448"/>
      <c r="I46" s="484">
        <f>'Rider Rates'!$B$109</f>
        <v>0.211176</v>
      </c>
      <c r="J46" s="484">
        <f t="shared" si="0"/>
        <v>0.211176</v>
      </c>
      <c r="K46" s="460"/>
      <c r="L46" s="250"/>
      <c r="M46" s="250"/>
      <c r="N46" s="250">
        <f>ROUND(D46*I46,2)</f>
        <v>174.22</v>
      </c>
      <c r="O46" s="250">
        <f t="shared" si="2"/>
        <v>174.22</v>
      </c>
      <c r="P46" s="454">
        <f>'Rider Rates'!$D$109</f>
        <v>45532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5">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5">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5">
      <c r="A49" s="473" t="s">
        <v>157</v>
      </c>
      <c r="B49" s="429"/>
      <c r="C49" s="429"/>
      <c r="D49" s="456">
        <f>C16+C17</f>
        <v>0</v>
      </c>
      <c r="E49" s="457" t="s">
        <v>41</v>
      </c>
      <c r="F49" s="458" t="s">
        <v>8</v>
      </c>
      <c r="G49" s="475"/>
      <c r="H49" s="475"/>
      <c r="I49" s="484"/>
      <c r="J49" s="478">
        <f>SUM(G49:H49)</f>
        <v>0</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5">
      <c r="A50" s="428" t="s">
        <v>216</v>
      </c>
      <c r="B50" s="429"/>
      <c r="C50" s="429"/>
      <c r="D50" s="456">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5">
      <c r="A51" s="429" t="s">
        <v>241</v>
      </c>
      <c r="B51" s="429"/>
      <c r="C51" s="429"/>
      <c r="D51" s="456">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5">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5">
      <c r="A53" s="479" t="s">
        <v>250</v>
      </c>
      <c r="B53" s="429"/>
      <c r="C53" s="429"/>
      <c r="D53" s="456">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5">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5">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5">
      <c r="A56" s="494" t="s">
        <v>70</v>
      </c>
      <c r="B56" s="468"/>
      <c r="C56" s="468"/>
      <c r="D56" s="495"/>
      <c r="E56" s="496"/>
      <c r="F56" s="497"/>
      <c r="G56" s="497"/>
      <c r="H56" s="497"/>
      <c r="I56" s="497"/>
      <c r="J56" s="497"/>
      <c r="K56" s="498"/>
      <c r="L56" s="499">
        <f>SUM(L27:L55)</f>
        <v>0</v>
      </c>
      <c r="M56" s="499">
        <f>SUM(M27:M55)</f>
        <v>0</v>
      </c>
      <c r="N56" s="499">
        <f>SUM(N27:N55)</f>
        <v>292.20999999999998</v>
      </c>
      <c r="O56" s="499">
        <f>SUM(O27:O55)</f>
        <v>292.20999999999998</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5">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5">
      <c r="A58" s="503" t="s">
        <v>93</v>
      </c>
      <c r="B58" s="438"/>
      <c r="C58" s="438"/>
      <c r="D58" s="438"/>
      <c r="E58" s="438"/>
      <c r="F58" s="438"/>
      <c r="G58" s="438"/>
      <c r="H58" s="438"/>
      <c r="I58" s="438"/>
      <c r="J58" s="438"/>
      <c r="K58" s="438"/>
      <c r="L58" s="504">
        <f>L23+L56</f>
        <v>0</v>
      </c>
      <c r="M58" s="504">
        <f>M23+M56</f>
        <v>0</v>
      </c>
      <c r="N58" s="504">
        <f>N23+N56</f>
        <v>1117.21</v>
      </c>
      <c r="O58" s="505">
        <f>O23+O56</f>
        <v>1117.21</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5">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5">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5">
      <c r="A61" s="469" t="s">
        <v>92</v>
      </c>
      <c r="B61" s="429"/>
      <c r="C61" s="429"/>
      <c r="D61" s="429"/>
      <c r="E61" s="429"/>
      <c r="F61" s="429"/>
      <c r="G61" s="429"/>
      <c r="H61" s="429"/>
      <c r="I61" s="429"/>
      <c r="J61" s="429"/>
      <c r="K61" s="429"/>
      <c r="L61" s="429"/>
      <c r="M61" s="429"/>
      <c r="N61" s="429"/>
      <c r="O61" s="506">
        <f>O21+O56</f>
        <v>1117.21</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5">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5">
      <c r="A63" s="468" t="s">
        <v>116</v>
      </c>
      <c r="O63" s="507">
        <f>IF($D$17&lt;0,O58,IF(O58&gt;O61,O58,O61))</f>
        <v>1117.21</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5">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5">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5">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fzIJMX3S/VkxTOU8jCvRoMA6ema+k22C5OhkQ2cymdFMdkNDL9r8l66W+WLp3UW+yU3VZioWBPiPXXf0DckH9g==" saltValue="uILkBQiLWQMELepqDpntP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2993" r:id="rId3" name="Button 1">
              <controlPr defaultSize="0" print="0" autoFill="0" autoPict="0" macro="[0]!Info">
                <anchor moveWithCells="1">
                  <from>
                    <xdr:col>0</xdr:col>
                    <xdr:colOff>38100</xdr:colOff>
                    <xdr:row>0</xdr:row>
                    <xdr:rowOff>30480</xdr:rowOff>
                  </from>
                  <to>
                    <xdr:col>0</xdr:col>
                    <xdr:colOff>381000</xdr:colOff>
                    <xdr:row>2</xdr:row>
                    <xdr:rowOff>30480</xdr:rowOff>
                  </to>
                </anchor>
              </controlPr>
            </control>
          </mc:Choice>
        </mc:AlternateContent>
        <mc:AlternateContent xmlns:mc="http://schemas.openxmlformats.org/markup-compatibility/2006">
          <mc:Choice Requires="x14">
            <control shapeId="212994" r:id="rId4" name="Button 2">
              <controlPr defaultSize="0" print="0" autoFill="0" autoPict="0" macro="[0]!Info">
                <anchor moveWithCells="1">
                  <from>
                    <xdr:col>15</xdr:col>
                    <xdr:colOff>190500</xdr:colOff>
                    <xdr:row>73</xdr:row>
                    <xdr:rowOff>45720</xdr:rowOff>
                  </from>
                  <to>
                    <xdr:col>15</xdr:col>
                    <xdr:colOff>541020</xdr:colOff>
                    <xdr:row>74</xdr:row>
                    <xdr:rowOff>106680</xdr:rowOff>
                  </to>
                </anchor>
              </controlPr>
            </control>
          </mc:Choice>
        </mc:AlternateContent>
        <mc:AlternateContent xmlns:mc="http://schemas.openxmlformats.org/markup-compatibility/2006">
          <mc:Choice Requires="x14">
            <control shapeId="212995" r:id="rId5" name="Button 3">
              <controlPr defaultSize="0" print="0" autoFill="0" autoPict="0" macro="[0]!Info">
                <anchor moveWithCells="1">
                  <from>
                    <xdr:col>0</xdr:col>
                    <xdr:colOff>45720</xdr:colOff>
                    <xdr:row>0</xdr:row>
                    <xdr:rowOff>45720</xdr:rowOff>
                  </from>
                  <to>
                    <xdr:col>0</xdr:col>
                    <xdr:colOff>388620</xdr:colOff>
                    <xdr:row>3</xdr:row>
                    <xdr:rowOff>106680</xdr:rowOff>
                  </to>
                </anchor>
              </controlPr>
            </control>
          </mc:Choice>
        </mc:AlternateContent>
        <mc:AlternateContent xmlns:mc="http://schemas.openxmlformats.org/markup-compatibility/2006">
          <mc:Choice Requires="x14">
            <control shapeId="212996" r:id="rId6" name="Button 4">
              <controlPr defaultSize="0" print="0" autoFill="0" autoPict="0" macro="[0]!Info">
                <anchor moveWithCells="1">
                  <from>
                    <xdr:col>0</xdr:col>
                    <xdr:colOff>45720</xdr:colOff>
                    <xdr:row>0</xdr:row>
                    <xdr:rowOff>45720</xdr:rowOff>
                  </from>
                  <to>
                    <xdr:col>0</xdr:col>
                    <xdr:colOff>388620</xdr:colOff>
                    <xdr:row>3</xdr:row>
                    <xdr:rowOff>106680</xdr:rowOff>
                  </to>
                </anchor>
              </controlPr>
            </control>
          </mc:Choice>
        </mc:AlternateContent>
        <mc:AlternateContent xmlns:mc="http://schemas.openxmlformats.org/markup-compatibility/2006">
          <mc:Choice Requires="x14">
            <control shapeId="212997" r:id="rId7" name="Button 5">
              <controlPr defaultSize="0" print="0" autoFill="0" autoPict="0" macro="[0]!Info">
                <anchor moveWithCells="1">
                  <from>
                    <xdr:col>0</xdr:col>
                    <xdr:colOff>45720</xdr:colOff>
                    <xdr:row>0</xdr:row>
                    <xdr:rowOff>45720</xdr:rowOff>
                  </from>
                  <to>
                    <xdr:col>0</xdr:col>
                    <xdr:colOff>388620</xdr:colOff>
                    <xdr:row>3</xdr:row>
                    <xdr:rowOff>106680</xdr:rowOff>
                  </to>
                </anchor>
              </controlPr>
            </control>
          </mc:Choice>
        </mc:AlternateContent>
        <mc:AlternateContent xmlns:mc="http://schemas.openxmlformats.org/markup-compatibility/2006">
          <mc:Choice Requires="x14">
            <control shapeId="212998" r:id="rId8" name="Button 6">
              <controlPr defaultSize="0" print="0" autoFill="0" autoPict="0" macro="[0]!Info">
                <anchor moveWithCells="1">
                  <from>
                    <xdr:col>0</xdr:col>
                    <xdr:colOff>45720</xdr:colOff>
                    <xdr:row>0</xdr:row>
                    <xdr:rowOff>45720</xdr:rowOff>
                  </from>
                  <to>
                    <xdr:col>0</xdr:col>
                    <xdr:colOff>388620</xdr:colOff>
                    <xdr:row>3</xdr:row>
                    <xdr:rowOff>106680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tabColor theme="8" tint="0.79998168889431442"/>
    <pageSetUpPr fitToPage="1"/>
  </sheetPr>
  <dimension ref="A1:J151"/>
  <sheetViews>
    <sheetView topLeftCell="A106" workbookViewId="0">
      <selection activeCell="F122" sqref="F122"/>
    </sheetView>
  </sheetViews>
  <sheetFormatPr defaultRowHeight="13.2" x14ac:dyDescent="0.25"/>
  <cols>
    <col min="1" max="1" width="70.109375" bestFit="1" customWidth="1"/>
    <col min="2" max="2" width="13.44140625" style="18" bestFit="1" customWidth="1"/>
    <col min="3" max="3" width="12.44140625" style="18" customWidth="1"/>
    <col min="4" max="4" width="13.5546875" style="18" bestFit="1" customWidth="1"/>
    <col min="5" max="5" width="11.5546875" style="18" bestFit="1" customWidth="1"/>
    <col min="6" max="6" width="14.88671875" style="18" customWidth="1"/>
    <col min="7" max="7" width="15.5546875" style="18" customWidth="1"/>
    <col min="8" max="8" width="11.5546875" bestFit="1" customWidth="1"/>
  </cols>
  <sheetData>
    <row r="1" spans="1:10" x14ac:dyDescent="0.25">
      <c r="A1" s="79" t="s">
        <v>133</v>
      </c>
      <c r="B1" s="384" t="s">
        <v>1</v>
      </c>
      <c r="C1" s="384"/>
      <c r="D1" s="384" t="s">
        <v>7</v>
      </c>
      <c r="E1" s="384" t="s">
        <v>1</v>
      </c>
      <c r="F1" s="384" t="s">
        <v>7</v>
      </c>
    </row>
    <row r="3" spans="1:10" x14ac:dyDescent="0.25">
      <c r="A3" s="25" t="s">
        <v>136</v>
      </c>
      <c r="B3" s="276"/>
      <c r="C3" s="276"/>
    </row>
    <row r="4" spans="1:10" x14ac:dyDescent="0.25">
      <c r="A4" s="145" t="s">
        <v>134</v>
      </c>
      <c r="B4" s="276">
        <v>5.9216E-3</v>
      </c>
      <c r="C4" s="385"/>
      <c r="D4" s="271">
        <v>45293</v>
      </c>
    </row>
    <row r="5" spans="1:10" x14ac:dyDescent="0.25">
      <c r="A5" s="145" t="s">
        <v>135</v>
      </c>
      <c r="B5" s="276">
        <v>1.7560000000000001E-4</v>
      </c>
      <c r="C5" s="385"/>
      <c r="D5" s="271">
        <v>44925</v>
      </c>
    </row>
    <row r="6" spans="1:10" x14ac:dyDescent="0.25">
      <c r="B6" s="276"/>
      <c r="C6" s="276"/>
      <c r="D6" s="276"/>
    </row>
    <row r="7" spans="1:10" x14ac:dyDescent="0.25">
      <c r="A7" s="25" t="s">
        <v>137</v>
      </c>
      <c r="B7" s="276"/>
      <c r="C7" s="276"/>
      <c r="D7" s="271">
        <v>44531</v>
      </c>
    </row>
    <row r="8" spans="1:10" x14ac:dyDescent="0.25">
      <c r="A8" s="145" t="s">
        <v>138</v>
      </c>
      <c r="B8" s="386">
        <v>4.6499999999999996E-3</v>
      </c>
      <c r="C8" s="386"/>
      <c r="D8" s="271"/>
    </row>
    <row r="9" spans="1:10" x14ac:dyDescent="0.25">
      <c r="A9" s="227" t="s">
        <v>140</v>
      </c>
      <c r="B9" s="386">
        <v>4.1900000000000001E-3</v>
      </c>
      <c r="C9" s="386"/>
      <c r="D9" s="271"/>
    </row>
    <row r="10" spans="1:10" x14ac:dyDescent="0.25">
      <c r="A10" s="145" t="s">
        <v>139</v>
      </c>
      <c r="B10" s="386">
        <v>3.63E-3</v>
      </c>
      <c r="C10" s="386"/>
      <c r="D10" s="271"/>
    </row>
    <row r="11" spans="1:10" x14ac:dyDescent="0.25">
      <c r="B11" s="276"/>
      <c r="C11" s="276"/>
      <c r="D11" s="276"/>
    </row>
    <row r="12" spans="1:10" x14ac:dyDescent="0.25">
      <c r="A12" s="133" t="s">
        <v>141</v>
      </c>
      <c r="B12" s="387">
        <v>0</v>
      </c>
      <c r="C12" s="387"/>
      <c r="D12" s="271">
        <v>44531</v>
      </c>
    </row>
    <row r="13" spans="1:10" x14ac:dyDescent="0.25">
      <c r="B13" s="276"/>
      <c r="C13" s="276"/>
      <c r="D13" s="276"/>
    </row>
    <row r="14" spans="1:10" x14ac:dyDescent="0.25">
      <c r="A14" s="275" t="s">
        <v>158</v>
      </c>
      <c r="B14" s="593"/>
      <c r="C14" s="594"/>
      <c r="D14" s="594"/>
      <c r="G14" s="275"/>
      <c r="H14" s="593"/>
      <c r="I14" s="593"/>
      <c r="J14" s="593"/>
    </row>
    <row r="15" spans="1:10" x14ac:dyDescent="0.25">
      <c r="A15" s="273" t="s">
        <v>256</v>
      </c>
      <c r="B15" s="270">
        <v>0</v>
      </c>
      <c r="C15" s="270"/>
      <c r="D15" s="271">
        <v>45505</v>
      </c>
      <c r="G15" s="273"/>
      <c r="H15" s="270"/>
      <c r="I15" s="270"/>
      <c r="J15" s="271"/>
    </row>
    <row r="16" spans="1:10" x14ac:dyDescent="0.25">
      <c r="A16" s="272" t="s">
        <v>257</v>
      </c>
      <c r="B16" s="270">
        <v>0</v>
      </c>
      <c r="C16" s="270"/>
      <c r="D16" s="271">
        <v>45197</v>
      </c>
    </row>
    <row r="17" spans="1:6" x14ac:dyDescent="0.25">
      <c r="A17" s="18"/>
      <c r="B17" s="276"/>
      <c r="C17" s="276"/>
      <c r="D17" s="276"/>
    </row>
    <row r="18" spans="1:6" x14ac:dyDescent="0.25">
      <c r="A18" s="25" t="s">
        <v>246</v>
      </c>
      <c r="B18" s="388">
        <v>0</v>
      </c>
      <c r="C18" s="271"/>
      <c r="D18" s="271">
        <v>44531</v>
      </c>
      <c r="E18" s="389">
        <v>0</v>
      </c>
      <c r="F18" s="271">
        <v>44531</v>
      </c>
    </row>
    <row r="19" spans="1:6" x14ac:dyDescent="0.25">
      <c r="B19" s="276"/>
      <c r="C19" s="276"/>
      <c r="D19" s="276"/>
    </row>
    <row r="20" spans="1:6" x14ac:dyDescent="0.25">
      <c r="A20" s="133" t="s">
        <v>186</v>
      </c>
      <c r="B20" s="390" t="s">
        <v>171</v>
      </c>
      <c r="C20" s="390" t="s">
        <v>172</v>
      </c>
      <c r="D20" s="276"/>
    </row>
    <row r="21" spans="1:6" x14ac:dyDescent="0.25">
      <c r="A21" s="227" t="s">
        <v>153</v>
      </c>
      <c r="B21" s="409">
        <v>7.0209999999999995E-2</v>
      </c>
      <c r="C21" s="409">
        <v>7.0209999999999995E-2</v>
      </c>
      <c r="D21" s="271">
        <v>45444</v>
      </c>
    </row>
    <row r="22" spans="1:6" x14ac:dyDescent="0.25">
      <c r="A22" s="291" t="s">
        <v>304</v>
      </c>
      <c r="B22" s="409">
        <v>7.0209999999999995E-2</v>
      </c>
      <c r="C22" s="409">
        <v>7.0209999999999995E-2</v>
      </c>
      <c r="D22" s="271">
        <v>45444</v>
      </c>
    </row>
    <row r="23" spans="1:6" x14ac:dyDescent="0.25">
      <c r="A23" s="227" t="s">
        <v>188</v>
      </c>
      <c r="B23" s="409">
        <v>7.0209999999999995E-2</v>
      </c>
      <c r="C23" s="409">
        <v>7.0209999999999995E-2</v>
      </c>
      <c r="D23" s="271">
        <v>45444</v>
      </c>
    </row>
    <row r="24" spans="1:6" x14ac:dyDescent="0.25">
      <c r="A24" s="227" t="s">
        <v>189</v>
      </c>
      <c r="B24" s="410">
        <v>6.7849999999999994E-2</v>
      </c>
      <c r="C24" s="410">
        <v>6.7849999999999994E-2</v>
      </c>
      <c r="D24" s="271">
        <v>45444</v>
      </c>
    </row>
    <row r="25" spans="1:6" x14ac:dyDescent="0.25">
      <c r="A25" s="227" t="s">
        <v>190</v>
      </c>
      <c r="B25" s="410">
        <v>6.6629999999999995E-2</v>
      </c>
      <c r="C25" s="410">
        <v>6.6629999999999995E-2</v>
      </c>
      <c r="D25" s="271">
        <v>45444</v>
      </c>
    </row>
    <row r="26" spans="1:6" x14ac:dyDescent="0.25">
      <c r="A26" s="145"/>
      <c r="B26" s="270"/>
      <c r="C26" s="270"/>
      <c r="D26" s="271"/>
    </row>
    <row r="27" spans="1:6" x14ac:dyDescent="0.25">
      <c r="A27" s="133" t="s">
        <v>160</v>
      </c>
      <c r="B27" s="391" t="s">
        <v>171</v>
      </c>
      <c r="C27" s="391" t="s">
        <v>172</v>
      </c>
      <c r="D27" s="271"/>
    </row>
    <row r="28" spans="1:6" x14ac:dyDescent="0.25">
      <c r="A28" s="227" t="s">
        <v>196</v>
      </c>
      <c r="B28" s="410">
        <v>3.2000000000000002E-3</v>
      </c>
      <c r="C28" s="385"/>
      <c r="D28" s="271">
        <v>45444</v>
      </c>
    </row>
    <row r="29" spans="1:6" x14ac:dyDescent="0.25">
      <c r="A29" s="145" t="s">
        <v>168</v>
      </c>
      <c r="B29" s="411">
        <v>4.4387999999999997E-3</v>
      </c>
      <c r="C29" s="411">
        <v>4.4387999999999997E-3</v>
      </c>
      <c r="D29" s="271">
        <v>45444</v>
      </c>
    </row>
    <row r="30" spans="1:6" x14ac:dyDescent="0.25">
      <c r="A30" s="145" t="s">
        <v>169</v>
      </c>
      <c r="B30" s="411">
        <v>4.2166E-3</v>
      </c>
      <c r="C30" s="411">
        <v>2.4020999999999999E-3</v>
      </c>
      <c r="D30" s="271">
        <v>45444</v>
      </c>
    </row>
    <row r="31" spans="1:6" x14ac:dyDescent="0.25">
      <c r="A31" s="145" t="s">
        <v>170</v>
      </c>
      <c r="B31" s="411">
        <v>3.9453999999999999E-3</v>
      </c>
      <c r="C31" s="411">
        <v>2.8092999999999998E-3</v>
      </c>
      <c r="D31" s="271">
        <v>45444</v>
      </c>
    </row>
    <row r="32" spans="1:6" x14ac:dyDescent="0.25">
      <c r="A32" s="145" t="s">
        <v>179</v>
      </c>
      <c r="B32" s="411">
        <v>5.5376999999999996E-3</v>
      </c>
      <c r="C32" s="270"/>
      <c r="D32" s="271">
        <v>45444</v>
      </c>
    </row>
    <row r="33" spans="1:4" x14ac:dyDescent="0.25">
      <c r="A33" s="145" t="s">
        <v>178</v>
      </c>
      <c r="B33" s="411">
        <v>1.8998000000000001E-3</v>
      </c>
      <c r="C33" s="385"/>
      <c r="D33" s="271">
        <v>45444</v>
      </c>
    </row>
    <row r="34" spans="1:4" x14ac:dyDescent="0.25">
      <c r="A34" s="145" t="s">
        <v>231</v>
      </c>
      <c r="B34" s="411">
        <v>2.67383E-2</v>
      </c>
      <c r="C34" s="385"/>
      <c r="D34" s="271">
        <v>45444</v>
      </c>
    </row>
    <row r="35" spans="1:4" x14ac:dyDescent="0.25">
      <c r="A35" s="145" t="s">
        <v>232</v>
      </c>
      <c r="B35" s="411">
        <v>0</v>
      </c>
      <c r="C35" s="385"/>
      <c r="D35" s="271">
        <v>45444</v>
      </c>
    </row>
    <row r="36" spans="1:4" x14ac:dyDescent="0.25">
      <c r="A36" s="145" t="s">
        <v>143</v>
      </c>
      <c r="B36" s="411">
        <v>2.7299999999999998E-3</v>
      </c>
      <c r="C36" s="270"/>
      <c r="D36" s="271">
        <v>45444</v>
      </c>
    </row>
    <row r="37" spans="1:4" x14ac:dyDescent="0.25">
      <c r="A37" s="227" t="s">
        <v>188</v>
      </c>
      <c r="B37" s="411">
        <v>2.65E-3</v>
      </c>
      <c r="C37" s="385"/>
      <c r="D37" s="271">
        <v>45444</v>
      </c>
    </row>
    <row r="38" spans="1:4" x14ac:dyDescent="0.25">
      <c r="A38" s="227" t="s">
        <v>236</v>
      </c>
      <c r="B38" s="411">
        <v>2.2890699999999998E-3</v>
      </c>
      <c r="C38" s="385"/>
      <c r="D38" s="271">
        <v>45444</v>
      </c>
    </row>
    <row r="39" spans="1:4" x14ac:dyDescent="0.25">
      <c r="A39" s="227" t="s">
        <v>235</v>
      </c>
      <c r="B39" s="411">
        <v>0</v>
      </c>
      <c r="C39" s="385"/>
      <c r="D39" s="271">
        <v>45444</v>
      </c>
    </row>
    <row r="40" spans="1:4" x14ac:dyDescent="0.25">
      <c r="A40" s="145" t="s">
        <v>162</v>
      </c>
      <c r="B40" s="411">
        <v>8.1709E-3</v>
      </c>
      <c r="C40" s="276"/>
      <c r="D40" s="271">
        <v>45444</v>
      </c>
    </row>
    <row r="41" spans="1:4" x14ac:dyDescent="0.25">
      <c r="A41" s="145" t="s">
        <v>163</v>
      </c>
      <c r="B41" s="385">
        <v>2.7900000000000001E-5</v>
      </c>
      <c r="C41" s="276"/>
      <c r="D41" s="271">
        <v>45444</v>
      </c>
    </row>
    <row r="42" spans="1:4" x14ac:dyDescent="0.25">
      <c r="A42" s="227" t="s">
        <v>189</v>
      </c>
      <c r="B42" s="385">
        <v>2.14E-3</v>
      </c>
      <c r="C42" s="276"/>
      <c r="D42" s="271">
        <v>45444</v>
      </c>
    </row>
    <row r="43" spans="1:4" x14ac:dyDescent="0.25">
      <c r="A43" s="227" t="s">
        <v>190</v>
      </c>
      <c r="B43" s="385">
        <v>1.66E-3</v>
      </c>
      <c r="C43" s="276"/>
      <c r="D43" s="271">
        <v>45444</v>
      </c>
    </row>
    <row r="44" spans="1:4" x14ac:dyDescent="0.25">
      <c r="A44" s="291" t="s">
        <v>341</v>
      </c>
      <c r="B44" s="385">
        <v>3.0709000000000001E-3</v>
      </c>
      <c r="C44" s="422">
        <v>1.325E-3</v>
      </c>
      <c r="D44" s="271">
        <v>45444</v>
      </c>
    </row>
    <row r="45" spans="1:4" x14ac:dyDescent="0.25">
      <c r="A45" s="291" t="s">
        <v>342</v>
      </c>
      <c r="B45" s="385">
        <v>2.5335000000000002E-3</v>
      </c>
      <c r="C45" s="422">
        <v>1.07E-3</v>
      </c>
      <c r="D45" s="271">
        <v>45444</v>
      </c>
    </row>
    <row r="46" spans="1:4" x14ac:dyDescent="0.25">
      <c r="A46" s="291" t="s">
        <v>343</v>
      </c>
      <c r="B46" s="385">
        <v>2.0022E-3</v>
      </c>
      <c r="C46" s="422">
        <v>8.3000000000000001E-4</v>
      </c>
      <c r="D46" s="271">
        <v>45444</v>
      </c>
    </row>
    <row r="47" spans="1:4" x14ac:dyDescent="0.25">
      <c r="D47" s="271"/>
    </row>
    <row r="48" spans="1:4" x14ac:dyDescent="0.25">
      <c r="A48" s="145"/>
      <c r="D48" s="392"/>
    </row>
    <row r="49" spans="1:8" x14ac:dyDescent="0.25">
      <c r="A49" s="382" t="s">
        <v>191</v>
      </c>
      <c r="B49" s="531">
        <v>-1.2408E-3</v>
      </c>
      <c r="C49" s="276"/>
      <c r="D49" s="26">
        <v>45562</v>
      </c>
      <c r="E49" s="276"/>
      <c r="F49" s="276"/>
    </row>
    <row r="50" spans="1:8" x14ac:dyDescent="0.25">
      <c r="A50" s="145"/>
      <c r="B50" s="276"/>
      <c r="C50" s="276"/>
      <c r="D50" s="271"/>
      <c r="E50" s="276"/>
      <c r="F50" s="276"/>
    </row>
    <row r="51" spans="1:8" x14ac:dyDescent="0.25">
      <c r="A51" s="133" t="s">
        <v>218</v>
      </c>
      <c r="B51" s="393" t="s">
        <v>221</v>
      </c>
      <c r="C51" s="393" t="s">
        <v>222</v>
      </c>
      <c r="D51" s="393" t="s">
        <v>34</v>
      </c>
      <c r="E51" s="393" t="s">
        <v>223</v>
      </c>
      <c r="F51" s="276"/>
    </row>
    <row r="52" spans="1:8" x14ac:dyDescent="0.25">
      <c r="A52" s="227" t="s">
        <v>219</v>
      </c>
      <c r="B52" s="522">
        <v>1.38</v>
      </c>
      <c r="C52" s="523">
        <v>0.01</v>
      </c>
      <c r="D52" s="524">
        <f>SUM(B52:C52)</f>
        <v>1.39</v>
      </c>
      <c r="E52" s="395">
        <v>45474</v>
      </c>
      <c r="F52" s="394"/>
    </row>
    <row r="53" spans="1:8" x14ac:dyDescent="0.25">
      <c r="A53" s="227" t="s">
        <v>220</v>
      </c>
      <c r="B53" s="525">
        <v>1.8006999999999999E-3</v>
      </c>
      <c r="C53" s="526">
        <v>0</v>
      </c>
      <c r="D53" s="394">
        <f>SUM(B53:C53)</f>
        <v>1.8006999999999999E-3</v>
      </c>
      <c r="E53" s="395">
        <v>45474</v>
      </c>
      <c r="F53" s="400"/>
    </row>
    <row r="54" spans="1:8" x14ac:dyDescent="0.25">
      <c r="A54" s="227"/>
      <c r="B54" s="253"/>
      <c r="C54" s="276"/>
      <c r="D54" s="271"/>
    </row>
    <row r="55" spans="1:8" x14ac:dyDescent="0.25">
      <c r="A55" s="227"/>
      <c r="B55" s="253"/>
      <c r="C55" s="276"/>
      <c r="D55" s="271"/>
    </row>
    <row r="56" spans="1:8" x14ac:dyDescent="0.25">
      <c r="A56" s="227"/>
      <c r="B56" s="253"/>
      <c r="D56" s="271"/>
    </row>
    <row r="57" spans="1:8" x14ac:dyDescent="0.25">
      <c r="A57" s="145"/>
      <c r="D57" s="392"/>
    </row>
    <row r="58" spans="1:8" x14ac:dyDescent="0.25">
      <c r="A58" s="133" t="s">
        <v>192</v>
      </c>
      <c r="D58" s="276"/>
    </row>
    <row r="59" spans="1:8" x14ac:dyDescent="0.25">
      <c r="A59" s="227" t="s">
        <v>153</v>
      </c>
      <c r="B59" s="18">
        <v>4.3837099999999997E-2</v>
      </c>
      <c r="C59" s="276"/>
      <c r="D59" s="271">
        <v>45383</v>
      </c>
      <c r="F59" s="396" t="s">
        <v>288</v>
      </c>
      <c r="G59" s="84">
        <v>2.3467399999999999E-2</v>
      </c>
      <c r="H59" s="271">
        <v>45383</v>
      </c>
    </row>
    <row r="60" spans="1:8" x14ac:dyDescent="0.25">
      <c r="A60" s="227" t="s">
        <v>187</v>
      </c>
      <c r="B60" s="18">
        <v>2.3467399999999999E-2</v>
      </c>
      <c r="C60" s="276"/>
      <c r="D60" s="271">
        <v>45383</v>
      </c>
      <c r="F60" s="396" t="s">
        <v>289</v>
      </c>
      <c r="G60" s="84">
        <v>3.2698999999999999E-2</v>
      </c>
      <c r="H60" s="271">
        <v>45383</v>
      </c>
    </row>
    <row r="61" spans="1:8" x14ac:dyDescent="0.25">
      <c r="A61" s="227" t="s">
        <v>188</v>
      </c>
      <c r="B61" s="18">
        <v>6.0079999999999997E-4</v>
      </c>
      <c r="C61" s="276"/>
      <c r="D61" s="271">
        <v>45383</v>
      </c>
    </row>
    <row r="62" spans="1:8" x14ac:dyDescent="0.25">
      <c r="A62" s="227" t="s">
        <v>189</v>
      </c>
      <c r="B62" s="18">
        <v>5.8060000000000002E-4</v>
      </c>
      <c r="C62" s="276"/>
      <c r="D62" s="271">
        <v>45383</v>
      </c>
    </row>
    <row r="63" spans="1:8" x14ac:dyDescent="0.25">
      <c r="A63" s="227" t="s">
        <v>190</v>
      </c>
      <c r="B63" s="18">
        <v>5.7019999999999998E-4</v>
      </c>
      <c r="C63" s="276"/>
      <c r="D63" s="271">
        <v>45383</v>
      </c>
    </row>
    <row r="64" spans="1:8" x14ac:dyDescent="0.25">
      <c r="C64" s="276"/>
      <c r="D64" s="276"/>
    </row>
    <row r="65" spans="1:4" x14ac:dyDescent="0.25">
      <c r="A65" s="133" t="s">
        <v>193</v>
      </c>
      <c r="C65" s="276"/>
      <c r="D65" s="276"/>
    </row>
    <row r="66" spans="1:4" x14ac:dyDescent="0.25">
      <c r="A66" s="227" t="s">
        <v>188</v>
      </c>
      <c r="B66" s="397">
        <v>6.73</v>
      </c>
      <c r="C66" s="276"/>
      <c r="D66" s="271">
        <v>45383</v>
      </c>
    </row>
    <row r="67" spans="1:4" x14ac:dyDescent="0.25">
      <c r="A67" s="227" t="s">
        <v>189</v>
      </c>
      <c r="B67" s="397">
        <v>6.76</v>
      </c>
      <c r="C67" s="276"/>
      <c r="D67" s="271">
        <v>45383</v>
      </c>
    </row>
    <row r="68" spans="1:4" x14ac:dyDescent="0.25">
      <c r="A68" s="227" t="s">
        <v>190</v>
      </c>
      <c r="B68" s="397">
        <v>7.45</v>
      </c>
      <c r="C68" s="276"/>
      <c r="D68" s="271">
        <v>45383</v>
      </c>
    </row>
    <row r="69" spans="1:4" x14ac:dyDescent="0.25">
      <c r="A69" s="227"/>
      <c r="B69" s="397"/>
      <c r="C69" s="276"/>
      <c r="D69" s="271"/>
    </row>
    <row r="70" spans="1:4" x14ac:dyDescent="0.25">
      <c r="A70" s="133" t="s">
        <v>344</v>
      </c>
      <c r="B70" s="385">
        <v>8.6240000000000004E-4</v>
      </c>
      <c r="C70" s="276"/>
      <c r="D70" s="271">
        <v>45532</v>
      </c>
    </row>
    <row r="71" spans="1:4" x14ac:dyDescent="0.25">
      <c r="A71" s="145"/>
      <c r="D71" s="271"/>
    </row>
    <row r="72" spans="1:4" x14ac:dyDescent="0.25">
      <c r="A72" s="133" t="s">
        <v>345</v>
      </c>
      <c r="C72" s="398" t="s">
        <v>215</v>
      </c>
      <c r="D72" s="271"/>
    </row>
    <row r="73" spans="1:4" x14ac:dyDescent="0.25">
      <c r="A73" s="145" t="s">
        <v>142</v>
      </c>
      <c r="B73" s="385">
        <v>0</v>
      </c>
      <c r="C73" s="385">
        <v>0</v>
      </c>
      <c r="D73" s="392">
        <v>44531</v>
      </c>
    </row>
    <row r="74" spans="1:4" x14ac:dyDescent="0.25">
      <c r="A74" s="145" t="s">
        <v>143</v>
      </c>
      <c r="B74" s="385">
        <v>0</v>
      </c>
      <c r="C74" s="385">
        <v>0</v>
      </c>
      <c r="D74" s="392">
        <v>44531</v>
      </c>
    </row>
    <row r="75" spans="1:4" x14ac:dyDescent="0.25">
      <c r="A75" s="145" t="s">
        <v>148</v>
      </c>
      <c r="B75" s="385">
        <v>0</v>
      </c>
      <c r="C75" s="385">
        <v>0</v>
      </c>
      <c r="D75" s="392">
        <v>44531</v>
      </c>
    </row>
    <row r="76" spans="1:4" x14ac:dyDescent="0.25">
      <c r="A76" s="145" t="s">
        <v>144</v>
      </c>
      <c r="B76" s="385">
        <v>0</v>
      </c>
      <c r="C76" s="385">
        <v>0</v>
      </c>
      <c r="D76" s="392">
        <v>44531</v>
      </c>
    </row>
    <row r="77" spans="1:4" x14ac:dyDescent="0.25">
      <c r="A77" s="145" t="s">
        <v>149</v>
      </c>
      <c r="B77" s="385">
        <v>0</v>
      </c>
      <c r="C77" s="385">
        <v>0</v>
      </c>
      <c r="D77" s="392">
        <v>44531</v>
      </c>
    </row>
    <row r="78" spans="1:4" x14ac:dyDescent="0.25">
      <c r="A78" s="145" t="s">
        <v>150</v>
      </c>
      <c r="B78" s="385">
        <v>0</v>
      </c>
      <c r="C78" s="385">
        <v>0</v>
      </c>
      <c r="D78" s="392">
        <v>44531</v>
      </c>
    </row>
    <row r="79" spans="1:4" x14ac:dyDescent="0.25">
      <c r="A79" s="145"/>
      <c r="B79" s="270"/>
      <c r="C79" s="270"/>
      <c r="D79" s="271"/>
    </row>
    <row r="80" spans="1:4" x14ac:dyDescent="0.25">
      <c r="A80" s="133" t="s">
        <v>203</v>
      </c>
      <c r="B80" s="276"/>
      <c r="C80" s="276"/>
      <c r="D80" s="392"/>
    </row>
    <row r="81" spans="1:4" x14ac:dyDescent="0.25">
      <c r="A81" s="145" t="s">
        <v>143</v>
      </c>
      <c r="B81" s="397">
        <v>0</v>
      </c>
      <c r="C81" s="385"/>
      <c r="D81" s="392">
        <v>45444</v>
      </c>
    </row>
    <row r="82" spans="1:4" x14ac:dyDescent="0.25">
      <c r="A82" s="145" t="s">
        <v>144</v>
      </c>
      <c r="B82" s="397">
        <v>0</v>
      </c>
      <c r="C82" s="385"/>
      <c r="D82" s="392">
        <v>45444</v>
      </c>
    </row>
    <row r="83" spans="1:4" x14ac:dyDescent="0.25">
      <c r="A83" s="145"/>
      <c r="B83" s="270"/>
      <c r="C83" s="270"/>
      <c r="D83" s="271"/>
    </row>
    <row r="84" spans="1:4" x14ac:dyDescent="0.25">
      <c r="A84" s="133" t="s">
        <v>204</v>
      </c>
      <c r="B84" s="276"/>
      <c r="C84" s="276"/>
      <c r="D84" s="392"/>
    </row>
    <row r="85" spans="1:4" x14ac:dyDescent="0.25">
      <c r="A85" s="145" t="s">
        <v>148</v>
      </c>
      <c r="B85" s="397">
        <v>0</v>
      </c>
      <c r="C85" s="385"/>
      <c r="D85" s="392">
        <v>45444</v>
      </c>
    </row>
    <row r="86" spans="1:4" x14ac:dyDescent="0.25">
      <c r="A86" s="145" t="s">
        <v>149</v>
      </c>
      <c r="B86" s="397">
        <v>0</v>
      </c>
      <c r="C86" s="385"/>
      <c r="D86" s="392">
        <v>45444</v>
      </c>
    </row>
    <row r="87" spans="1:4" x14ac:dyDescent="0.25">
      <c r="A87" s="145" t="s">
        <v>150</v>
      </c>
      <c r="B87" s="397">
        <v>0</v>
      </c>
      <c r="C87" s="270"/>
      <c r="D87" s="392">
        <v>45444</v>
      </c>
    </row>
    <row r="88" spans="1:4" x14ac:dyDescent="0.25">
      <c r="A88" s="145"/>
      <c r="B88" s="270"/>
      <c r="C88" s="270"/>
      <c r="D88" s="271"/>
    </row>
    <row r="89" spans="1:4" x14ac:dyDescent="0.25">
      <c r="A89" s="382" t="s">
        <v>151</v>
      </c>
      <c r="B89" s="532">
        <v>4.94232E-2</v>
      </c>
      <c r="C89" s="407"/>
      <c r="D89" s="528">
        <v>45562</v>
      </c>
    </row>
    <row r="90" spans="1:4" x14ac:dyDescent="0.25">
      <c r="A90" s="145"/>
      <c r="D90" s="392"/>
    </row>
    <row r="91" spans="1:4" x14ac:dyDescent="0.25">
      <c r="A91" s="25" t="s">
        <v>152</v>
      </c>
      <c r="B91" s="399">
        <v>6.6985699999999995E-2</v>
      </c>
      <c r="C91" s="399"/>
      <c r="D91" s="271">
        <v>45167</v>
      </c>
    </row>
    <row r="93" spans="1:4" x14ac:dyDescent="0.25">
      <c r="A93" s="25" t="s">
        <v>324</v>
      </c>
      <c r="B93" s="276"/>
      <c r="C93" s="276"/>
      <c r="D93" s="271"/>
    </row>
    <row r="94" spans="1:4" x14ac:dyDescent="0.25">
      <c r="A94" s="227" t="s">
        <v>153</v>
      </c>
      <c r="B94" s="400">
        <v>2.0299999999999998</v>
      </c>
      <c r="C94" s="400"/>
      <c r="D94" s="271">
        <v>45562</v>
      </c>
    </row>
    <row r="95" spans="1:4" x14ac:dyDescent="0.25">
      <c r="A95" s="227" t="s">
        <v>154</v>
      </c>
      <c r="B95" s="400">
        <v>17.12</v>
      </c>
      <c r="C95" s="400"/>
      <c r="D95" s="271">
        <v>45562</v>
      </c>
    </row>
    <row r="96" spans="1:4" x14ac:dyDescent="0.25">
      <c r="B96" s="276"/>
      <c r="C96" s="276"/>
      <c r="D96" s="276"/>
    </row>
    <row r="97" spans="1:6" x14ac:dyDescent="0.25">
      <c r="A97" s="25" t="s">
        <v>248</v>
      </c>
      <c r="B97" s="399"/>
      <c r="C97" s="399"/>
      <c r="D97" s="271"/>
    </row>
    <row r="98" spans="1:6" x14ac:dyDescent="0.25">
      <c r="A98" s="145" t="s">
        <v>142</v>
      </c>
      <c r="B98" s="385">
        <v>0</v>
      </c>
      <c r="C98" s="385"/>
      <c r="D98" s="271">
        <v>44531</v>
      </c>
      <c r="E98" s="401"/>
      <c r="F98" s="392"/>
    </row>
    <row r="99" spans="1:6" x14ac:dyDescent="0.25">
      <c r="A99" s="145" t="s">
        <v>143</v>
      </c>
      <c r="B99" s="385">
        <v>0</v>
      </c>
      <c r="C99" s="385"/>
      <c r="D99" s="271">
        <v>44531</v>
      </c>
      <c r="E99" s="401"/>
      <c r="F99" s="392"/>
    </row>
    <row r="100" spans="1:6" x14ac:dyDescent="0.25">
      <c r="A100" s="145" t="s">
        <v>205</v>
      </c>
      <c r="B100" s="385">
        <v>0</v>
      </c>
      <c r="C100" s="385"/>
      <c r="D100" s="271">
        <v>44531</v>
      </c>
      <c r="E100" s="401"/>
      <c r="F100" s="392"/>
    </row>
    <row r="101" spans="1:6" x14ac:dyDescent="0.25">
      <c r="A101" s="145" t="s">
        <v>206</v>
      </c>
      <c r="B101" s="385">
        <v>0</v>
      </c>
      <c r="C101" s="385"/>
      <c r="D101" s="271">
        <v>44531</v>
      </c>
      <c r="E101" s="401"/>
      <c r="F101" s="392"/>
    </row>
    <row r="102" spans="1:6" x14ac:dyDescent="0.25">
      <c r="A102" s="145" t="s">
        <v>207</v>
      </c>
      <c r="B102" s="385">
        <v>0</v>
      </c>
      <c r="C102" s="385"/>
      <c r="D102" s="271">
        <v>44531</v>
      </c>
      <c r="E102" s="401"/>
      <c r="F102" s="392"/>
    </row>
    <row r="103" spans="1:6" x14ac:dyDescent="0.25">
      <c r="A103" s="145" t="s">
        <v>208</v>
      </c>
      <c r="B103" s="385">
        <v>0</v>
      </c>
      <c r="C103" s="385"/>
      <c r="D103" s="271">
        <v>44531</v>
      </c>
      <c r="E103" s="401"/>
      <c r="F103" s="392"/>
    </row>
    <row r="104" spans="1:6" x14ac:dyDescent="0.25">
      <c r="A104" s="145" t="s">
        <v>209</v>
      </c>
      <c r="B104" s="385">
        <v>0</v>
      </c>
      <c r="C104" s="385"/>
      <c r="D104" s="271">
        <v>44531</v>
      </c>
      <c r="E104" s="401"/>
      <c r="F104" s="392"/>
    </row>
    <row r="105" spans="1:6" x14ac:dyDescent="0.25">
      <c r="A105" s="145" t="s">
        <v>210</v>
      </c>
      <c r="B105" s="385">
        <v>0</v>
      </c>
      <c r="C105" s="385"/>
      <c r="D105" s="271">
        <v>44531</v>
      </c>
      <c r="E105" s="401"/>
      <c r="F105" s="392"/>
    </row>
    <row r="106" spans="1:6" x14ac:dyDescent="0.25">
      <c r="A106" s="145" t="s">
        <v>211</v>
      </c>
      <c r="B106" s="385">
        <v>0</v>
      </c>
      <c r="C106" s="385"/>
      <c r="D106" s="271">
        <v>44531</v>
      </c>
      <c r="E106" s="401"/>
      <c r="F106" s="392"/>
    </row>
    <row r="107" spans="1:6" x14ac:dyDescent="0.25">
      <c r="A107" s="145" t="s">
        <v>212</v>
      </c>
      <c r="B107" s="385">
        <v>0</v>
      </c>
      <c r="C107" s="385"/>
      <c r="D107" s="271">
        <v>44531</v>
      </c>
      <c r="E107" s="401"/>
      <c r="F107" s="392"/>
    </row>
    <row r="108" spans="1:6" x14ac:dyDescent="0.25">
      <c r="B108" s="276"/>
      <c r="C108" s="276"/>
      <c r="D108" s="276"/>
    </row>
    <row r="109" spans="1:6" x14ac:dyDescent="0.25">
      <c r="A109" s="25" t="s">
        <v>155</v>
      </c>
      <c r="B109" s="527">
        <v>0.211176</v>
      </c>
      <c r="C109" s="399"/>
      <c r="D109" s="408">
        <v>45532</v>
      </c>
    </row>
    <row r="110" spans="1:6" x14ac:dyDescent="0.25">
      <c r="B110" s="276"/>
      <c r="C110" s="276"/>
      <c r="D110" s="276"/>
    </row>
    <row r="111" spans="1:6" x14ac:dyDescent="0.25">
      <c r="A111" s="25" t="s">
        <v>217</v>
      </c>
      <c r="B111" s="276"/>
      <c r="C111" s="276"/>
      <c r="D111" s="271"/>
    </row>
    <row r="112" spans="1:6" x14ac:dyDescent="0.25">
      <c r="A112" s="227" t="s">
        <v>153</v>
      </c>
      <c r="B112" s="400">
        <v>0</v>
      </c>
      <c r="C112" s="400"/>
      <c r="D112" s="271">
        <v>44894</v>
      </c>
    </row>
    <row r="113" spans="1:5" x14ac:dyDescent="0.25">
      <c r="A113" s="227" t="s">
        <v>154</v>
      </c>
      <c r="B113" s="400">
        <v>0</v>
      </c>
      <c r="C113" s="400"/>
      <c r="D113" s="271">
        <v>44894</v>
      </c>
    </row>
    <row r="115" spans="1:5" x14ac:dyDescent="0.25">
      <c r="A115" s="133" t="s">
        <v>213</v>
      </c>
      <c r="D115" s="271"/>
    </row>
    <row r="116" spans="1:5" x14ac:dyDescent="0.25">
      <c r="A116" s="145" t="s">
        <v>145</v>
      </c>
      <c r="B116" s="252">
        <v>3.8972999999999998E-3</v>
      </c>
      <c r="C116" s="270"/>
      <c r="D116" s="392">
        <v>44531</v>
      </c>
    </row>
    <row r="117" spans="1:5" x14ac:dyDescent="0.25">
      <c r="A117" s="145" t="s">
        <v>146</v>
      </c>
      <c r="B117" s="252">
        <v>3.7618E-3</v>
      </c>
      <c r="C117" s="270"/>
      <c r="D117" s="392">
        <v>44531</v>
      </c>
    </row>
    <row r="118" spans="1:5" x14ac:dyDescent="0.25">
      <c r="A118" s="145" t="s">
        <v>147</v>
      </c>
      <c r="B118" s="252">
        <v>3.6865999999999999E-3</v>
      </c>
      <c r="C118" s="270"/>
      <c r="D118" s="392">
        <v>44531</v>
      </c>
    </row>
    <row r="120" spans="1:5" x14ac:dyDescent="0.25">
      <c r="A120" s="133" t="s">
        <v>216</v>
      </c>
    </row>
    <row r="121" spans="1:5" x14ac:dyDescent="0.25">
      <c r="A121" s="145" t="s">
        <v>153</v>
      </c>
      <c r="B121" s="402">
        <v>-2.3000000000000001E-4</v>
      </c>
      <c r="D121" s="392">
        <v>44531</v>
      </c>
    </row>
    <row r="122" spans="1:5" x14ac:dyDescent="0.25">
      <c r="A122" s="145" t="s">
        <v>154</v>
      </c>
      <c r="B122" s="402">
        <v>-6.2E-4</v>
      </c>
      <c r="D122" s="392">
        <v>44531</v>
      </c>
    </row>
    <row r="124" spans="1:5" x14ac:dyDescent="0.25">
      <c r="A124" s="25" t="s">
        <v>225</v>
      </c>
      <c r="B124" s="276"/>
      <c r="C124" s="276"/>
      <c r="D124" s="271"/>
    </row>
    <row r="125" spans="1:5" x14ac:dyDescent="0.25">
      <c r="A125" s="227" t="s">
        <v>153</v>
      </c>
      <c r="B125" s="535">
        <v>0.97</v>
      </c>
      <c r="C125" s="400"/>
      <c r="D125" s="392">
        <v>45593</v>
      </c>
    </row>
    <row r="126" spans="1:5" x14ac:dyDescent="0.25">
      <c r="A126" s="227" t="s">
        <v>154</v>
      </c>
      <c r="B126" s="535">
        <v>4.84</v>
      </c>
      <c r="C126" s="400"/>
      <c r="D126" s="392">
        <v>45593</v>
      </c>
    </row>
    <row r="128" spans="1:5" x14ac:dyDescent="0.25">
      <c r="A128" s="133" t="s">
        <v>238</v>
      </c>
      <c r="B128" s="403"/>
      <c r="E128" s="271"/>
    </row>
    <row r="129" spans="1:5" x14ac:dyDescent="0.25">
      <c r="A129" s="227" t="s">
        <v>153</v>
      </c>
      <c r="B129" s="18">
        <v>0.1</v>
      </c>
      <c r="C129" s="392"/>
      <c r="E129" s="392">
        <v>44927</v>
      </c>
    </row>
    <row r="130" spans="1:5" x14ac:dyDescent="0.25">
      <c r="A130" s="145" t="s">
        <v>134</v>
      </c>
      <c r="B130" s="18">
        <v>2.9050000000000001E-4</v>
      </c>
      <c r="C130" s="404">
        <v>242</v>
      </c>
      <c r="D130" s="18" t="s">
        <v>239</v>
      </c>
      <c r="E130" s="392">
        <v>45292</v>
      </c>
    </row>
    <row r="131" spans="1:5" x14ac:dyDescent="0.25">
      <c r="A131" s="145" t="s">
        <v>135</v>
      </c>
      <c r="B131" s="18">
        <v>0</v>
      </c>
      <c r="E131" s="392">
        <v>44927</v>
      </c>
    </row>
    <row r="133" spans="1:5" x14ac:dyDescent="0.25">
      <c r="A133" s="133" t="s">
        <v>250</v>
      </c>
    </row>
    <row r="134" spans="1:5" x14ac:dyDescent="0.25">
      <c r="A134" s="227" t="s">
        <v>153</v>
      </c>
      <c r="B134" s="404">
        <v>0</v>
      </c>
      <c r="D134" s="392">
        <v>44531</v>
      </c>
    </row>
    <row r="135" spans="1:5" x14ac:dyDescent="0.25">
      <c r="A135" s="227" t="s">
        <v>187</v>
      </c>
      <c r="B135" s="404">
        <v>0</v>
      </c>
      <c r="D135" s="392">
        <v>44531</v>
      </c>
    </row>
    <row r="136" spans="1:5" x14ac:dyDescent="0.25">
      <c r="A136" s="227" t="s">
        <v>188</v>
      </c>
      <c r="B136" s="404">
        <v>0</v>
      </c>
      <c r="D136" s="392">
        <v>44531</v>
      </c>
    </row>
    <row r="137" spans="1:5" x14ac:dyDescent="0.25">
      <c r="A137" s="227" t="s">
        <v>189</v>
      </c>
      <c r="B137" s="404">
        <v>0</v>
      </c>
      <c r="D137" s="392">
        <v>44531</v>
      </c>
    </row>
    <row r="138" spans="1:5" x14ac:dyDescent="0.25">
      <c r="A138" s="227" t="s">
        <v>190</v>
      </c>
      <c r="B138" s="404">
        <v>0</v>
      </c>
      <c r="D138" s="392">
        <v>44531</v>
      </c>
    </row>
    <row r="140" spans="1:5" x14ac:dyDescent="0.25">
      <c r="A140" s="25" t="s">
        <v>249</v>
      </c>
      <c r="B140" s="276"/>
      <c r="C140" s="276"/>
      <c r="D140" s="271"/>
    </row>
    <row r="141" spans="1:5" x14ac:dyDescent="0.25">
      <c r="A141" s="227" t="s">
        <v>153</v>
      </c>
      <c r="B141" s="400">
        <v>0</v>
      </c>
      <c r="C141" s="400"/>
      <c r="D141" s="392">
        <v>44531</v>
      </c>
    </row>
    <row r="142" spans="1:5" x14ac:dyDescent="0.25">
      <c r="A142" s="227" t="s">
        <v>154</v>
      </c>
      <c r="B142" s="400">
        <v>0</v>
      </c>
      <c r="C142" s="400"/>
      <c r="D142" s="392">
        <v>44531</v>
      </c>
    </row>
    <row r="144" spans="1:5" x14ac:dyDescent="0.25">
      <c r="A144" s="25" t="s">
        <v>251</v>
      </c>
      <c r="D144" s="18" t="s">
        <v>252</v>
      </c>
    </row>
    <row r="146" spans="1:8" x14ac:dyDescent="0.25">
      <c r="A146" s="25" t="s">
        <v>327</v>
      </c>
      <c r="B146" s="533">
        <v>10</v>
      </c>
      <c r="C146" s="529">
        <v>3.7427700000000001E-2</v>
      </c>
      <c r="D146" s="417">
        <v>1.5787499999999999E-2</v>
      </c>
      <c r="E146" s="416"/>
      <c r="F146" s="416">
        <v>0</v>
      </c>
      <c r="G146" s="416">
        <v>0</v>
      </c>
      <c r="H146" s="418">
        <v>45444</v>
      </c>
    </row>
    <row r="148" spans="1:8" x14ac:dyDescent="0.25">
      <c r="A148" s="25" t="s">
        <v>328</v>
      </c>
      <c r="B148" s="534">
        <v>9.4</v>
      </c>
      <c r="C148" s="530">
        <v>2.0634799999999998E-2</v>
      </c>
      <c r="D148" s="416">
        <v>0</v>
      </c>
      <c r="E148" s="416">
        <v>0</v>
      </c>
      <c r="F148" s="416">
        <v>0</v>
      </c>
      <c r="G148" s="419">
        <v>0</v>
      </c>
      <c r="H148" s="418">
        <v>45444</v>
      </c>
    </row>
    <row r="149" spans="1:8" x14ac:dyDescent="0.25">
      <c r="A149" s="25" t="s">
        <v>329</v>
      </c>
      <c r="B149" s="534">
        <v>138.5</v>
      </c>
      <c r="C149" s="530">
        <v>1.3832199999999999E-2</v>
      </c>
      <c r="D149" s="416">
        <v>0</v>
      </c>
      <c r="E149" s="416">
        <v>0</v>
      </c>
      <c r="F149" s="416">
        <v>0</v>
      </c>
      <c r="G149" s="419">
        <v>0</v>
      </c>
      <c r="H149" s="418">
        <v>45444</v>
      </c>
    </row>
    <row r="150" spans="1:8" x14ac:dyDescent="0.25">
      <c r="A150" s="25" t="s">
        <v>330</v>
      </c>
      <c r="B150" s="534">
        <v>825</v>
      </c>
      <c r="C150" s="530">
        <v>5.9799999999999997E-5</v>
      </c>
      <c r="D150" s="416">
        <v>0</v>
      </c>
      <c r="E150" s="416">
        <v>0</v>
      </c>
      <c r="F150" s="416">
        <v>0</v>
      </c>
      <c r="G150" s="419">
        <v>0</v>
      </c>
      <c r="H150" s="418">
        <v>45444</v>
      </c>
    </row>
    <row r="151" spans="1:8" x14ac:dyDescent="0.25">
      <c r="A151" s="25" t="s">
        <v>331</v>
      </c>
      <c r="B151" s="534">
        <v>3600</v>
      </c>
      <c r="C151" s="530">
        <v>5.9799999999999997E-5</v>
      </c>
      <c r="D151" s="416">
        <v>0</v>
      </c>
      <c r="E151" s="416">
        <v>0</v>
      </c>
      <c r="F151" s="416">
        <v>0</v>
      </c>
      <c r="G151" s="419">
        <v>0</v>
      </c>
      <c r="H151" s="418">
        <v>45444</v>
      </c>
    </row>
  </sheetData>
  <sheetProtection algorithmName="SHA-512" hashValue="A/oDB3DRTP49RmSr9fsJFLmsQv//ReOhZK0osaty+2mbZzM8ZDwPBrtY3yS+5GG46iqYXvHePvtdCylgnbD7Mw==" saltValue="6zX6IdAhrTCkGDsrQlD1SA==" spinCount="100000" sheet="1" objects="1" scenarios="1"/>
  <mergeCells count="2">
    <mergeCell ref="B14:D14"/>
    <mergeCell ref="H14:J14"/>
  </mergeCells>
  <phoneticPr fontId="28" type="noConversion"/>
  <hyperlinks>
    <hyperlink ref="A40" r:id="rId1" display="GS-@ TOD (On-Peak)" xr:uid="{00000000-0004-0000-1500-000000000000}"/>
    <hyperlink ref="A41" r:id="rId2" display="GS-@ TOD (On-Peak)" xr:uid="{00000000-0004-0000-1500-000001000000}"/>
  </hyperlinks>
  <printOptions gridLines="1"/>
  <pageMargins left="0" right="0" top="0.5" bottom="0.5" header="0.25" footer="0.25"/>
  <pageSetup scale="70" fitToHeight="4" orientation="portrait" r:id="rId3"/>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G33"/>
  <sheetViews>
    <sheetView showGridLines="0" workbookViewId="0">
      <selection activeCell="I27" sqref="I27"/>
    </sheetView>
  </sheetViews>
  <sheetFormatPr defaultRowHeight="13.2" x14ac:dyDescent="0.25"/>
  <cols>
    <col min="1" max="1" width="42.44140625" customWidth="1"/>
    <col min="2" max="2" width="19.109375" customWidth="1"/>
    <col min="3" max="3" width="13.5546875" customWidth="1"/>
    <col min="4" max="5" width="12.5546875" customWidth="1"/>
    <col min="6" max="6" width="1.88671875" customWidth="1"/>
    <col min="7" max="7" width="11.44140625" customWidth="1"/>
  </cols>
  <sheetData>
    <row r="1" spans="1:7" x14ac:dyDescent="0.25">
      <c r="D1" s="4"/>
    </row>
    <row r="2" spans="1:7" ht="13.8" thickBot="1" x14ac:dyDescent="0.3">
      <c r="A2" s="601" t="s">
        <v>36</v>
      </c>
      <c r="B2" s="601"/>
      <c r="C2" s="601"/>
      <c r="D2" s="601"/>
      <c r="E2" s="601"/>
    </row>
    <row r="3" spans="1:7" ht="13.8" thickBot="1" x14ac:dyDescent="0.3">
      <c r="A3" s="15" t="s">
        <v>23</v>
      </c>
      <c r="B3" s="16" t="s">
        <v>7</v>
      </c>
      <c r="C3" s="16" t="s">
        <v>1</v>
      </c>
      <c r="D3" s="16" t="s">
        <v>6</v>
      </c>
      <c r="E3" s="17" t="s">
        <v>58</v>
      </c>
    </row>
    <row r="4" spans="1:7" x14ac:dyDescent="0.25">
      <c r="A4" s="9" t="s">
        <v>5</v>
      </c>
      <c r="B4" s="5">
        <v>2001</v>
      </c>
      <c r="C4" s="7">
        <v>-4.8782899999999997E-2</v>
      </c>
      <c r="D4" s="8" t="s">
        <v>57</v>
      </c>
      <c r="E4" s="73" t="b">
        <v>1</v>
      </c>
      <c r="G4" s="48" t="s">
        <v>38</v>
      </c>
    </row>
    <row r="5" spans="1:7" x14ac:dyDescent="0.25">
      <c r="A5" s="66" t="s">
        <v>60</v>
      </c>
      <c r="B5" s="596">
        <v>2001</v>
      </c>
      <c r="C5" s="68">
        <v>7.7130000000000005E-4</v>
      </c>
      <c r="D5" s="67" t="s">
        <v>59</v>
      </c>
      <c r="E5" s="602" t="b">
        <v>1</v>
      </c>
      <c r="G5" s="56"/>
    </row>
    <row r="6" spans="1:7" x14ac:dyDescent="0.25">
      <c r="A6" s="66" t="s">
        <v>61</v>
      </c>
      <c r="B6" s="598"/>
      <c r="C6" s="68">
        <v>1.83E-4</v>
      </c>
      <c r="D6" s="67" t="s">
        <v>59</v>
      </c>
      <c r="E6" s="604"/>
      <c r="G6" s="56"/>
    </row>
    <row r="7" spans="1:7" x14ac:dyDescent="0.25">
      <c r="A7" s="10" t="s">
        <v>4</v>
      </c>
      <c r="B7" s="5">
        <v>2001</v>
      </c>
      <c r="C7" s="47">
        <v>1.0758E-4</v>
      </c>
      <c r="D7" s="5" t="s">
        <v>59</v>
      </c>
      <c r="E7" s="61" t="b">
        <v>1</v>
      </c>
      <c r="G7" s="56"/>
    </row>
    <row r="8" spans="1:7" ht="12.75" customHeight="1" x14ac:dyDescent="0.25">
      <c r="A8" s="69" t="s">
        <v>47</v>
      </c>
      <c r="B8" s="596">
        <v>2001</v>
      </c>
      <c r="C8" s="70">
        <v>4.6499999999999996E-3</v>
      </c>
      <c r="D8" s="596" t="s">
        <v>59</v>
      </c>
      <c r="E8" s="602" t="b">
        <v>1</v>
      </c>
      <c r="G8" s="595" t="s">
        <v>38</v>
      </c>
    </row>
    <row r="9" spans="1:7" x14ac:dyDescent="0.25">
      <c r="A9" s="69" t="s">
        <v>48</v>
      </c>
      <c r="B9" s="597"/>
      <c r="C9" s="70">
        <v>4.1900000000000001E-3</v>
      </c>
      <c r="D9" s="597"/>
      <c r="E9" s="603" t="b">
        <v>0</v>
      </c>
      <c r="G9" s="595"/>
    </row>
    <row r="10" spans="1:7" x14ac:dyDescent="0.25">
      <c r="A10" s="69" t="s">
        <v>49</v>
      </c>
      <c r="B10" s="598"/>
      <c r="C10" s="70">
        <v>3.63E-3</v>
      </c>
      <c r="D10" s="598"/>
      <c r="E10" s="604"/>
      <c r="G10" s="595"/>
    </row>
    <row r="11" spans="1:7" x14ac:dyDescent="0.25">
      <c r="A11" s="10" t="s">
        <v>13</v>
      </c>
      <c r="B11" s="5">
        <v>2002</v>
      </c>
      <c r="C11" s="6">
        <v>4.3600000000000003E-5</v>
      </c>
      <c r="D11" s="5" t="s">
        <v>59</v>
      </c>
      <c r="E11" s="61" t="b">
        <v>1</v>
      </c>
    </row>
    <row r="12" spans="1:7" x14ac:dyDescent="0.25">
      <c r="A12" s="69" t="s">
        <v>14</v>
      </c>
      <c r="B12" s="71">
        <v>2002</v>
      </c>
      <c r="C12" s="70">
        <v>1.2520000000000001E-4</v>
      </c>
      <c r="D12" s="71" t="s">
        <v>59</v>
      </c>
      <c r="E12" s="72" t="b">
        <v>1</v>
      </c>
    </row>
    <row r="13" spans="1:7" x14ac:dyDescent="0.25">
      <c r="A13" s="10" t="s">
        <v>16</v>
      </c>
      <c r="B13" s="5">
        <v>2002</v>
      </c>
      <c r="C13" s="6">
        <v>3.369E-4</v>
      </c>
      <c r="D13" s="5" t="s">
        <v>59</v>
      </c>
      <c r="E13" s="61" t="b">
        <v>1</v>
      </c>
    </row>
    <row r="14" spans="1:7" x14ac:dyDescent="0.25">
      <c r="A14" s="69" t="s">
        <v>17</v>
      </c>
      <c r="B14" s="71">
        <v>2002</v>
      </c>
      <c r="C14" s="70">
        <v>9.6730000000000004E-4</v>
      </c>
      <c r="D14" s="71" t="s">
        <v>59</v>
      </c>
      <c r="E14" s="72" t="b">
        <v>1</v>
      </c>
    </row>
    <row r="15" spans="1:7" x14ac:dyDescent="0.25">
      <c r="A15" s="10" t="s">
        <v>62</v>
      </c>
      <c r="B15" s="5">
        <v>2001</v>
      </c>
      <c r="C15" s="6">
        <v>6.3080000000000005E-4</v>
      </c>
      <c r="D15" s="5" t="s">
        <v>59</v>
      </c>
      <c r="E15" s="61" t="b">
        <v>1</v>
      </c>
    </row>
    <row r="16" spans="1:7" x14ac:dyDescent="0.25">
      <c r="A16" s="69" t="s">
        <v>9</v>
      </c>
      <c r="B16" s="71">
        <v>2001</v>
      </c>
      <c r="C16" s="70">
        <v>5.5290000000000005E-4</v>
      </c>
      <c r="D16" s="71" t="s">
        <v>59</v>
      </c>
      <c r="E16" s="72" t="b">
        <v>1</v>
      </c>
    </row>
    <row r="17" spans="1:5" x14ac:dyDescent="0.25">
      <c r="A17" s="10" t="s">
        <v>10</v>
      </c>
      <c r="B17" s="5">
        <v>2001</v>
      </c>
      <c r="C17" s="6">
        <v>5.6780000000000003E-4</v>
      </c>
      <c r="D17" s="5" t="s">
        <v>59</v>
      </c>
      <c r="E17" s="61" t="b">
        <v>1</v>
      </c>
    </row>
    <row r="18" spans="1:5" x14ac:dyDescent="0.25">
      <c r="A18" s="69" t="s">
        <v>11</v>
      </c>
      <c r="B18" s="71">
        <v>2001</v>
      </c>
      <c r="C18" s="70">
        <v>4.5619999999999998E-4</v>
      </c>
      <c r="D18" s="71" t="s">
        <v>59</v>
      </c>
      <c r="E18" s="72" t="b">
        <v>1</v>
      </c>
    </row>
    <row r="19" spans="1:5" x14ac:dyDescent="0.25">
      <c r="A19" s="10" t="s">
        <v>12</v>
      </c>
      <c r="B19" s="5">
        <v>2001</v>
      </c>
      <c r="C19" s="6">
        <v>3.9589999999999997E-4</v>
      </c>
      <c r="D19" s="5" t="s">
        <v>59</v>
      </c>
      <c r="E19" s="61" t="b">
        <v>1</v>
      </c>
    </row>
    <row r="20" spans="1:5" x14ac:dyDescent="0.25">
      <c r="A20" s="69" t="s">
        <v>18</v>
      </c>
      <c r="B20" s="71">
        <v>2001</v>
      </c>
      <c r="C20" s="70">
        <v>-1.5192999999999999E-3</v>
      </c>
      <c r="D20" s="71" t="s">
        <v>59</v>
      </c>
      <c r="E20" s="72" t="b">
        <v>1</v>
      </c>
    </row>
    <row r="21" spans="1:5" x14ac:dyDescent="0.25">
      <c r="A21" s="10" t="s">
        <v>19</v>
      </c>
      <c r="B21" s="5">
        <v>2001</v>
      </c>
      <c r="C21" s="6">
        <v>-1.3071000000000001E-3</v>
      </c>
      <c r="D21" s="5" t="s">
        <v>59</v>
      </c>
      <c r="E21" s="61" t="b">
        <v>1</v>
      </c>
    </row>
    <row r="22" spans="1:5" x14ac:dyDescent="0.25">
      <c r="A22" s="69" t="s">
        <v>20</v>
      </c>
      <c r="B22" s="71">
        <v>2001</v>
      </c>
      <c r="C22" s="70">
        <v>-1.3320000000000001E-3</v>
      </c>
      <c r="D22" s="71" t="s">
        <v>59</v>
      </c>
      <c r="E22" s="72" t="b">
        <v>1</v>
      </c>
    </row>
    <row r="23" spans="1:5" x14ac:dyDescent="0.25">
      <c r="A23" s="10" t="s">
        <v>21</v>
      </c>
      <c r="B23" s="5">
        <v>2001</v>
      </c>
      <c r="C23" s="6">
        <v>-1.0334999999999999E-3</v>
      </c>
      <c r="D23" s="5" t="s">
        <v>59</v>
      </c>
      <c r="E23" s="61" t="b">
        <v>1</v>
      </c>
    </row>
    <row r="24" spans="1:5" x14ac:dyDescent="0.25">
      <c r="A24" s="69" t="s">
        <v>22</v>
      </c>
      <c r="B24" s="71">
        <v>2001</v>
      </c>
      <c r="C24" s="70">
        <v>-8.7730000000000002E-4</v>
      </c>
      <c r="D24" s="71" t="s">
        <v>59</v>
      </c>
      <c r="E24" s="72" t="b">
        <v>1</v>
      </c>
    </row>
    <row r="25" spans="1:5" x14ac:dyDescent="0.25">
      <c r="A25" s="10" t="s">
        <v>40</v>
      </c>
      <c r="B25" s="5">
        <v>2001</v>
      </c>
      <c r="C25" s="6">
        <v>-2.5000000000000001E-3</v>
      </c>
      <c r="D25" s="5" t="s">
        <v>59</v>
      </c>
      <c r="E25" s="61" t="b">
        <v>1</v>
      </c>
    </row>
    <row r="26" spans="1:5" x14ac:dyDescent="0.25">
      <c r="A26" s="48" t="s">
        <v>39</v>
      </c>
      <c r="C26" s="19"/>
      <c r="D26" s="20"/>
      <c r="E26" s="21"/>
    </row>
    <row r="27" spans="1:5" ht="101.25" customHeight="1" x14ac:dyDescent="0.25">
      <c r="A27" s="600"/>
      <c r="B27" s="600"/>
      <c r="C27" s="600"/>
      <c r="D27" s="600"/>
      <c r="E27" s="600"/>
    </row>
    <row r="28" spans="1:5" ht="78" customHeight="1" x14ac:dyDescent="0.25">
      <c r="A28" s="600"/>
      <c r="B28" s="600"/>
      <c r="C28" s="600"/>
      <c r="D28" s="600"/>
      <c r="E28" s="600"/>
    </row>
    <row r="29" spans="1:5" ht="46.5" customHeight="1" x14ac:dyDescent="0.25">
      <c r="A29" s="600"/>
      <c r="B29" s="600"/>
      <c r="C29" s="600"/>
      <c r="D29" s="600"/>
      <c r="E29" s="600"/>
    </row>
    <row r="30" spans="1:5" ht="32.25" customHeight="1" x14ac:dyDescent="0.25">
      <c r="A30" s="599"/>
      <c r="B30" s="599"/>
      <c r="C30" s="599"/>
      <c r="D30" s="599"/>
      <c r="E30" s="599"/>
    </row>
    <row r="31" spans="1:5" ht="79.5" customHeight="1" x14ac:dyDescent="0.25">
      <c r="A31" s="600"/>
      <c r="B31" s="600"/>
      <c r="C31" s="600"/>
      <c r="D31" s="600"/>
      <c r="E31" s="600"/>
    </row>
    <row r="32" spans="1:5" ht="39" customHeight="1" x14ac:dyDescent="0.25">
      <c r="A32" s="599"/>
      <c r="B32" s="600"/>
      <c r="C32" s="600"/>
      <c r="D32" s="600"/>
      <c r="E32" s="600"/>
    </row>
    <row r="33" spans="1:5" ht="38.25" customHeight="1" x14ac:dyDescent="0.25">
      <c r="A33" s="599"/>
      <c r="B33" s="600"/>
      <c r="C33" s="600"/>
      <c r="D33" s="600"/>
      <c r="E33" s="600"/>
    </row>
  </sheetData>
  <sheetProtection sheet="1" objects="1" scenarios="1"/>
  <mergeCells count="14">
    <mergeCell ref="G8:G10"/>
    <mergeCell ref="D8:D10"/>
    <mergeCell ref="B8:B10"/>
    <mergeCell ref="A33:E33"/>
    <mergeCell ref="A2:E2"/>
    <mergeCell ref="A27:E27"/>
    <mergeCell ref="A28:E28"/>
    <mergeCell ref="A32:E32"/>
    <mergeCell ref="A30:E30"/>
    <mergeCell ref="A31:E31"/>
    <mergeCell ref="A29:E29"/>
    <mergeCell ref="E8:E10"/>
    <mergeCell ref="B5:B6"/>
    <mergeCell ref="E5:E6"/>
  </mergeCells>
  <phoneticPr fontId="0" type="noConversion"/>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198120</xdr:colOff>
                    <xdr:row>2</xdr:row>
                    <xdr:rowOff>106680</xdr:rowOff>
                  </from>
                  <to>
                    <xdr:col>6</xdr:col>
                    <xdr:colOff>83820</xdr:colOff>
                    <xdr:row>4</xdr:row>
                    <xdr:rowOff>7620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198120</xdr:colOff>
                    <xdr:row>4</xdr:row>
                    <xdr:rowOff>30480</xdr:rowOff>
                  </from>
                  <to>
                    <xdr:col>6</xdr:col>
                    <xdr:colOff>83820</xdr:colOff>
                    <xdr:row>5</xdr:row>
                    <xdr:rowOff>68580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198120</xdr:colOff>
                    <xdr:row>5</xdr:row>
                    <xdr:rowOff>83820</xdr:rowOff>
                  </from>
                  <to>
                    <xdr:col>6</xdr:col>
                    <xdr:colOff>83820</xdr:colOff>
                    <xdr:row>7</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198120</xdr:colOff>
                    <xdr:row>7</xdr:row>
                    <xdr:rowOff>76200</xdr:rowOff>
                  </from>
                  <to>
                    <xdr:col>5</xdr:col>
                    <xdr:colOff>0</xdr:colOff>
                    <xdr:row>9</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198120</xdr:colOff>
                    <xdr:row>9</xdr:row>
                    <xdr:rowOff>83820</xdr:rowOff>
                  </from>
                  <to>
                    <xdr:col>6</xdr:col>
                    <xdr:colOff>83820</xdr:colOff>
                    <xdr:row>11</xdr:row>
                    <xdr:rowOff>30480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198120</xdr:colOff>
                    <xdr:row>10</xdr:row>
                    <xdr:rowOff>83820</xdr:rowOff>
                  </from>
                  <to>
                    <xdr:col>5</xdr:col>
                    <xdr:colOff>0</xdr:colOff>
                    <xdr:row>12</xdr:row>
                    <xdr:rowOff>30480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xdr:col>
                    <xdr:colOff>198120</xdr:colOff>
                    <xdr:row>11</xdr:row>
                    <xdr:rowOff>83820</xdr:rowOff>
                  </from>
                  <to>
                    <xdr:col>5</xdr:col>
                    <xdr:colOff>0</xdr:colOff>
                    <xdr:row>13</xdr:row>
                    <xdr:rowOff>30480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198120</xdr:colOff>
                    <xdr:row>12</xdr:row>
                    <xdr:rowOff>83820</xdr:rowOff>
                  </from>
                  <to>
                    <xdr:col>5</xdr:col>
                    <xdr:colOff>0</xdr:colOff>
                    <xdr:row>14</xdr:row>
                    <xdr:rowOff>30480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198120</xdr:colOff>
                    <xdr:row>13</xdr:row>
                    <xdr:rowOff>83820</xdr:rowOff>
                  </from>
                  <to>
                    <xdr:col>5</xdr:col>
                    <xdr:colOff>0</xdr:colOff>
                    <xdr:row>15</xdr:row>
                    <xdr:rowOff>30480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198120</xdr:colOff>
                    <xdr:row>14</xdr:row>
                    <xdr:rowOff>106680</xdr:rowOff>
                  </from>
                  <to>
                    <xdr:col>5</xdr:col>
                    <xdr:colOff>0</xdr:colOff>
                    <xdr:row>16</xdr:row>
                    <xdr:rowOff>30480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198120</xdr:colOff>
                    <xdr:row>15</xdr:row>
                    <xdr:rowOff>83820</xdr:rowOff>
                  </from>
                  <to>
                    <xdr:col>5</xdr:col>
                    <xdr:colOff>0</xdr:colOff>
                    <xdr:row>17</xdr:row>
                    <xdr:rowOff>30480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198120</xdr:colOff>
                    <xdr:row>16</xdr:row>
                    <xdr:rowOff>83820</xdr:rowOff>
                  </from>
                  <to>
                    <xdr:col>5</xdr:col>
                    <xdr:colOff>0</xdr:colOff>
                    <xdr:row>18</xdr:row>
                    <xdr:rowOff>7620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198120</xdr:colOff>
                    <xdr:row>17</xdr:row>
                    <xdr:rowOff>83820</xdr:rowOff>
                  </from>
                  <to>
                    <xdr:col>5</xdr:col>
                    <xdr:colOff>0</xdr:colOff>
                    <xdr:row>19</xdr:row>
                    <xdr:rowOff>30480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198120</xdr:colOff>
                    <xdr:row>18</xdr:row>
                    <xdr:rowOff>83820</xdr:rowOff>
                  </from>
                  <to>
                    <xdr:col>5</xdr:col>
                    <xdr:colOff>0</xdr:colOff>
                    <xdr:row>20</xdr:row>
                    <xdr:rowOff>30480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198120</xdr:colOff>
                    <xdr:row>19</xdr:row>
                    <xdr:rowOff>83820</xdr:rowOff>
                  </from>
                  <to>
                    <xdr:col>5</xdr:col>
                    <xdr:colOff>0</xdr:colOff>
                    <xdr:row>21</xdr:row>
                    <xdr:rowOff>30480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198120</xdr:colOff>
                    <xdr:row>20</xdr:row>
                    <xdr:rowOff>83820</xdr:rowOff>
                  </from>
                  <to>
                    <xdr:col>5</xdr:col>
                    <xdr:colOff>0</xdr:colOff>
                    <xdr:row>22</xdr:row>
                    <xdr:rowOff>30480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198120</xdr:colOff>
                    <xdr:row>21</xdr:row>
                    <xdr:rowOff>83820</xdr:rowOff>
                  </from>
                  <to>
                    <xdr:col>5</xdr:col>
                    <xdr:colOff>0</xdr:colOff>
                    <xdr:row>23</xdr:row>
                    <xdr:rowOff>30480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xdr:col>
                    <xdr:colOff>198120</xdr:colOff>
                    <xdr:row>22</xdr:row>
                    <xdr:rowOff>83820</xdr:rowOff>
                  </from>
                  <to>
                    <xdr:col>5</xdr:col>
                    <xdr:colOff>0</xdr:colOff>
                    <xdr:row>24</xdr:row>
                    <xdr:rowOff>30480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xdr:col>
                    <xdr:colOff>198120</xdr:colOff>
                    <xdr:row>23</xdr:row>
                    <xdr:rowOff>83820</xdr:rowOff>
                  </from>
                  <to>
                    <xdr:col>5</xdr:col>
                    <xdr:colOff>0</xdr:colOff>
                    <xdr:row>25</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66E1F49E4A5F4F901E7B53DFF89840" ma:contentTypeVersion="0" ma:contentTypeDescription="Create a new document." ma:contentTypeScope="" ma:versionID="c83cccf63b51a0b80fbd7d1f8d67c54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wvc2lzbD48VXNlck5hbWU+Q09SUFxzMjE0Mjg0PC9Vc2VyTmFtZT48RGF0ZVRpbWU+Mi85LzIwMjIgMzo1OTo0MSBQTTwvRGF0ZVRpbWU+PExhYmVsU3RyaW5nPkFFUCBQdWJsaWM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sisl>
</file>

<file path=customXml/itemProps1.xml><?xml version="1.0" encoding="utf-8"?>
<ds:datastoreItem xmlns:ds="http://schemas.openxmlformats.org/officeDocument/2006/customXml" ds:itemID="{BAA3C3FA-2552-4DFE-89EC-1E0E2B13CA90}">
  <ds:schemaRefs>
    <ds:schemaRef ds:uri="http://schemas.microsoft.com/sharepoint/v3/contenttype/forms"/>
  </ds:schemaRefs>
</ds:datastoreItem>
</file>

<file path=customXml/itemProps2.xml><?xml version="1.0" encoding="utf-8"?>
<ds:datastoreItem xmlns:ds="http://schemas.openxmlformats.org/officeDocument/2006/customXml" ds:itemID="{E4008907-0E25-47A3-957E-4399DC5131C0}">
  <ds:schemaRef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A6A1896-A605-4818-867F-6CC6ECA9D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3F24AF51-D3D8-490B-99D1-5A8AAE94ED87}">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69621D36-5129-48FA-BA52-BF38BDA6F8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28</vt:i4>
      </vt:variant>
    </vt:vector>
  </HeadingPairs>
  <TitlesOfParts>
    <vt:vector size="62" baseType="lpstr">
      <vt:lpstr>Customer Info</vt:lpstr>
      <vt:lpstr>Rider Def</vt:lpstr>
      <vt:lpstr>RR Bundled</vt:lpstr>
      <vt:lpstr>RLM Bundled</vt:lpstr>
      <vt:lpstr>RSDM Bundled</vt:lpstr>
      <vt:lpstr>RS TOU Bundled</vt:lpstr>
      <vt:lpstr>RS PEV </vt:lpstr>
      <vt:lpstr>RS TOD Bundled</vt:lpstr>
      <vt:lpstr>RR Pilot PEV</vt:lpstr>
      <vt:lpstr>GS-1 Bundled</vt:lpstr>
      <vt:lpstr>GS-TOU Bundled</vt:lpstr>
      <vt:lpstr>GS TOD Bundled</vt:lpstr>
      <vt:lpstr>GS-Pilot PEV</vt:lpstr>
      <vt:lpstr>GS FAIR - SEC</vt:lpstr>
      <vt:lpstr>GS FAIR - PRI</vt:lpstr>
      <vt:lpstr>Bus PEV - Sec</vt:lpstr>
      <vt:lpstr>Bus PEV - Primary</vt:lpstr>
      <vt:lpstr>Bus PEV - Trans</vt:lpstr>
      <vt:lpstr>GS SEC</vt:lpstr>
      <vt:lpstr>GS PRI</vt:lpstr>
      <vt:lpstr>GS TRANS</vt:lpstr>
      <vt:lpstr>RR Open Access</vt:lpstr>
      <vt:lpstr>RS PEV  OAD</vt:lpstr>
      <vt:lpstr>RSDM Open</vt:lpstr>
      <vt:lpstr>GS-1 Open</vt:lpstr>
      <vt:lpstr>GS-PEV Pilot OAD</vt:lpstr>
      <vt:lpstr>GS SEC OAD</vt:lpstr>
      <vt:lpstr>GS PRI OAD</vt:lpstr>
      <vt:lpstr>GS TRANS - OAD</vt:lpstr>
      <vt:lpstr>Bus PEV - Sec OAD</vt:lpstr>
      <vt:lpstr>Bus PEV - Primary OAD</vt:lpstr>
      <vt:lpstr>Bus PEV - Trans OAD</vt:lpstr>
      <vt:lpstr>Rider Rates</vt:lpstr>
      <vt:lpstr>Riders</vt:lpstr>
      <vt:lpstr>'Customer Info'!Print_Area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Pilot OAD'!Print_Area</vt:lpstr>
      <vt:lpstr>'GS-Pilot PEV'!Print_Area</vt:lpstr>
      <vt:lpstr>'GS-TOU Bundled'!Print_Area</vt:lpstr>
      <vt:lpstr>'Rider Def'!Print_Area</vt:lpstr>
      <vt:lpstr>'Rider Rates'!Print_Area</vt:lpstr>
      <vt:lpstr>'RLM Bundled'!Print_Area</vt:lpstr>
      <vt:lpstr>'RR Bundled'!Print_Area</vt:lpstr>
      <vt:lpstr>'RR Open Access'!Print_Area</vt:lpstr>
      <vt:lpstr>'RR Pilot PEV'!Print_Area</vt:lpstr>
      <vt:lpstr>'RS PEV '!Print_Area</vt:lpstr>
      <vt:lpstr>'RS PEV  OAD'!Print_Area</vt:lpstr>
      <vt:lpstr>'RS TOD Bundled'!Print_Area</vt:lpstr>
      <vt:lpstr>'RS TOU Bundled'!Print_Area</vt:lpstr>
      <vt:lpstr>'RSDM Bundled'!Print_Area</vt:lpstr>
      <vt:lpstr>'RSDM Open'!Print_Area</vt:lpstr>
      <vt:lpstr>'Rider Rates'!Print_Titles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aep</dc:creator>
  <cp:keywords/>
  <cp:lastModifiedBy>Katie Mast</cp:lastModifiedBy>
  <cp:lastPrinted>2023-06-07T15:43:40Z</cp:lastPrinted>
  <dcterms:created xsi:type="dcterms:W3CDTF">2000-11-03T19:24:31Z</dcterms:created>
  <dcterms:modified xsi:type="dcterms:W3CDTF">2024-10-23T12:19:17Z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8c3e659f-6535-4092-8ac9-730d717eb7e6</vt:lpwstr>
  </property>
  <property fmtid="{D5CDD505-2E9C-101B-9397-08002B2CF9AE}" pid="3" name="bjSaver">
    <vt:lpwstr>U1v8mr3eKs0tgCx2MG+dSVdPBDLtHi3C</vt:lpwstr>
  </property>
  <property fmtid="{D5CDD505-2E9C-101B-9397-08002B2CF9AE}" pid="4" name="Visual Markings Removed">
    <vt:lpwstr>No</vt:lpwstr>
  </property>
  <property fmtid="{D5CDD505-2E9C-101B-9397-08002B2CF9AE}" pid="5" name="bjDocumentSecurityLabel">
    <vt:lpwstr>AEP Public</vt:lpwstr>
  </property>
  <property fmtid="{D5CDD505-2E9C-101B-9397-08002B2CF9AE}" pid="6" name="bjLabelHistoryID">
    <vt:lpwstr>{3F24AF51-D3D8-490B-99D1-5A8AAE94ED87}</vt:lpwstr>
  </property>
  <property fmtid="{D5CDD505-2E9C-101B-9397-08002B2CF9AE}" pid="7" name="bjClsUserRVM">
    <vt:lpwstr>[]</vt:lpwstr>
  </property>
  <property fmtid="{D5CDD505-2E9C-101B-9397-08002B2CF9AE}" pid="8" name="MSIP_Label_5c34e43d-0b77-4b2c-b224-1b46981ccfdb_SiteId">
    <vt:lpwstr>15f3c881-6b03-4ff6-8559-77bf5177818f</vt:lpwstr>
  </property>
  <property fmtid="{D5CDD505-2E9C-101B-9397-08002B2CF9AE}" pid="9" name="MSIP_Label_5c34e43d-0b77-4b2c-b224-1b46981ccfdb_Name">
    <vt:lpwstr>AEP Public</vt:lpwstr>
  </property>
  <property fmtid="{D5CDD505-2E9C-101B-9397-08002B2CF9AE}" pid="10" name="MSIP_Label_5c34e43d-0b77-4b2c-b224-1b46981ccfdb_Enabled">
    <vt:lpwstr>true</vt:lpwstr>
  </property>
  <property fmtid="{D5CDD505-2E9C-101B-9397-08002B2CF9AE}" pid="11" name="ContentTypeId">
    <vt:lpwstr>0x010100F766E1F49E4A5F4F901E7B53DFF89840</vt:lpwstr>
  </property>
  <property fmtid="{D5CDD505-2E9C-101B-9397-08002B2CF9AE}" pid="12"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3" name="bjDocumentLabelXML-0">
    <vt:lpwstr>ames.com/2008/01/sie/internal/label"&gt;&lt;element uid="c5f8eb12-5b27-439d-aaa6-3402af626fa3" value="" /&gt;&lt;/sisl&gt;</vt:lpwstr>
  </property>
</Properties>
</file>