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0.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1.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1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13.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14.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15.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drawings/drawing16.xml" ContentType="application/vnd.openxmlformats-officedocument.drawing+xml"/>
  <Override PartName="/xl/ctrlProps/ctrlProp335.xml" ContentType="application/vnd.ms-excel.controlproperties+xml"/>
  <Override PartName="/xl/ctrlProps/ctrlProp336.xml" ContentType="application/vnd.ms-excel.controlproperties+xml"/>
  <Override PartName="/xl/drawings/drawing17.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drawings/drawing18.xml" ContentType="application/vnd.openxmlformats-officedocument.drawing+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drawings/drawing19.xml" ContentType="application/vnd.openxmlformats-officedocument.drawing+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drawings/drawing20.xml" ContentType="application/vnd.openxmlformats-officedocument.drawing+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drawings/drawing21.xml" ContentType="application/vnd.openxmlformats-officedocument.drawing+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drawings/drawing22.xml" ContentType="application/vnd.openxmlformats-officedocument.drawing+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drawings/drawing23.xml" ContentType="application/vnd.openxmlformats-officedocument.drawing+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qcelfs01\ohpres\internal\RP&amp;A\Rate Changes &amp; Tariff Book Files\Rate Change\Rate Calc\2024\April\"/>
    </mc:Choice>
  </mc:AlternateContent>
  <xr:revisionPtr revIDLastSave="0" documentId="13_ncr:1_{312FA258-0400-43A5-ACEB-4C55CF06FCD7}" xr6:coauthVersionLast="47" xr6:coauthVersionMax="47" xr10:uidLastSave="{00000000-0000-0000-0000-000000000000}"/>
  <bookViews>
    <workbookView xWindow="-120" yWindow="-120" windowWidth="24240" windowHeight="13020" tabRatio="821" xr2:uid="{00000000-000D-0000-FFFF-FFFF00000000}"/>
  </bookViews>
  <sheets>
    <sheet name="Customer Info" sheetId="1" r:id="rId1"/>
    <sheet name="Rider Def" sheetId="143" r:id="rId2"/>
    <sheet name="RR Bundled" sheetId="34" r:id="rId3"/>
    <sheet name="RSDM Bundled" sheetId="100" r:id="rId4"/>
    <sheet name="RS TOU Bundled" sheetId="127" r:id="rId5"/>
    <sheet name="RS TOD Bundled" sheetId="126" r:id="rId6"/>
    <sheet name="RR PEV" sheetId="140" r:id="rId7"/>
    <sheet name="GS-1 Bundled" sheetId="37" r:id="rId8"/>
    <sheet name="GS-TOU Bundled" sheetId="128" r:id="rId9"/>
    <sheet name="GS TOD Bundled" sheetId="119" r:id="rId10"/>
    <sheet name="GS-PEV" sheetId="144" r:id="rId11"/>
    <sheet name="GS FAIR - SEC" sheetId="138" r:id="rId12"/>
    <sheet name="GS FAIR - PRI" sheetId="139" r:id="rId13"/>
    <sheet name="GS SEC" sheetId="40" r:id="rId14"/>
    <sheet name="GS PRI" sheetId="129" r:id="rId15"/>
    <sheet name="GS TRANS" sheetId="130" r:id="rId16"/>
    <sheet name="RR Open Access" sheetId="131" r:id="rId17"/>
    <sheet name="RSDM Open" sheetId="132" r:id="rId18"/>
    <sheet name="GS-1 Open" sheetId="133" r:id="rId19"/>
    <sheet name="GS-PEV OAD" sheetId="145" r:id="rId20"/>
    <sheet name="GS SEC OAD" sheetId="141" r:id="rId21"/>
    <sheet name="GS PRI OAD" sheetId="142" r:id="rId22"/>
    <sheet name="GS TRANS - OAD" sheetId="136" r:id="rId23"/>
    <sheet name="Rider Rates" sheetId="120" r:id="rId24"/>
    <sheet name="Riders" sheetId="61" state="hidden" r:id="rId25"/>
  </sheets>
  <definedNames>
    <definedName name="_xlnm.Print_Area" localSheetId="0">'Customer Info'!$A$1:$F$37</definedName>
    <definedName name="_xlnm.Print_Area" localSheetId="12">'GS FAIR - PRI'!$A$1:$P$72</definedName>
    <definedName name="_xlnm.Print_Area" localSheetId="11">'GS FAIR - SEC'!$A$1:$P$72</definedName>
    <definedName name="_xlnm.Print_Area" localSheetId="14">'GS PRI'!$A$1:$P$79</definedName>
    <definedName name="_xlnm.Print_Area" localSheetId="21">'GS PRI OAD'!$A$1:$P$73</definedName>
    <definedName name="_xlnm.Print_Area" localSheetId="13">'GS SEC'!$A$1:$P$79</definedName>
    <definedName name="_xlnm.Print_Area" localSheetId="20">'GS SEC OAD'!$A$1:$P$73</definedName>
    <definedName name="_xlnm.Print_Area" localSheetId="9">'GS TOD Bundled'!$A$1:$P$64</definedName>
    <definedName name="_xlnm.Print_Area" localSheetId="15">'GS TRANS'!$A$1:$P$78</definedName>
    <definedName name="_xlnm.Print_Area" localSheetId="22">'GS TRANS - OAD'!$A$1:$P$72</definedName>
    <definedName name="_xlnm.Print_Area" localSheetId="7">'GS-1 Bundled'!$A$1:$P$65</definedName>
    <definedName name="_xlnm.Print_Area" localSheetId="18">'GS-1 Open'!$A$1:$P$61</definedName>
    <definedName name="_xlnm.Print_Area" localSheetId="10">'GS-PEV'!$A$1:$P$66</definedName>
    <definedName name="_xlnm.Print_Area" localSheetId="19">'GS-PEV OAD'!$A$1:$P$66</definedName>
    <definedName name="_xlnm.Print_Area" localSheetId="8">'GS-TOU Bundled'!$A$1:$P$66</definedName>
    <definedName name="_xlnm.Print_Area" localSheetId="1">'Rider Def'!$A$1:$A$34</definedName>
    <definedName name="_xlnm.Print_Area" localSheetId="23">'Rider Rates'!$A$63:$D$78</definedName>
    <definedName name="_xlnm.Print_Area" localSheetId="2">'RR Bundled'!$A$1:$P$68</definedName>
    <definedName name="_xlnm.Print_Area" localSheetId="16">'RR Open Access'!$A$1:$P$63</definedName>
    <definedName name="_xlnm.Print_Area" localSheetId="6">'RR PEV'!$A$1:$P$69</definedName>
    <definedName name="_xlnm.Print_Area" localSheetId="5">'RS TOD Bundled'!$A$1:$P$63</definedName>
    <definedName name="_xlnm.Print_Area" localSheetId="4">'RS TOU Bundled'!$A$1:$P$69</definedName>
    <definedName name="_xlnm.Print_Area" localSheetId="3">'RSDM Bundled'!$A$1:$P$61</definedName>
    <definedName name="_xlnm.Print_Area" localSheetId="17">'RSDM Open'!$A$1:$P$56</definedName>
    <definedName name="_xlnm.Print_Titles" localSheetId="23">'Rider Rates'!$1:$2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4" i="145" l="1"/>
  <c r="I54" i="145"/>
  <c r="J54" i="145" s="1"/>
  <c r="N54" i="145" s="1"/>
  <c r="O54" i="145" s="1"/>
  <c r="P53" i="145"/>
  <c r="I53" i="145"/>
  <c r="J53" i="145" s="1"/>
  <c r="D53" i="145"/>
  <c r="P52" i="145"/>
  <c r="J52" i="145"/>
  <c r="I52" i="145"/>
  <c r="P51" i="145"/>
  <c r="I51" i="145"/>
  <c r="J51" i="145" s="1"/>
  <c r="P50" i="145"/>
  <c r="J50" i="145"/>
  <c r="I50" i="145"/>
  <c r="P49" i="145"/>
  <c r="J49" i="145"/>
  <c r="D49" i="145"/>
  <c r="O49" i="145" s="1"/>
  <c r="P48" i="145"/>
  <c r="N48" i="145"/>
  <c r="O48" i="145" s="1"/>
  <c r="J48" i="145"/>
  <c r="I48" i="145"/>
  <c r="P47" i="145"/>
  <c r="N47" i="145"/>
  <c r="O47" i="145" s="1"/>
  <c r="I47" i="145"/>
  <c r="J47" i="145" s="1"/>
  <c r="P46" i="145"/>
  <c r="I46" i="145"/>
  <c r="J46" i="145" s="1"/>
  <c r="P45" i="145"/>
  <c r="J45" i="145"/>
  <c r="P44" i="145"/>
  <c r="N44" i="145"/>
  <c r="O44" i="145" s="1"/>
  <c r="J44" i="145"/>
  <c r="I44" i="145"/>
  <c r="P43" i="145"/>
  <c r="J43" i="145"/>
  <c r="I43" i="145"/>
  <c r="P42" i="145"/>
  <c r="I42" i="145"/>
  <c r="J42" i="145" s="1"/>
  <c r="P41" i="145"/>
  <c r="I41" i="145"/>
  <c r="J41" i="145" s="1"/>
  <c r="N41" i="145" s="1"/>
  <c r="O41" i="145" s="1"/>
  <c r="P40" i="145"/>
  <c r="I40" i="145"/>
  <c r="J40" i="145" s="1"/>
  <c r="D40" i="145"/>
  <c r="N40" i="145" s="1"/>
  <c r="O40" i="145" s="1"/>
  <c r="P39" i="145"/>
  <c r="H39" i="145"/>
  <c r="J39" i="145" s="1"/>
  <c r="P38" i="145"/>
  <c r="I38" i="145"/>
  <c r="J38" i="145" s="1"/>
  <c r="P37" i="145"/>
  <c r="J37" i="145"/>
  <c r="P36" i="145"/>
  <c r="J36" i="145"/>
  <c r="P35" i="145"/>
  <c r="J35" i="145"/>
  <c r="P34" i="145"/>
  <c r="J34" i="145"/>
  <c r="P33" i="145"/>
  <c r="J33" i="145"/>
  <c r="I33" i="145"/>
  <c r="P32" i="145"/>
  <c r="I32" i="145"/>
  <c r="J32" i="145" s="1"/>
  <c r="D32" i="145"/>
  <c r="N32" i="145" s="1"/>
  <c r="O32" i="145" s="1"/>
  <c r="P31" i="145"/>
  <c r="I31" i="145"/>
  <c r="J31" i="145" s="1"/>
  <c r="P30" i="145"/>
  <c r="I30" i="145"/>
  <c r="J30" i="145" s="1"/>
  <c r="P29" i="145"/>
  <c r="J29" i="145"/>
  <c r="I29" i="145"/>
  <c r="P28" i="145"/>
  <c r="I28" i="145"/>
  <c r="J28" i="145" s="1"/>
  <c r="D28" i="145"/>
  <c r="N28" i="145" s="1"/>
  <c r="O28" i="145" s="1"/>
  <c r="P27" i="145"/>
  <c r="I27" i="145"/>
  <c r="J27" i="145" s="1"/>
  <c r="J22" i="145"/>
  <c r="O21" i="145"/>
  <c r="N21" i="145"/>
  <c r="J21" i="145"/>
  <c r="C17" i="145"/>
  <c r="D36" i="145" s="1"/>
  <c r="O36" i="145" s="1"/>
  <c r="C16" i="145"/>
  <c r="D37" i="145" s="1"/>
  <c r="O37" i="145" s="1"/>
  <c r="C15" i="145"/>
  <c r="AD13" i="145"/>
  <c r="AC13" i="145"/>
  <c r="AB13" i="145"/>
  <c r="AA13" i="145"/>
  <c r="Z13" i="145"/>
  <c r="Y13" i="145"/>
  <c r="X13" i="145"/>
  <c r="W13" i="145"/>
  <c r="V13" i="145"/>
  <c r="U13" i="145"/>
  <c r="T13" i="145"/>
  <c r="S13" i="145"/>
  <c r="D11" i="145"/>
  <c r="B11" i="145"/>
  <c r="C11" i="145" s="1"/>
  <c r="C10" i="145"/>
  <c r="C9" i="145"/>
  <c r="A6" i="145"/>
  <c r="A4" i="145"/>
  <c r="P54" i="144"/>
  <c r="I54" i="144"/>
  <c r="J54" i="144" s="1"/>
  <c r="N54" i="144" s="1"/>
  <c r="O54" i="144" s="1"/>
  <c r="P53" i="144"/>
  <c r="J53" i="144"/>
  <c r="I53" i="144"/>
  <c r="D53" i="144"/>
  <c r="N53" i="144" s="1"/>
  <c r="O53" i="144" s="1"/>
  <c r="P52" i="144"/>
  <c r="J52" i="144"/>
  <c r="I52" i="144"/>
  <c r="D52" i="144"/>
  <c r="N52" i="144" s="1"/>
  <c r="O52" i="144" s="1"/>
  <c r="P51" i="144"/>
  <c r="J51" i="144"/>
  <c r="I51" i="144"/>
  <c r="P50" i="144"/>
  <c r="J50" i="144"/>
  <c r="I50" i="144"/>
  <c r="P49" i="144"/>
  <c r="J49" i="144"/>
  <c r="G49" i="144"/>
  <c r="P48" i="144"/>
  <c r="O48" i="144"/>
  <c r="N48" i="144"/>
  <c r="J48" i="144"/>
  <c r="I48" i="144"/>
  <c r="P47" i="144"/>
  <c r="N47" i="144"/>
  <c r="O47" i="144" s="1"/>
  <c r="I47" i="144"/>
  <c r="J47" i="144" s="1"/>
  <c r="P46" i="144"/>
  <c r="J46" i="144"/>
  <c r="I46" i="144"/>
  <c r="P45" i="144"/>
  <c r="J45" i="144"/>
  <c r="P44" i="144"/>
  <c r="O44" i="144"/>
  <c r="N44" i="144"/>
  <c r="J44" i="144"/>
  <c r="I44" i="144"/>
  <c r="P43" i="144"/>
  <c r="I43" i="144"/>
  <c r="J43" i="144" s="1"/>
  <c r="P42" i="144"/>
  <c r="I42" i="144"/>
  <c r="J42" i="144" s="1"/>
  <c r="P41" i="144"/>
  <c r="I41" i="144"/>
  <c r="J41" i="144" s="1"/>
  <c r="N41" i="144" s="1"/>
  <c r="O41" i="144" s="1"/>
  <c r="P40" i="144"/>
  <c r="J40" i="144"/>
  <c r="I40" i="144"/>
  <c r="D40" i="144"/>
  <c r="N40" i="144" s="1"/>
  <c r="O40" i="144" s="1"/>
  <c r="P39" i="144"/>
  <c r="H39" i="144"/>
  <c r="J39" i="144" s="1"/>
  <c r="D39" i="144"/>
  <c r="M39" i="144" s="1"/>
  <c r="P38" i="144"/>
  <c r="J38" i="144"/>
  <c r="I38" i="144"/>
  <c r="P37" i="144"/>
  <c r="J37" i="144"/>
  <c r="G37" i="144"/>
  <c r="P36" i="144"/>
  <c r="J36" i="144"/>
  <c r="G36" i="144"/>
  <c r="P35" i="144"/>
  <c r="G35" i="144"/>
  <c r="J35" i="144" s="1"/>
  <c r="D35" i="144"/>
  <c r="L35" i="144" s="1"/>
  <c r="O35" i="144" s="1"/>
  <c r="P34" i="144"/>
  <c r="J34" i="144"/>
  <c r="G34" i="144"/>
  <c r="P33" i="144"/>
  <c r="J33" i="144"/>
  <c r="I33" i="144"/>
  <c r="P32" i="144"/>
  <c r="J32" i="144"/>
  <c r="I32" i="144"/>
  <c r="D32" i="144"/>
  <c r="N32" i="144" s="1"/>
  <c r="O32" i="144" s="1"/>
  <c r="P31" i="144"/>
  <c r="I31" i="144"/>
  <c r="J31" i="144" s="1"/>
  <c r="D31" i="144"/>
  <c r="N31" i="144" s="1"/>
  <c r="O31" i="144" s="1"/>
  <c r="P30" i="144"/>
  <c r="J30" i="144"/>
  <c r="I30" i="144"/>
  <c r="P29" i="144"/>
  <c r="J29" i="144"/>
  <c r="I29" i="144"/>
  <c r="P28" i="144"/>
  <c r="J28" i="144"/>
  <c r="I28" i="144"/>
  <c r="D28" i="144"/>
  <c r="N28" i="144" s="1"/>
  <c r="O28" i="144" s="1"/>
  <c r="P27" i="144"/>
  <c r="I27" i="144"/>
  <c r="J27" i="144" s="1"/>
  <c r="D27" i="144"/>
  <c r="N27" i="144" s="1"/>
  <c r="J22" i="144"/>
  <c r="N21" i="144"/>
  <c r="O21" i="144" s="1"/>
  <c r="J21" i="144"/>
  <c r="C17" i="144"/>
  <c r="D37" i="144" s="1"/>
  <c r="C16" i="144"/>
  <c r="D34" i="144" s="1"/>
  <c r="L34" i="144" s="1"/>
  <c r="C15" i="144"/>
  <c r="AD13" i="144"/>
  <c r="AC13" i="144"/>
  <c r="AB13" i="144"/>
  <c r="AA13" i="144"/>
  <c r="Z13" i="144"/>
  <c r="Y13" i="144"/>
  <c r="X13" i="144"/>
  <c r="W13" i="144"/>
  <c r="V13" i="144"/>
  <c r="U13" i="144"/>
  <c r="T13" i="144"/>
  <c r="S13" i="144"/>
  <c r="D11" i="144"/>
  <c r="B11" i="144"/>
  <c r="C11" i="144" s="1"/>
  <c r="C10" i="144"/>
  <c r="C9" i="144"/>
  <c r="A6" i="144"/>
  <c r="A4" i="144"/>
  <c r="G39" i="130"/>
  <c r="P21" i="133"/>
  <c r="P20" i="132"/>
  <c r="P19" i="132"/>
  <c r="P33" i="119"/>
  <c r="P32" i="119"/>
  <c r="L37" i="144" l="1"/>
  <c r="O37" i="144" s="1"/>
  <c r="N53" i="145"/>
  <c r="O53" i="145" s="1"/>
  <c r="D27" i="145"/>
  <c r="N27" i="145" s="1"/>
  <c r="D31" i="145"/>
  <c r="N31" i="145" s="1"/>
  <c r="O31" i="145" s="1"/>
  <c r="D35" i="145"/>
  <c r="O35" i="145" s="1"/>
  <c r="D39" i="145"/>
  <c r="M39" i="145" s="1"/>
  <c r="D52" i="145"/>
  <c r="N52" i="145" s="1"/>
  <c r="O52" i="145" s="1"/>
  <c r="D22" i="145"/>
  <c r="D30" i="145"/>
  <c r="N30" i="145" s="1"/>
  <c r="O30" i="145" s="1"/>
  <c r="D34" i="145"/>
  <c r="D38" i="145"/>
  <c r="N38" i="145" s="1"/>
  <c r="O38" i="145" s="1"/>
  <c r="D45" i="145"/>
  <c r="O45" i="145" s="1"/>
  <c r="D51" i="145"/>
  <c r="N51" i="145" s="1"/>
  <c r="O51" i="145" s="1"/>
  <c r="N22" i="145"/>
  <c r="D29" i="145"/>
  <c r="N29" i="145" s="1"/>
  <c r="O29" i="145" s="1"/>
  <c r="D50" i="145"/>
  <c r="N50" i="145" s="1"/>
  <c r="O50" i="145" s="1"/>
  <c r="O27" i="144"/>
  <c r="O34" i="144"/>
  <c r="O39" i="144"/>
  <c r="M56" i="144"/>
  <c r="M58" i="144" s="1"/>
  <c r="D49" i="144"/>
  <c r="L49" i="144" s="1"/>
  <c r="O49" i="144" s="1"/>
  <c r="D36" i="144"/>
  <c r="L36" i="144" s="1"/>
  <c r="O36" i="144" s="1"/>
  <c r="D22" i="144"/>
  <c r="N22" i="144" s="1"/>
  <c r="D30" i="144"/>
  <c r="N30" i="144" s="1"/>
  <c r="O30" i="144" s="1"/>
  <c r="D38" i="144"/>
  <c r="N38" i="144" s="1"/>
  <c r="O38" i="144" s="1"/>
  <c r="D45" i="144"/>
  <c r="O45" i="144" s="1"/>
  <c r="D51" i="144"/>
  <c r="N51" i="144" s="1"/>
  <c r="O51" i="144" s="1"/>
  <c r="D29" i="144"/>
  <c r="N29" i="144" s="1"/>
  <c r="O29" i="144" s="1"/>
  <c r="D50" i="144"/>
  <c r="N50" i="144" s="1"/>
  <c r="O50" i="144" s="1"/>
  <c r="J39" i="130"/>
  <c r="O22" i="145" l="1"/>
  <c r="O23" i="145" s="1"/>
  <c r="N23" i="145"/>
  <c r="O39" i="145"/>
  <c r="M56" i="145"/>
  <c r="M58" i="145" s="1"/>
  <c r="O34" i="145"/>
  <c r="L56" i="145"/>
  <c r="L58" i="145" s="1"/>
  <c r="O66" i="145" s="1"/>
  <c r="O27" i="145"/>
  <c r="N23" i="144"/>
  <c r="O22" i="144"/>
  <c r="O23" i="144" s="1"/>
  <c r="L56" i="144"/>
  <c r="L58" i="144" s="1"/>
  <c r="O66" i="144" s="1"/>
  <c r="D55" i="130"/>
  <c r="D33" i="145" l="1"/>
  <c r="N33" i="145" s="1"/>
  <c r="D42" i="145"/>
  <c r="N42" i="145" s="1"/>
  <c r="O42" i="145" s="1"/>
  <c r="D46" i="145"/>
  <c r="N46" i="145" s="1"/>
  <c r="O46" i="145" s="1"/>
  <c r="D43" i="145"/>
  <c r="N43" i="145" s="1"/>
  <c r="O43" i="145" s="1"/>
  <c r="D33" i="144"/>
  <c r="N33" i="144" s="1"/>
  <c r="D46" i="144"/>
  <c r="N46" i="144" s="1"/>
  <c r="O46" i="144" s="1"/>
  <c r="D42" i="144"/>
  <c r="N42" i="144" s="1"/>
  <c r="O42" i="144" s="1"/>
  <c r="D43" i="144"/>
  <c r="N43" i="144" s="1"/>
  <c r="O43" i="144" s="1"/>
  <c r="D56" i="129"/>
  <c r="D56" i="40"/>
  <c r="O33" i="145" l="1"/>
  <c r="O56" i="145" s="1"/>
  <c r="N56" i="145"/>
  <c r="N58" i="145" s="1"/>
  <c r="O33" i="144"/>
  <c r="O56" i="144" s="1"/>
  <c r="N56" i="144"/>
  <c r="N58" i="144" s="1"/>
  <c r="G40" i="129"/>
  <c r="G40" i="40"/>
  <c r="G35" i="139"/>
  <c r="G35" i="138"/>
  <c r="G31" i="119"/>
  <c r="G34" i="128"/>
  <c r="G34" i="37"/>
  <c r="G33" i="126"/>
  <c r="G39" i="127"/>
  <c r="O61" i="145" l="1"/>
  <c r="O58" i="145"/>
  <c r="O61" i="144"/>
  <c r="O58" i="144"/>
  <c r="D41" i="130"/>
  <c r="D40" i="130"/>
  <c r="D39" i="130"/>
  <c r="L39" i="130" s="1"/>
  <c r="D42" i="129"/>
  <c r="D41" i="129"/>
  <c r="D40" i="129"/>
  <c r="D42" i="40"/>
  <c r="D41" i="40"/>
  <c r="D40" i="40"/>
  <c r="D49" i="139"/>
  <c r="D38" i="139"/>
  <c r="D37" i="139"/>
  <c r="D36" i="139"/>
  <c r="D35" i="139"/>
  <c r="D49" i="138"/>
  <c r="D37" i="138"/>
  <c r="D36" i="138"/>
  <c r="D35" i="138"/>
  <c r="C17" i="128"/>
  <c r="C16" i="128"/>
  <c r="D48" i="37"/>
  <c r="D36" i="37"/>
  <c r="D35" i="37"/>
  <c r="D34" i="37"/>
  <c r="D53" i="140"/>
  <c r="D42" i="140"/>
  <c r="D41" i="140"/>
  <c r="D40" i="140"/>
  <c r="D47" i="126"/>
  <c r="D36" i="126"/>
  <c r="D35" i="126"/>
  <c r="D34" i="126"/>
  <c r="D33" i="126"/>
  <c r="C15" i="126"/>
  <c r="D20" i="126" s="1"/>
  <c r="D53" i="127"/>
  <c r="D42" i="127"/>
  <c r="D39" i="127"/>
  <c r="D47" i="119"/>
  <c r="D34" i="119"/>
  <c r="D33" i="119"/>
  <c r="D32" i="119"/>
  <c r="D31" i="119"/>
  <c r="D19" i="127"/>
  <c r="D41" i="127" s="1"/>
  <c r="D18" i="127"/>
  <c r="D40" i="127" s="1"/>
  <c r="O63" i="145" l="1"/>
  <c r="O65" i="145"/>
  <c r="O63" i="144"/>
  <c r="O65" i="144"/>
  <c r="D37" i="128"/>
  <c r="D49" i="128"/>
  <c r="D34" i="128"/>
  <c r="D46" i="100" l="1"/>
  <c r="D35" i="100"/>
  <c r="D34" i="100"/>
  <c r="D33" i="100"/>
  <c r="G34" i="100"/>
  <c r="G33" i="100"/>
  <c r="D52" i="34" l="1"/>
  <c r="D41" i="34"/>
  <c r="D40" i="34"/>
  <c r="D39" i="34"/>
  <c r="G33" i="119" l="1"/>
  <c r="G32" i="119"/>
  <c r="D68" i="142" l="1"/>
  <c r="P55" i="142"/>
  <c r="I55" i="142"/>
  <c r="J55" i="142" s="1"/>
  <c r="N55" i="142" s="1"/>
  <c r="O55" i="142" s="1"/>
  <c r="P54" i="142"/>
  <c r="I54" i="142"/>
  <c r="J54" i="142" s="1"/>
  <c r="P53" i="142"/>
  <c r="I53" i="142"/>
  <c r="J53" i="142" s="1"/>
  <c r="P52" i="142"/>
  <c r="I52" i="142"/>
  <c r="J52" i="142" s="1"/>
  <c r="P51" i="142"/>
  <c r="I51" i="142"/>
  <c r="J51" i="142" s="1"/>
  <c r="P50" i="142"/>
  <c r="I50" i="142"/>
  <c r="N50" i="142" s="1"/>
  <c r="O50" i="142" s="1"/>
  <c r="P49" i="142"/>
  <c r="I49" i="142"/>
  <c r="N49" i="142" s="1"/>
  <c r="O49" i="142" s="1"/>
  <c r="P48" i="142"/>
  <c r="I48" i="142"/>
  <c r="J48" i="142" s="1"/>
  <c r="P47" i="142"/>
  <c r="I47" i="142"/>
  <c r="N47" i="142" s="1"/>
  <c r="O47" i="142" s="1"/>
  <c r="P46" i="142"/>
  <c r="I46" i="142"/>
  <c r="J46" i="142" s="1"/>
  <c r="P45" i="142"/>
  <c r="I45" i="142"/>
  <c r="J45" i="142" s="1"/>
  <c r="P44" i="142"/>
  <c r="I44" i="142"/>
  <c r="J44" i="142" s="1"/>
  <c r="P43" i="142"/>
  <c r="I43" i="142"/>
  <c r="J43" i="142" s="1"/>
  <c r="P42" i="142"/>
  <c r="H42" i="142"/>
  <c r="J42" i="142" s="1"/>
  <c r="P41" i="142"/>
  <c r="H41" i="142"/>
  <c r="J41" i="142" s="1"/>
  <c r="P40" i="142"/>
  <c r="P39" i="142"/>
  <c r="I39" i="142"/>
  <c r="J39" i="142" s="1"/>
  <c r="P38" i="142"/>
  <c r="I38" i="142"/>
  <c r="J38" i="142" s="1"/>
  <c r="P37" i="142"/>
  <c r="I37" i="142"/>
  <c r="J37" i="142" s="1"/>
  <c r="P36" i="142"/>
  <c r="I36" i="142"/>
  <c r="J36" i="142" s="1"/>
  <c r="P35" i="142"/>
  <c r="I35" i="142"/>
  <c r="J35" i="142" s="1"/>
  <c r="P34" i="142"/>
  <c r="I34" i="142"/>
  <c r="J34" i="142" s="1"/>
  <c r="J29" i="142"/>
  <c r="J28" i="142"/>
  <c r="N26" i="142"/>
  <c r="O26" i="142" s="1"/>
  <c r="J26" i="142"/>
  <c r="C17" i="142"/>
  <c r="C16" i="142"/>
  <c r="D43" i="142" s="1"/>
  <c r="N43" i="142" s="1"/>
  <c r="O43" i="142" s="1"/>
  <c r="C15" i="142"/>
  <c r="C14" i="142"/>
  <c r="AD12" i="142"/>
  <c r="AC12" i="142"/>
  <c r="AB12" i="142"/>
  <c r="AA12" i="142"/>
  <c r="Z12" i="142"/>
  <c r="Y12" i="142"/>
  <c r="X12" i="142"/>
  <c r="W12" i="142"/>
  <c r="V12" i="142"/>
  <c r="U12" i="142"/>
  <c r="T12" i="142"/>
  <c r="S12" i="142"/>
  <c r="D10" i="142"/>
  <c r="B10" i="142"/>
  <c r="C10" i="142" s="1"/>
  <c r="C9" i="142"/>
  <c r="C8" i="142"/>
  <c r="A6" i="142"/>
  <c r="A4" i="142"/>
  <c r="D68" i="141"/>
  <c r="P55" i="141"/>
  <c r="I55" i="141"/>
  <c r="J55" i="141" s="1"/>
  <c r="N55" i="141" s="1"/>
  <c r="O55" i="141" s="1"/>
  <c r="P54" i="141"/>
  <c r="I54" i="141"/>
  <c r="J54" i="141" s="1"/>
  <c r="P53" i="141"/>
  <c r="I53" i="141"/>
  <c r="J53" i="141" s="1"/>
  <c r="P52" i="141"/>
  <c r="I52" i="141"/>
  <c r="J52" i="141" s="1"/>
  <c r="P51" i="141"/>
  <c r="I51" i="141"/>
  <c r="J51" i="141" s="1"/>
  <c r="P50" i="141"/>
  <c r="I50" i="141"/>
  <c r="N50" i="141" s="1"/>
  <c r="O50" i="141" s="1"/>
  <c r="P49" i="141"/>
  <c r="I49" i="141"/>
  <c r="N49" i="141" s="1"/>
  <c r="O49" i="141" s="1"/>
  <c r="P48" i="141"/>
  <c r="I48" i="141"/>
  <c r="J48" i="141" s="1"/>
  <c r="P47" i="141"/>
  <c r="I47" i="141"/>
  <c r="N47" i="141" s="1"/>
  <c r="O47" i="141" s="1"/>
  <c r="P46" i="141"/>
  <c r="I46" i="141"/>
  <c r="J46" i="141" s="1"/>
  <c r="P45" i="141"/>
  <c r="I45" i="141"/>
  <c r="J45" i="141" s="1"/>
  <c r="P44" i="141"/>
  <c r="I44" i="141"/>
  <c r="J44" i="141" s="1"/>
  <c r="P43" i="141"/>
  <c r="I43" i="141"/>
  <c r="J43" i="141" s="1"/>
  <c r="P42" i="141"/>
  <c r="H42" i="141"/>
  <c r="J42" i="141" s="1"/>
  <c r="P41" i="141"/>
  <c r="H41" i="141"/>
  <c r="J41" i="141" s="1"/>
  <c r="P40" i="141"/>
  <c r="P39" i="141"/>
  <c r="I39" i="141"/>
  <c r="J39" i="141" s="1"/>
  <c r="P38" i="141"/>
  <c r="I38" i="141"/>
  <c r="J38" i="141" s="1"/>
  <c r="P37" i="141"/>
  <c r="I37" i="141"/>
  <c r="J37" i="141" s="1"/>
  <c r="P36" i="141"/>
  <c r="I36" i="141"/>
  <c r="J36" i="141" s="1"/>
  <c r="P35" i="141"/>
  <c r="I35" i="141"/>
  <c r="J35" i="141" s="1"/>
  <c r="P34" i="141"/>
  <c r="I34" i="141"/>
  <c r="J34" i="141" s="1"/>
  <c r="J29" i="141"/>
  <c r="J28" i="141"/>
  <c r="N26" i="141"/>
  <c r="O26" i="141" s="1"/>
  <c r="J26" i="141"/>
  <c r="C17" i="141"/>
  <c r="C16" i="141"/>
  <c r="D43" i="141" s="1"/>
  <c r="N43" i="141" s="1"/>
  <c r="O43" i="141" s="1"/>
  <c r="C15" i="141"/>
  <c r="C14" i="141"/>
  <c r="AD12" i="141"/>
  <c r="AC12" i="141"/>
  <c r="AB12" i="141"/>
  <c r="AA12" i="141"/>
  <c r="Z12" i="141"/>
  <c r="Y12" i="141"/>
  <c r="X12" i="141"/>
  <c r="W12" i="141"/>
  <c r="V12" i="141"/>
  <c r="U12" i="141"/>
  <c r="T12" i="141"/>
  <c r="S12" i="141"/>
  <c r="D10" i="141"/>
  <c r="B10" i="141"/>
  <c r="C10" i="141" s="1"/>
  <c r="C9" i="141"/>
  <c r="C8" i="141"/>
  <c r="A6" i="141"/>
  <c r="A4" i="141"/>
  <c r="C17" i="129"/>
  <c r="C17" i="40"/>
  <c r="J47" i="142" l="1"/>
  <c r="I15" i="142"/>
  <c r="J49" i="142"/>
  <c r="J50" i="142"/>
  <c r="D52" i="142"/>
  <c r="N52" i="142" s="1"/>
  <c r="O52" i="142" s="1"/>
  <c r="D37" i="142"/>
  <c r="N37" i="142" s="1"/>
  <c r="O37" i="142" s="1"/>
  <c r="D51" i="142"/>
  <c r="N51" i="142" s="1"/>
  <c r="O51" i="142" s="1"/>
  <c r="D53" i="142"/>
  <c r="N53" i="142" s="1"/>
  <c r="O53" i="142" s="1"/>
  <c r="D40" i="142"/>
  <c r="D34" i="142"/>
  <c r="D35" i="142" s="1"/>
  <c r="D36" i="142"/>
  <c r="N36" i="142" s="1"/>
  <c r="O36" i="142" s="1"/>
  <c r="D41" i="142"/>
  <c r="M41" i="142" s="1"/>
  <c r="J47" i="141"/>
  <c r="J49" i="141"/>
  <c r="J50" i="141"/>
  <c r="D52" i="141"/>
  <c r="N52" i="141" s="1"/>
  <c r="O52" i="141" s="1"/>
  <c r="I15" i="141"/>
  <c r="D51" i="141"/>
  <c r="N51" i="141" s="1"/>
  <c r="O51" i="141" s="1"/>
  <c r="D53" i="141"/>
  <c r="N53" i="141" s="1"/>
  <c r="O53" i="141" s="1"/>
  <c r="D37" i="141"/>
  <c r="N37" i="141" s="1"/>
  <c r="O37" i="141" s="1"/>
  <c r="D40" i="141"/>
  <c r="D34" i="141"/>
  <c r="D35" i="141" s="1"/>
  <c r="D36" i="141"/>
  <c r="N36" i="141" s="1"/>
  <c r="O36" i="141" s="1"/>
  <c r="D41" i="141"/>
  <c r="M41" i="141" s="1"/>
  <c r="D38" i="142" l="1"/>
  <c r="N38" i="142" s="1"/>
  <c r="O38" i="142" s="1"/>
  <c r="O41" i="142"/>
  <c r="L57" i="142"/>
  <c r="L59" i="142" s="1"/>
  <c r="O66" i="142" s="1"/>
  <c r="N34" i="142"/>
  <c r="N35" i="142"/>
  <c r="O35" i="142" s="1"/>
  <c r="O41" i="141"/>
  <c r="N34" i="141"/>
  <c r="L57" i="141"/>
  <c r="L59" i="141" s="1"/>
  <c r="O66" i="141" s="1"/>
  <c r="D38" i="141"/>
  <c r="N38" i="141" s="1"/>
  <c r="O38" i="141" s="1"/>
  <c r="N35" i="141"/>
  <c r="O35" i="141" s="1"/>
  <c r="J27" i="140"/>
  <c r="D18" i="140"/>
  <c r="D27" i="140" s="1"/>
  <c r="N27" i="140" s="1"/>
  <c r="P57" i="140"/>
  <c r="I57" i="140"/>
  <c r="J57" i="140" s="1"/>
  <c r="N57" i="140" s="1"/>
  <c r="O57" i="140" s="1"/>
  <c r="P56" i="140"/>
  <c r="I56" i="140"/>
  <c r="J56" i="140" s="1"/>
  <c r="P55" i="140"/>
  <c r="I55" i="140"/>
  <c r="J55" i="140" s="1"/>
  <c r="N55" i="140" s="1"/>
  <c r="O55" i="140" s="1"/>
  <c r="P54" i="140"/>
  <c r="I54" i="140"/>
  <c r="J54" i="140" s="1"/>
  <c r="P53" i="140"/>
  <c r="G53" i="140"/>
  <c r="J53" i="140" s="1"/>
  <c r="P52" i="140"/>
  <c r="I52" i="140"/>
  <c r="J52" i="140" s="1"/>
  <c r="P51" i="140"/>
  <c r="I51" i="140"/>
  <c r="J51" i="140" s="1"/>
  <c r="P50" i="140"/>
  <c r="I50" i="140"/>
  <c r="J50" i="140" s="1"/>
  <c r="P49" i="140"/>
  <c r="J49" i="140"/>
  <c r="P48" i="140"/>
  <c r="I48" i="140"/>
  <c r="J48" i="140" s="1"/>
  <c r="P47" i="140"/>
  <c r="I47" i="140"/>
  <c r="J47" i="140" s="1"/>
  <c r="P46" i="140"/>
  <c r="I46" i="140"/>
  <c r="J46" i="140" s="1"/>
  <c r="P45" i="140"/>
  <c r="I45" i="140"/>
  <c r="J45" i="140" s="1"/>
  <c r="P44" i="140"/>
  <c r="H44" i="140"/>
  <c r="J44" i="140" s="1"/>
  <c r="P43" i="140"/>
  <c r="P42" i="140"/>
  <c r="G42" i="140"/>
  <c r="J42" i="140" s="1"/>
  <c r="P41" i="140"/>
  <c r="G41" i="140"/>
  <c r="J41" i="140" s="1"/>
  <c r="P40" i="140"/>
  <c r="G40" i="140"/>
  <c r="J40" i="140" s="1"/>
  <c r="P39" i="140"/>
  <c r="I39" i="140"/>
  <c r="J39" i="140" s="1"/>
  <c r="P38" i="140"/>
  <c r="I38" i="140"/>
  <c r="J38" i="140" s="1"/>
  <c r="P37" i="140"/>
  <c r="I37" i="140"/>
  <c r="J37" i="140" s="1"/>
  <c r="P36" i="140"/>
  <c r="I36" i="140"/>
  <c r="J36" i="140" s="1"/>
  <c r="P35" i="140"/>
  <c r="I35" i="140"/>
  <c r="J35" i="140" s="1"/>
  <c r="P34" i="140"/>
  <c r="I34" i="140"/>
  <c r="J34" i="140" s="1"/>
  <c r="P33" i="140"/>
  <c r="I33" i="140"/>
  <c r="J33" i="140" s="1"/>
  <c r="P32" i="140"/>
  <c r="I32" i="140"/>
  <c r="J32" i="140" s="1"/>
  <c r="J26" i="140"/>
  <c r="N25" i="140"/>
  <c r="O25" i="140" s="1"/>
  <c r="J25" i="140"/>
  <c r="D17" i="140"/>
  <c r="D38" i="140" s="1"/>
  <c r="D11" i="140"/>
  <c r="B11" i="140"/>
  <c r="C11" i="140" s="1"/>
  <c r="C10" i="140"/>
  <c r="C9" i="140"/>
  <c r="A6" i="140"/>
  <c r="A4" i="140"/>
  <c r="N38" i="140" l="1"/>
  <c r="O38" i="140" s="1"/>
  <c r="N48" i="140"/>
  <c r="O48" i="140" s="1"/>
  <c r="O34" i="142"/>
  <c r="O34" i="141"/>
  <c r="O27" i="140"/>
  <c r="D34" i="140"/>
  <c r="N34" i="140" s="1"/>
  <c r="O34" i="140" s="1"/>
  <c r="L42" i="140"/>
  <c r="O42" i="140" s="1"/>
  <c r="L53" i="140"/>
  <c r="O53" i="140" s="1"/>
  <c r="D56" i="140"/>
  <c r="N56" i="140" s="1"/>
  <c r="O56" i="140" s="1"/>
  <c r="D32" i="140"/>
  <c r="N32" i="140" s="1"/>
  <c r="O32" i="140" s="1"/>
  <c r="D36" i="140"/>
  <c r="N36" i="140" s="1"/>
  <c r="O36" i="140" s="1"/>
  <c r="L40" i="140"/>
  <c r="O40" i="140" s="1"/>
  <c r="N51" i="140"/>
  <c r="O51" i="140" s="1"/>
  <c r="N52" i="140"/>
  <c r="O52" i="140" s="1"/>
  <c r="D45" i="140"/>
  <c r="N45" i="140" s="1"/>
  <c r="O45" i="140" s="1"/>
  <c r="D49" i="140"/>
  <c r="O49" i="140" s="1"/>
  <c r="O64" i="140"/>
  <c r="D26" i="140"/>
  <c r="N26" i="140" s="1"/>
  <c r="O26" i="140" s="1"/>
  <c r="D33" i="140"/>
  <c r="N33" i="140" s="1"/>
  <c r="O33" i="140" s="1"/>
  <c r="D35" i="140"/>
  <c r="N35" i="140" s="1"/>
  <c r="O35" i="140" s="1"/>
  <c r="L41" i="140"/>
  <c r="O41" i="140" s="1"/>
  <c r="D54" i="140"/>
  <c r="N54" i="140" s="1"/>
  <c r="O54" i="140" s="1"/>
  <c r="D44" i="140"/>
  <c r="M44" i="140" s="1"/>
  <c r="J24" i="139"/>
  <c r="P39" i="139"/>
  <c r="H39" i="139"/>
  <c r="J39" i="139" s="1"/>
  <c r="D67" i="139"/>
  <c r="P54" i="139"/>
  <c r="I54" i="139"/>
  <c r="J54" i="139" s="1"/>
  <c r="N54" i="139" s="1"/>
  <c r="O54" i="139" s="1"/>
  <c r="P53" i="139"/>
  <c r="I53" i="139"/>
  <c r="J53" i="139" s="1"/>
  <c r="P52" i="139"/>
  <c r="I52" i="139"/>
  <c r="J52" i="139" s="1"/>
  <c r="P51" i="139"/>
  <c r="I51" i="139"/>
  <c r="J51" i="139" s="1"/>
  <c r="P50" i="139"/>
  <c r="I50" i="139"/>
  <c r="J50" i="139" s="1"/>
  <c r="P49" i="139"/>
  <c r="G49" i="139"/>
  <c r="J49" i="139" s="1"/>
  <c r="P48" i="139"/>
  <c r="I48" i="139"/>
  <c r="J48" i="139" s="1"/>
  <c r="P47" i="139"/>
  <c r="I47" i="139"/>
  <c r="J47" i="139" s="1"/>
  <c r="P46" i="139"/>
  <c r="I46" i="139"/>
  <c r="J46" i="139" s="1"/>
  <c r="P45" i="139"/>
  <c r="J45" i="139"/>
  <c r="P44" i="139"/>
  <c r="J44" i="139"/>
  <c r="P43" i="139"/>
  <c r="I43" i="139"/>
  <c r="N43" i="139" s="1"/>
  <c r="O43" i="139" s="1"/>
  <c r="P42" i="139"/>
  <c r="I42" i="139"/>
  <c r="J42" i="139" s="1"/>
  <c r="P41" i="139"/>
  <c r="I41" i="139"/>
  <c r="J41" i="139" s="1"/>
  <c r="P40" i="139"/>
  <c r="I40" i="139"/>
  <c r="J40" i="139" s="1"/>
  <c r="P38" i="139"/>
  <c r="P37" i="139"/>
  <c r="G37" i="139"/>
  <c r="J37" i="139" s="1"/>
  <c r="P36" i="139"/>
  <c r="G36" i="139"/>
  <c r="J36" i="139" s="1"/>
  <c r="P35" i="139"/>
  <c r="P34" i="139"/>
  <c r="I34" i="139"/>
  <c r="J34" i="139" s="1"/>
  <c r="P33" i="139"/>
  <c r="I33" i="139"/>
  <c r="J33" i="139" s="1"/>
  <c r="P32" i="139"/>
  <c r="I32" i="139"/>
  <c r="J32" i="139" s="1"/>
  <c r="P31" i="139"/>
  <c r="I31" i="139"/>
  <c r="J31" i="139" s="1"/>
  <c r="P30" i="139"/>
  <c r="I30" i="139"/>
  <c r="J30" i="139" s="1"/>
  <c r="P29" i="139"/>
  <c r="I29" i="139"/>
  <c r="J29" i="139" s="1"/>
  <c r="N23" i="139"/>
  <c r="O23" i="139" s="1"/>
  <c r="J23" i="139"/>
  <c r="C16" i="139"/>
  <c r="D40" i="139" s="1"/>
  <c r="N40" i="139" s="1"/>
  <c r="O40" i="139" s="1"/>
  <c r="C15" i="139"/>
  <c r="C14" i="139"/>
  <c r="AD12" i="139"/>
  <c r="AC12" i="139"/>
  <c r="AB12" i="139"/>
  <c r="AA12" i="139"/>
  <c r="Z12" i="139"/>
  <c r="Y12" i="139"/>
  <c r="X12" i="139"/>
  <c r="W12" i="139"/>
  <c r="V12" i="139"/>
  <c r="U12" i="139"/>
  <c r="T12" i="139"/>
  <c r="S12" i="139"/>
  <c r="D10" i="139"/>
  <c r="B10" i="139"/>
  <c r="J35" i="139" s="1"/>
  <c r="C9" i="139"/>
  <c r="C8" i="139"/>
  <c r="A6" i="139"/>
  <c r="A4" i="139"/>
  <c r="P39" i="138"/>
  <c r="H39" i="138"/>
  <c r="J39" i="138" s="1"/>
  <c r="N23" i="138"/>
  <c r="J24" i="138"/>
  <c r="D67" i="138"/>
  <c r="P54" i="138"/>
  <c r="I54" i="138"/>
  <c r="J54" i="138" s="1"/>
  <c r="N54" i="138" s="1"/>
  <c r="O54" i="138" s="1"/>
  <c r="P53" i="138"/>
  <c r="I53" i="138"/>
  <c r="J53" i="138" s="1"/>
  <c r="P52" i="138"/>
  <c r="I52" i="138"/>
  <c r="J52" i="138" s="1"/>
  <c r="P51" i="138"/>
  <c r="I51" i="138"/>
  <c r="J51" i="138" s="1"/>
  <c r="P50" i="138"/>
  <c r="I50" i="138"/>
  <c r="J50" i="138" s="1"/>
  <c r="P49" i="138"/>
  <c r="G49" i="138"/>
  <c r="J49" i="138" s="1"/>
  <c r="P48" i="138"/>
  <c r="I48" i="138"/>
  <c r="N48" i="138" s="1"/>
  <c r="O48" i="138" s="1"/>
  <c r="P47" i="138"/>
  <c r="I47" i="138"/>
  <c r="J47" i="138" s="1"/>
  <c r="P46" i="138"/>
  <c r="I46" i="138"/>
  <c r="J46" i="138" s="1"/>
  <c r="P45" i="138"/>
  <c r="J45" i="138"/>
  <c r="P44" i="138"/>
  <c r="J44" i="138"/>
  <c r="P43" i="138"/>
  <c r="I43" i="138"/>
  <c r="N43" i="138" s="1"/>
  <c r="O43" i="138" s="1"/>
  <c r="P42" i="138"/>
  <c r="I42" i="138"/>
  <c r="J42" i="138" s="1"/>
  <c r="P41" i="138"/>
  <c r="I41" i="138"/>
  <c r="J41" i="138" s="1"/>
  <c r="P40" i="138"/>
  <c r="I40" i="138"/>
  <c r="J40" i="138" s="1"/>
  <c r="P38" i="138"/>
  <c r="P37" i="138"/>
  <c r="G37" i="138"/>
  <c r="J37" i="138" s="1"/>
  <c r="P36" i="138"/>
  <c r="G36" i="138"/>
  <c r="J36" i="138" s="1"/>
  <c r="P35" i="138"/>
  <c r="P34" i="138"/>
  <c r="I34" i="138"/>
  <c r="J34" i="138" s="1"/>
  <c r="P33" i="138"/>
  <c r="I33" i="138"/>
  <c r="J33" i="138" s="1"/>
  <c r="P32" i="138"/>
  <c r="I32" i="138"/>
  <c r="J32" i="138" s="1"/>
  <c r="P31" i="138"/>
  <c r="I31" i="138"/>
  <c r="J31" i="138" s="1"/>
  <c r="P30" i="138"/>
  <c r="I30" i="138"/>
  <c r="J30" i="138" s="1"/>
  <c r="P29" i="138"/>
  <c r="I29" i="138"/>
  <c r="J29" i="138" s="1"/>
  <c r="O23" i="138"/>
  <c r="J23" i="138"/>
  <c r="C16" i="138"/>
  <c r="D40" i="138" s="1"/>
  <c r="N40" i="138" s="1"/>
  <c r="O40" i="138" s="1"/>
  <c r="C15" i="138"/>
  <c r="C14" i="138"/>
  <c r="AD12" i="138"/>
  <c r="AC12" i="138"/>
  <c r="AB12" i="138"/>
  <c r="AA12" i="138"/>
  <c r="Z12" i="138"/>
  <c r="Y12" i="138"/>
  <c r="X12" i="138"/>
  <c r="W12" i="138"/>
  <c r="V12" i="138"/>
  <c r="U12" i="138"/>
  <c r="T12" i="138"/>
  <c r="S12" i="138"/>
  <c r="D10" i="138"/>
  <c r="B10" i="138"/>
  <c r="C10" i="138" s="1"/>
  <c r="C9" i="138"/>
  <c r="C8" i="138"/>
  <c r="A6" i="138"/>
  <c r="A4" i="138"/>
  <c r="C16" i="136"/>
  <c r="C15" i="133"/>
  <c r="C14" i="132"/>
  <c r="D17" i="131"/>
  <c r="C16" i="130"/>
  <c r="C16" i="129"/>
  <c r="C16" i="40"/>
  <c r="C15" i="119"/>
  <c r="C15" i="128"/>
  <c r="C15" i="37"/>
  <c r="D22" i="37" s="1"/>
  <c r="D17" i="127"/>
  <c r="C14" i="100"/>
  <c r="D17" i="34"/>
  <c r="D25" i="119" l="1"/>
  <c r="D20" i="119"/>
  <c r="N20" i="119" s="1"/>
  <c r="O20" i="119" s="1"/>
  <c r="D26" i="127"/>
  <c r="D37" i="127"/>
  <c r="D25" i="126"/>
  <c r="D22" i="128"/>
  <c r="D53" i="128"/>
  <c r="N28" i="140"/>
  <c r="O28" i="140"/>
  <c r="O44" i="140"/>
  <c r="M59" i="140"/>
  <c r="M61" i="140" s="1"/>
  <c r="L59" i="140"/>
  <c r="L61" i="140" s="1"/>
  <c r="O69" i="140" s="1"/>
  <c r="C10" i="139"/>
  <c r="N47" i="139"/>
  <c r="O47" i="139" s="1"/>
  <c r="N48" i="139"/>
  <c r="O48" i="139" s="1"/>
  <c r="D32" i="139"/>
  <c r="N32" i="139" s="1"/>
  <c r="O32" i="139" s="1"/>
  <c r="J43" i="139"/>
  <c r="D50" i="139"/>
  <c r="N50" i="139" s="1"/>
  <c r="O50" i="139" s="1"/>
  <c r="D52" i="139"/>
  <c r="N52" i="139" s="1"/>
  <c r="O52" i="139" s="1"/>
  <c r="L36" i="139"/>
  <c r="O36" i="139" s="1"/>
  <c r="L49" i="139"/>
  <c r="O49" i="139" s="1"/>
  <c r="D51" i="139"/>
  <c r="N51" i="139" s="1"/>
  <c r="O51" i="139" s="1"/>
  <c r="I15" i="139"/>
  <c r="D29" i="139"/>
  <c r="D30" i="139" s="1"/>
  <c r="D31" i="139"/>
  <c r="N31" i="139" s="1"/>
  <c r="O31" i="139" s="1"/>
  <c r="L35" i="139"/>
  <c r="L37" i="139"/>
  <c r="O37" i="139" s="1"/>
  <c r="D39" i="139"/>
  <c r="M39" i="139" s="1"/>
  <c r="N47" i="138"/>
  <c r="O47" i="138" s="1"/>
  <c r="J35" i="138"/>
  <c r="D51" i="138"/>
  <c r="N51" i="138" s="1"/>
  <c r="O51" i="138" s="1"/>
  <c r="J48" i="138"/>
  <c r="J43" i="138"/>
  <c r="L49" i="138"/>
  <c r="O49" i="138" s="1"/>
  <c r="D32" i="138"/>
  <c r="N32" i="138" s="1"/>
  <c r="O32" i="138" s="1"/>
  <c r="L36" i="138"/>
  <c r="O36" i="138" s="1"/>
  <c r="D38" i="138"/>
  <c r="I15" i="138"/>
  <c r="D50" i="138"/>
  <c r="N50" i="138" s="1"/>
  <c r="O50" i="138" s="1"/>
  <c r="D52" i="138"/>
  <c r="N52" i="138" s="1"/>
  <c r="O52" i="138" s="1"/>
  <c r="D29" i="138"/>
  <c r="D30" i="138" s="1"/>
  <c r="D31" i="138"/>
  <c r="N31" i="138" s="1"/>
  <c r="O31" i="138" s="1"/>
  <c r="L37" i="138"/>
  <c r="O37" i="138" s="1"/>
  <c r="D39" i="138"/>
  <c r="M39" i="138" s="1"/>
  <c r="D67" i="136"/>
  <c r="P54" i="136"/>
  <c r="I54" i="136"/>
  <c r="J54" i="136" s="1"/>
  <c r="N54" i="136" s="1"/>
  <c r="O54" i="136" s="1"/>
  <c r="P53" i="136"/>
  <c r="I53" i="136"/>
  <c r="J53" i="136" s="1"/>
  <c r="P52" i="136"/>
  <c r="I52" i="136"/>
  <c r="J52" i="136" s="1"/>
  <c r="P51" i="136"/>
  <c r="I51" i="136"/>
  <c r="J51" i="136" s="1"/>
  <c r="P50" i="136"/>
  <c r="I50" i="136"/>
  <c r="J50" i="136" s="1"/>
  <c r="P49" i="136"/>
  <c r="I49" i="136"/>
  <c r="J49" i="136" s="1"/>
  <c r="P48" i="136"/>
  <c r="I48" i="136"/>
  <c r="J48" i="136" s="1"/>
  <c r="P47" i="136"/>
  <c r="I47" i="136"/>
  <c r="J47" i="136" s="1"/>
  <c r="P46" i="136"/>
  <c r="I46" i="136"/>
  <c r="N46" i="136" s="1"/>
  <c r="O46" i="136" s="1"/>
  <c r="P45" i="136"/>
  <c r="I45" i="136"/>
  <c r="J45" i="136" s="1"/>
  <c r="P44" i="136"/>
  <c r="I44" i="136"/>
  <c r="J44" i="136" s="1"/>
  <c r="I43" i="136"/>
  <c r="J43" i="136" s="1"/>
  <c r="P42" i="136"/>
  <c r="I42" i="136"/>
  <c r="J42" i="136" s="1"/>
  <c r="P41" i="136"/>
  <c r="H41" i="136"/>
  <c r="J41" i="136" s="1"/>
  <c r="P40" i="136"/>
  <c r="H40" i="136"/>
  <c r="J40" i="136" s="1"/>
  <c r="P39" i="136"/>
  <c r="P38" i="136"/>
  <c r="I38" i="136"/>
  <c r="J38" i="136" s="1"/>
  <c r="P37" i="136"/>
  <c r="I37" i="136"/>
  <c r="J37" i="136" s="1"/>
  <c r="P36" i="136"/>
  <c r="I36" i="136"/>
  <c r="J36" i="136" s="1"/>
  <c r="P35" i="136"/>
  <c r="I35" i="136"/>
  <c r="J35" i="136" s="1"/>
  <c r="P34" i="136"/>
  <c r="I34" i="136"/>
  <c r="J34" i="136" s="1"/>
  <c r="P33" i="136"/>
  <c r="I33" i="136"/>
  <c r="J33" i="136" s="1"/>
  <c r="J28" i="136"/>
  <c r="J27" i="136"/>
  <c r="C17" i="136"/>
  <c r="D51" i="136"/>
  <c r="C15" i="136"/>
  <c r="C14" i="136"/>
  <c r="AD12" i="136"/>
  <c r="AC12" i="136"/>
  <c r="AB12" i="136"/>
  <c r="AA12" i="136"/>
  <c r="Z12" i="136"/>
  <c r="Y12" i="136"/>
  <c r="X12" i="136"/>
  <c r="W12" i="136"/>
  <c r="V12" i="136"/>
  <c r="U12" i="136"/>
  <c r="T12" i="136"/>
  <c r="S12" i="136"/>
  <c r="D10" i="136"/>
  <c r="B10" i="136"/>
  <c r="C10" i="136" s="1"/>
  <c r="C9" i="136"/>
  <c r="C8" i="136"/>
  <c r="A6" i="136"/>
  <c r="A4" i="136"/>
  <c r="L51" i="133"/>
  <c r="P49" i="133"/>
  <c r="I49" i="133"/>
  <c r="J49" i="133" s="1"/>
  <c r="N49" i="133" s="1"/>
  <c r="O49" i="133" s="1"/>
  <c r="P48" i="133"/>
  <c r="I48" i="133"/>
  <c r="J48" i="133" s="1"/>
  <c r="P47" i="133"/>
  <c r="I47" i="133"/>
  <c r="J47" i="133" s="1"/>
  <c r="P46" i="133"/>
  <c r="I46" i="133"/>
  <c r="J46" i="133" s="1"/>
  <c r="P45" i="133"/>
  <c r="I45" i="133"/>
  <c r="J45" i="133" s="1"/>
  <c r="P44" i="133"/>
  <c r="I44" i="133"/>
  <c r="J44" i="133" s="1"/>
  <c r="P43" i="133"/>
  <c r="I43" i="133"/>
  <c r="N43" i="133" s="1"/>
  <c r="O43" i="133" s="1"/>
  <c r="P42" i="133"/>
  <c r="I42" i="133"/>
  <c r="J42" i="133" s="1"/>
  <c r="P41" i="133"/>
  <c r="I41" i="133"/>
  <c r="J41" i="133" s="1"/>
  <c r="P40" i="133"/>
  <c r="I40" i="133"/>
  <c r="J40" i="133" s="1"/>
  <c r="P39" i="133"/>
  <c r="I39" i="133"/>
  <c r="J39" i="133" s="1"/>
  <c r="P38" i="133"/>
  <c r="I38" i="133"/>
  <c r="J38" i="133" s="1"/>
  <c r="N38" i="133" s="1"/>
  <c r="O38" i="133" s="1"/>
  <c r="P37" i="133"/>
  <c r="I37" i="133"/>
  <c r="J37" i="133" s="1"/>
  <c r="P36" i="133"/>
  <c r="H36" i="133"/>
  <c r="J36" i="133" s="1"/>
  <c r="P35" i="133"/>
  <c r="P34" i="133"/>
  <c r="I34" i="133"/>
  <c r="J34" i="133" s="1"/>
  <c r="P33" i="133"/>
  <c r="I33" i="133"/>
  <c r="J33" i="133" s="1"/>
  <c r="P32" i="133"/>
  <c r="I32" i="133"/>
  <c r="J32" i="133" s="1"/>
  <c r="P31" i="133"/>
  <c r="I31" i="133"/>
  <c r="J31" i="133" s="1"/>
  <c r="P30" i="133"/>
  <c r="I30" i="133"/>
  <c r="J30" i="133" s="1"/>
  <c r="P29" i="133"/>
  <c r="I29" i="133"/>
  <c r="J29" i="133" s="1"/>
  <c r="P28" i="133"/>
  <c r="I28" i="133"/>
  <c r="J28" i="133" s="1"/>
  <c r="J23" i="133"/>
  <c r="J22" i="133"/>
  <c r="N21" i="133"/>
  <c r="J21" i="133"/>
  <c r="D37" i="133"/>
  <c r="N37" i="133" s="1"/>
  <c r="O37" i="133" s="1"/>
  <c r="AD13" i="133"/>
  <c r="AC13" i="133"/>
  <c r="AB13" i="133"/>
  <c r="AA13" i="133"/>
  <c r="Z13" i="133"/>
  <c r="Y13" i="133"/>
  <c r="X13" i="133"/>
  <c r="W13" i="133"/>
  <c r="V13" i="133"/>
  <c r="U13" i="133"/>
  <c r="T13" i="133"/>
  <c r="S13" i="133"/>
  <c r="D11" i="133"/>
  <c r="B11" i="133"/>
  <c r="C10" i="133"/>
  <c r="C9" i="133"/>
  <c r="A6" i="133"/>
  <c r="A4" i="133"/>
  <c r="P45" i="132"/>
  <c r="I45" i="132"/>
  <c r="J45" i="132" s="1"/>
  <c r="N45" i="132" s="1"/>
  <c r="O45" i="132" s="1"/>
  <c r="P44" i="132"/>
  <c r="I44" i="132"/>
  <c r="J44" i="132" s="1"/>
  <c r="P43" i="132"/>
  <c r="I43" i="132"/>
  <c r="J43" i="132" s="1"/>
  <c r="N43" i="132" s="1"/>
  <c r="O43" i="132" s="1"/>
  <c r="P42" i="132"/>
  <c r="I42" i="132"/>
  <c r="J42" i="132" s="1"/>
  <c r="P41" i="132"/>
  <c r="I41" i="132"/>
  <c r="J41" i="132" s="1"/>
  <c r="P40" i="132"/>
  <c r="I40" i="132"/>
  <c r="J40" i="132" s="1"/>
  <c r="P39" i="132"/>
  <c r="I39" i="132"/>
  <c r="J39" i="132" s="1"/>
  <c r="P38" i="132"/>
  <c r="I38" i="132"/>
  <c r="J38" i="132" s="1"/>
  <c r="P37" i="132"/>
  <c r="I37" i="132"/>
  <c r="J37" i="132" s="1"/>
  <c r="P36" i="132"/>
  <c r="I36" i="132"/>
  <c r="J36" i="132" s="1"/>
  <c r="P35" i="132"/>
  <c r="I35" i="132"/>
  <c r="J35" i="132" s="1"/>
  <c r="P34" i="132"/>
  <c r="H34" i="132"/>
  <c r="J34" i="132" s="1"/>
  <c r="P33" i="132"/>
  <c r="P32" i="132"/>
  <c r="I32" i="132"/>
  <c r="J32" i="132" s="1"/>
  <c r="P31" i="132"/>
  <c r="I31" i="132"/>
  <c r="J31" i="132" s="1"/>
  <c r="P30" i="132"/>
  <c r="I30" i="132"/>
  <c r="J30" i="132" s="1"/>
  <c r="P29" i="132"/>
  <c r="I29" i="132"/>
  <c r="J29" i="132" s="1"/>
  <c r="P28" i="132"/>
  <c r="I28" i="132"/>
  <c r="J28" i="132" s="1"/>
  <c r="P27" i="132"/>
  <c r="I27" i="132"/>
  <c r="J27" i="132" s="1"/>
  <c r="P26" i="132"/>
  <c r="I26" i="132"/>
  <c r="J26" i="132" s="1"/>
  <c r="P25" i="132"/>
  <c r="I25" i="132"/>
  <c r="J25" i="132" s="1"/>
  <c r="J20" i="132"/>
  <c r="AD19" i="132"/>
  <c r="AC19" i="132"/>
  <c r="AB19" i="132"/>
  <c r="AA19" i="132"/>
  <c r="Z19" i="132"/>
  <c r="Y19" i="132"/>
  <c r="X19" i="132"/>
  <c r="W19" i="132"/>
  <c r="V19" i="132"/>
  <c r="U19" i="132"/>
  <c r="T19" i="132"/>
  <c r="S19" i="132"/>
  <c r="N19" i="132"/>
  <c r="J19" i="132"/>
  <c r="AD18" i="132"/>
  <c r="AC18" i="132"/>
  <c r="AB18" i="132"/>
  <c r="AA18" i="132"/>
  <c r="Z18" i="132"/>
  <c r="Y18" i="132"/>
  <c r="X18" i="132"/>
  <c r="W18" i="132"/>
  <c r="V18" i="132"/>
  <c r="U18" i="132"/>
  <c r="T18" i="132"/>
  <c r="S18" i="132"/>
  <c r="AD17" i="132"/>
  <c r="AC17" i="132"/>
  <c r="AB17" i="132"/>
  <c r="AA17" i="132"/>
  <c r="Z17" i="132"/>
  <c r="Y17" i="132"/>
  <c r="X17" i="132"/>
  <c r="W17" i="132"/>
  <c r="V17" i="132"/>
  <c r="U17" i="132"/>
  <c r="T17" i="132"/>
  <c r="S17" i="132"/>
  <c r="AD16" i="132"/>
  <c r="AC16" i="132"/>
  <c r="AB16" i="132"/>
  <c r="AA16" i="132"/>
  <c r="Z16" i="132"/>
  <c r="Y16" i="132"/>
  <c r="X16" i="132"/>
  <c r="W16" i="132"/>
  <c r="V16" i="132"/>
  <c r="U16" i="132"/>
  <c r="T16" i="132"/>
  <c r="S16" i="132"/>
  <c r="C15" i="132"/>
  <c r="D20" i="132" s="1"/>
  <c r="D29" i="132"/>
  <c r="D10" i="132"/>
  <c r="B10" i="132"/>
  <c r="C10" i="132" s="1"/>
  <c r="C9" i="132"/>
  <c r="C8" i="132"/>
  <c r="A5" i="132"/>
  <c r="P51" i="131"/>
  <c r="I51" i="131"/>
  <c r="J51" i="131" s="1"/>
  <c r="N51" i="131" s="1"/>
  <c r="O51" i="131" s="1"/>
  <c r="P50" i="131"/>
  <c r="I50" i="131"/>
  <c r="J50" i="131" s="1"/>
  <c r="P49" i="131"/>
  <c r="I49" i="131"/>
  <c r="J49" i="131" s="1"/>
  <c r="N49" i="131" s="1"/>
  <c r="O49" i="131" s="1"/>
  <c r="P48" i="131"/>
  <c r="I48" i="131"/>
  <c r="J48" i="131" s="1"/>
  <c r="P47" i="131"/>
  <c r="I47" i="131"/>
  <c r="N47" i="131" s="1"/>
  <c r="O47" i="131" s="1"/>
  <c r="P46" i="131"/>
  <c r="I46" i="131"/>
  <c r="N46" i="131" s="1"/>
  <c r="O46" i="131" s="1"/>
  <c r="P45" i="131"/>
  <c r="I45" i="131"/>
  <c r="J45" i="131" s="1"/>
  <c r="P44" i="131"/>
  <c r="I44" i="131"/>
  <c r="N44" i="131" s="1"/>
  <c r="O44" i="131" s="1"/>
  <c r="P43" i="131"/>
  <c r="I43" i="131"/>
  <c r="J43" i="131" s="1"/>
  <c r="P42" i="131"/>
  <c r="I42" i="131"/>
  <c r="J42" i="131" s="1"/>
  <c r="P41" i="131"/>
  <c r="I41" i="131"/>
  <c r="J41" i="131" s="1"/>
  <c r="P40" i="131"/>
  <c r="H40" i="131"/>
  <c r="J40" i="131" s="1"/>
  <c r="P39" i="131"/>
  <c r="P38" i="131"/>
  <c r="I38" i="131"/>
  <c r="J38" i="131" s="1"/>
  <c r="P37" i="131"/>
  <c r="I37" i="131"/>
  <c r="J37" i="131" s="1"/>
  <c r="P36" i="131"/>
  <c r="I36" i="131"/>
  <c r="J36" i="131" s="1"/>
  <c r="P35" i="131"/>
  <c r="I35" i="131"/>
  <c r="J35" i="131" s="1"/>
  <c r="P34" i="131"/>
  <c r="I34" i="131"/>
  <c r="J34" i="131" s="1"/>
  <c r="P33" i="131"/>
  <c r="I33" i="131"/>
  <c r="J33" i="131" s="1"/>
  <c r="P32" i="131"/>
  <c r="I32" i="131"/>
  <c r="J32" i="131" s="1"/>
  <c r="P31" i="131"/>
  <c r="I31" i="131"/>
  <c r="J31" i="131" s="1"/>
  <c r="J26" i="131"/>
  <c r="N25" i="131"/>
  <c r="J25" i="131"/>
  <c r="D11" i="131"/>
  <c r="B11" i="131"/>
  <c r="C11" i="131" s="1"/>
  <c r="C10" i="131"/>
  <c r="C9" i="131"/>
  <c r="A6" i="131"/>
  <c r="A4" i="131"/>
  <c r="P55" i="130"/>
  <c r="G55" i="130"/>
  <c r="J55" i="130" s="1"/>
  <c r="P44" i="130"/>
  <c r="H44" i="130"/>
  <c r="J44" i="130" s="1"/>
  <c r="P43" i="130"/>
  <c r="H43" i="130"/>
  <c r="J43" i="130" s="1"/>
  <c r="P40" i="130"/>
  <c r="G40" i="130"/>
  <c r="J40" i="130" s="1"/>
  <c r="X12" i="130"/>
  <c r="Y12" i="130"/>
  <c r="Z12" i="130"/>
  <c r="AA12" i="130"/>
  <c r="W12" i="130"/>
  <c r="AC12" i="130"/>
  <c r="AD12" i="130"/>
  <c r="AB12" i="130"/>
  <c r="T12" i="130"/>
  <c r="U12" i="130"/>
  <c r="V12" i="130"/>
  <c r="S12" i="130"/>
  <c r="D73" i="130"/>
  <c r="P60" i="130"/>
  <c r="I60" i="130"/>
  <c r="J60" i="130" s="1"/>
  <c r="N60" i="130" s="1"/>
  <c r="O60" i="130" s="1"/>
  <c r="P59" i="130"/>
  <c r="I59" i="130"/>
  <c r="J59" i="130" s="1"/>
  <c r="P58" i="130"/>
  <c r="I58" i="130"/>
  <c r="J58" i="130" s="1"/>
  <c r="P57" i="130"/>
  <c r="I57" i="130"/>
  <c r="J57" i="130" s="1"/>
  <c r="P56" i="130"/>
  <c r="I56" i="130"/>
  <c r="J56" i="130" s="1"/>
  <c r="P54" i="130"/>
  <c r="I54" i="130"/>
  <c r="J54" i="130" s="1"/>
  <c r="P53" i="130"/>
  <c r="I53" i="130"/>
  <c r="J53" i="130" s="1"/>
  <c r="P52" i="130"/>
  <c r="I52" i="130"/>
  <c r="J52" i="130" s="1"/>
  <c r="P51" i="130"/>
  <c r="J51" i="130"/>
  <c r="P50" i="130"/>
  <c r="J50" i="130"/>
  <c r="P49" i="130"/>
  <c r="I49" i="130"/>
  <c r="P48" i="130"/>
  <c r="I48" i="130"/>
  <c r="J48" i="130" s="1"/>
  <c r="P47" i="130"/>
  <c r="I47" i="130"/>
  <c r="J47" i="130" s="1"/>
  <c r="I46" i="130"/>
  <c r="J46" i="130" s="1"/>
  <c r="P45" i="130"/>
  <c r="I45" i="130"/>
  <c r="J45" i="130" s="1"/>
  <c r="P42" i="130"/>
  <c r="P41" i="130"/>
  <c r="G41" i="130"/>
  <c r="J41" i="130" s="1"/>
  <c r="P39" i="130"/>
  <c r="P38" i="130"/>
  <c r="I38" i="130"/>
  <c r="J38" i="130" s="1"/>
  <c r="P37" i="130"/>
  <c r="I37" i="130"/>
  <c r="J37" i="130" s="1"/>
  <c r="P36" i="130"/>
  <c r="I36" i="130"/>
  <c r="J36" i="130" s="1"/>
  <c r="P35" i="130"/>
  <c r="I35" i="130"/>
  <c r="J35" i="130" s="1"/>
  <c r="P34" i="130"/>
  <c r="I34" i="130"/>
  <c r="J34" i="130" s="1"/>
  <c r="P33" i="130"/>
  <c r="I33" i="130"/>
  <c r="J33" i="130" s="1"/>
  <c r="J28" i="130"/>
  <c r="J27" i="130"/>
  <c r="C17" i="130"/>
  <c r="D45" i="130"/>
  <c r="N45" i="130" s="1"/>
  <c r="O45" i="130" s="1"/>
  <c r="C15" i="130"/>
  <c r="C14" i="130"/>
  <c r="D10" i="130"/>
  <c r="B10" i="130"/>
  <c r="C9" i="130"/>
  <c r="C8" i="130"/>
  <c r="A6" i="130"/>
  <c r="A4" i="130"/>
  <c r="Y12" i="129"/>
  <c r="Z12" i="129"/>
  <c r="AA12" i="129"/>
  <c r="X12" i="129"/>
  <c r="AD12" i="129"/>
  <c r="AC12" i="129"/>
  <c r="AB12" i="129"/>
  <c r="T12" i="129"/>
  <c r="U12" i="129"/>
  <c r="V12" i="129"/>
  <c r="W12" i="129"/>
  <c r="S12" i="129"/>
  <c r="P41" i="129"/>
  <c r="G41" i="129"/>
  <c r="J41" i="129" s="1"/>
  <c r="P56" i="129"/>
  <c r="G56" i="129"/>
  <c r="J56" i="129" s="1"/>
  <c r="I60" i="129"/>
  <c r="J60" i="129" s="1"/>
  <c r="H45" i="129"/>
  <c r="J45" i="129" s="1"/>
  <c r="H44" i="129"/>
  <c r="J44" i="129" s="1"/>
  <c r="D74" i="129"/>
  <c r="P61" i="129"/>
  <c r="I61" i="129"/>
  <c r="J61" i="129" s="1"/>
  <c r="N61" i="129" s="1"/>
  <c r="O61" i="129" s="1"/>
  <c r="P60" i="129"/>
  <c r="P59" i="129"/>
  <c r="I59" i="129"/>
  <c r="J59" i="129" s="1"/>
  <c r="P58" i="129"/>
  <c r="I58" i="129"/>
  <c r="J58" i="129" s="1"/>
  <c r="P57" i="129"/>
  <c r="I57" i="129"/>
  <c r="J57" i="129" s="1"/>
  <c r="P55" i="129"/>
  <c r="I55" i="129"/>
  <c r="J55" i="129" s="1"/>
  <c r="P54" i="129"/>
  <c r="I54" i="129"/>
  <c r="N54" i="129" s="1"/>
  <c r="O54" i="129" s="1"/>
  <c r="P53" i="129"/>
  <c r="I53" i="129"/>
  <c r="J53" i="129" s="1"/>
  <c r="P52" i="129"/>
  <c r="J52" i="129"/>
  <c r="P51" i="129"/>
  <c r="J51" i="129"/>
  <c r="P50" i="129"/>
  <c r="I50" i="129"/>
  <c r="P49" i="129"/>
  <c r="I49" i="129"/>
  <c r="J49" i="129" s="1"/>
  <c r="P48" i="129"/>
  <c r="I48" i="129"/>
  <c r="J48" i="129" s="1"/>
  <c r="P47" i="129"/>
  <c r="I47" i="129"/>
  <c r="J47" i="129" s="1"/>
  <c r="P46" i="129"/>
  <c r="I46" i="129"/>
  <c r="J46" i="129" s="1"/>
  <c r="P45" i="129"/>
  <c r="P44" i="129"/>
  <c r="P43" i="129"/>
  <c r="P42" i="129"/>
  <c r="G42" i="129"/>
  <c r="J42" i="129" s="1"/>
  <c r="P40" i="129"/>
  <c r="P39" i="129"/>
  <c r="I39" i="129"/>
  <c r="J39" i="129" s="1"/>
  <c r="P38" i="129"/>
  <c r="I38" i="129"/>
  <c r="J38" i="129" s="1"/>
  <c r="P37" i="129"/>
  <c r="I37" i="129"/>
  <c r="J37" i="129" s="1"/>
  <c r="P36" i="129"/>
  <c r="I36" i="129"/>
  <c r="J36" i="129" s="1"/>
  <c r="P35" i="129"/>
  <c r="I35" i="129"/>
  <c r="J35" i="129" s="1"/>
  <c r="P34" i="129"/>
  <c r="I34" i="129"/>
  <c r="J34" i="129" s="1"/>
  <c r="J29" i="129"/>
  <c r="J28" i="129"/>
  <c r="N26" i="129"/>
  <c r="O26" i="129" s="1"/>
  <c r="J26" i="129"/>
  <c r="D46" i="129"/>
  <c r="N46" i="129" s="1"/>
  <c r="O46" i="129" s="1"/>
  <c r="C15" i="129"/>
  <c r="C14" i="129"/>
  <c r="D10" i="129"/>
  <c r="B10" i="129"/>
  <c r="C10" i="129" s="1"/>
  <c r="C9" i="129"/>
  <c r="C8" i="129"/>
  <c r="A6" i="129"/>
  <c r="A4" i="129"/>
  <c r="P61" i="40"/>
  <c r="I61" i="40"/>
  <c r="J61" i="40" s="1"/>
  <c r="N61" i="40" s="1"/>
  <c r="O61" i="40" s="1"/>
  <c r="P60" i="40"/>
  <c r="I60" i="40"/>
  <c r="J60" i="40" s="1"/>
  <c r="P52" i="119"/>
  <c r="I52" i="119"/>
  <c r="J52" i="119" s="1"/>
  <c r="N52" i="119" s="1"/>
  <c r="O52" i="119" s="1"/>
  <c r="P51" i="119"/>
  <c r="I51" i="119"/>
  <c r="J51" i="119" s="1"/>
  <c r="D51" i="119"/>
  <c r="P54" i="128"/>
  <c r="I54" i="128"/>
  <c r="J54" i="128" s="1"/>
  <c r="N54" i="128" s="1"/>
  <c r="O54" i="128" s="1"/>
  <c r="P53" i="128"/>
  <c r="I53" i="128"/>
  <c r="J53" i="128" s="1"/>
  <c r="P53" i="37"/>
  <c r="I53" i="37"/>
  <c r="J53" i="37" s="1"/>
  <c r="N53" i="37" s="1"/>
  <c r="O53" i="37" s="1"/>
  <c r="P52" i="37"/>
  <c r="I52" i="37"/>
  <c r="J52" i="37" s="1"/>
  <c r="D37" i="37"/>
  <c r="P57" i="127"/>
  <c r="I57" i="127"/>
  <c r="J57" i="127" s="1"/>
  <c r="N57" i="127" s="1"/>
  <c r="O57" i="127" s="1"/>
  <c r="P56" i="127"/>
  <c r="I56" i="127"/>
  <c r="J56" i="127" s="1"/>
  <c r="D56" i="127"/>
  <c r="P51" i="126"/>
  <c r="I51" i="126"/>
  <c r="J51" i="126" s="1"/>
  <c r="N51" i="126" s="1"/>
  <c r="O51" i="126" s="1"/>
  <c r="P50" i="126"/>
  <c r="I50" i="126"/>
  <c r="J50" i="126" s="1"/>
  <c r="P50" i="100"/>
  <c r="I50" i="100"/>
  <c r="J50" i="100" s="1"/>
  <c r="N50" i="100" s="1"/>
  <c r="O50" i="100" s="1"/>
  <c r="P49" i="100"/>
  <c r="I49" i="100"/>
  <c r="J49" i="100" s="1"/>
  <c r="I31" i="100"/>
  <c r="J31" i="100" s="1"/>
  <c r="I37" i="34"/>
  <c r="J37" i="34" s="1"/>
  <c r="I32" i="100"/>
  <c r="J32" i="100" s="1"/>
  <c r="P56" i="34"/>
  <c r="I56" i="34"/>
  <c r="J56" i="34" s="1"/>
  <c r="N56" i="34" s="1"/>
  <c r="O56" i="34" s="1"/>
  <c r="P55" i="34"/>
  <c r="I55" i="34"/>
  <c r="J55" i="34" s="1"/>
  <c r="I38" i="34"/>
  <c r="J38" i="34" s="1"/>
  <c r="N20" i="126"/>
  <c r="D27" i="126"/>
  <c r="D31" i="100"/>
  <c r="P50" i="119"/>
  <c r="I50" i="119"/>
  <c r="J50" i="119" s="1"/>
  <c r="P49" i="119"/>
  <c r="I49" i="119"/>
  <c r="J49" i="119" s="1"/>
  <c r="P59" i="40"/>
  <c r="I59" i="40"/>
  <c r="J59" i="40" s="1"/>
  <c r="P58" i="40"/>
  <c r="I58" i="40"/>
  <c r="J58" i="40" s="1"/>
  <c r="I52" i="128"/>
  <c r="J52" i="128" s="1"/>
  <c r="I51" i="128"/>
  <c r="J51" i="128" s="1"/>
  <c r="P52" i="128"/>
  <c r="P51" i="128"/>
  <c r="P51" i="37"/>
  <c r="P50" i="37"/>
  <c r="I51" i="37"/>
  <c r="J51" i="37" s="1"/>
  <c r="I50" i="37"/>
  <c r="J50" i="37" s="1"/>
  <c r="P55" i="127"/>
  <c r="I55" i="127"/>
  <c r="J55" i="127" s="1"/>
  <c r="N55" i="127" s="1"/>
  <c r="O55" i="127" s="1"/>
  <c r="P49" i="126"/>
  <c r="I49" i="126"/>
  <c r="J49" i="126" s="1"/>
  <c r="N49" i="126" s="1"/>
  <c r="O49" i="126" s="1"/>
  <c r="P48" i="100"/>
  <c r="I48" i="100"/>
  <c r="J48" i="100" s="1"/>
  <c r="N48" i="100" s="1"/>
  <c r="O48" i="100" s="1"/>
  <c r="S16" i="100"/>
  <c r="T16" i="100"/>
  <c r="U16" i="100"/>
  <c r="V16" i="100"/>
  <c r="W16" i="100"/>
  <c r="X16" i="100"/>
  <c r="Y16" i="100"/>
  <c r="Z16" i="100"/>
  <c r="AA16" i="100"/>
  <c r="AB16" i="100"/>
  <c r="AC16" i="100"/>
  <c r="AD16" i="100"/>
  <c r="S17" i="100"/>
  <c r="T17" i="100"/>
  <c r="U17" i="100"/>
  <c r="V17" i="100"/>
  <c r="W17" i="100"/>
  <c r="X17" i="100"/>
  <c r="Y17" i="100"/>
  <c r="Z17" i="100"/>
  <c r="AA17" i="100"/>
  <c r="AB17" i="100"/>
  <c r="AC17" i="100"/>
  <c r="AD17" i="100"/>
  <c r="S18" i="100"/>
  <c r="T18" i="100"/>
  <c r="U18" i="100"/>
  <c r="V18" i="100"/>
  <c r="W18" i="100"/>
  <c r="X18" i="100"/>
  <c r="Y18" i="100"/>
  <c r="Z18" i="100"/>
  <c r="AA18" i="100"/>
  <c r="AB18" i="100"/>
  <c r="AC18" i="100"/>
  <c r="AD18" i="100"/>
  <c r="S19" i="100"/>
  <c r="T19" i="100"/>
  <c r="U19" i="100"/>
  <c r="V19" i="100"/>
  <c r="W19" i="100"/>
  <c r="X19" i="100"/>
  <c r="Y19" i="100"/>
  <c r="Z19" i="100"/>
  <c r="AA19" i="100"/>
  <c r="AB19" i="100"/>
  <c r="AC19" i="100"/>
  <c r="AD19" i="100"/>
  <c r="P54" i="34"/>
  <c r="I54" i="34"/>
  <c r="J54" i="34" s="1"/>
  <c r="N54" i="34" s="1"/>
  <c r="O54" i="34" s="1"/>
  <c r="G39" i="34"/>
  <c r="J39" i="34" s="1"/>
  <c r="P35" i="128"/>
  <c r="P36" i="128"/>
  <c r="G36" i="128"/>
  <c r="J36" i="128" s="1"/>
  <c r="G35" i="128"/>
  <c r="J35" i="128" s="1"/>
  <c r="D36" i="128"/>
  <c r="D35" i="128"/>
  <c r="P50" i="128"/>
  <c r="I50" i="128"/>
  <c r="J50" i="128" s="1"/>
  <c r="P49" i="128"/>
  <c r="G49" i="128"/>
  <c r="J49" i="128" s="1"/>
  <c r="P48" i="128"/>
  <c r="I48" i="128"/>
  <c r="N48" i="128" s="1"/>
  <c r="O48" i="128" s="1"/>
  <c r="P47" i="128"/>
  <c r="I47" i="128"/>
  <c r="N47" i="128" s="1"/>
  <c r="O47" i="128" s="1"/>
  <c r="P46" i="128"/>
  <c r="I46" i="128"/>
  <c r="J46" i="128" s="1"/>
  <c r="P45" i="128"/>
  <c r="J45" i="128"/>
  <c r="P44" i="128"/>
  <c r="I44" i="128"/>
  <c r="P43" i="128"/>
  <c r="I43" i="128"/>
  <c r="J43" i="128" s="1"/>
  <c r="P42" i="128"/>
  <c r="I42" i="128"/>
  <c r="J42" i="128" s="1"/>
  <c r="P41" i="128"/>
  <c r="I41" i="128"/>
  <c r="J41" i="128" s="1"/>
  <c r="N41" i="128" s="1"/>
  <c r="O41" i="128" s="1"/>
  <c r="P40" i="128"/>
  <c r="I40" i="128"/>
  <c r="J40" i="128" s="1"/>
  <c r="P39" i="128"/>
  <c r="H39" i="128"/>
  <c r="J39" i="128" s="1"/>
  <c r="P38" i="128"/>
  <c r="P37" i="128"/>
  <c r="G37" i="128"/>
  <c r="J37" i="128" s="1"/>
  <c r="P34" i="128"/>
  <c r="P33" i="128"/>
  <c r="I33" i="128"/>
  <c r="J33" i="128" s="1"/>
  <c r="P32" i="128"/>
  <c r="I32" i="128"/>
  <c r="J32" i="128" s="1"/>
  <c r="P31" i="128"/>
  <c r="I31" i="128"/>
  <c r="J31" i="128" s="1"/>
  <c r="P30" i="128"/>
  <c r="I30" i="128"/>
  <c r="J30" i="128" s="1"/>
  <c r="P29" i="128"/>
  <c r="I29" i="128"/>
  <c r="J29" i="128" s="1"/>
  <c r="P28" i="128"/>
  <c r="I28" i="128"/>
  <c r="J28" i="128" s="1"/>
  <c r="P27" i="128"/>
  <c r="I27" i="128"/>
  <c r="J27" i="128" s="1"/>
  <c r="N21" i="128"/>
  <c r="O21" i="128" s="1"/>
  <c r="J21" i="128"/>
  <c r="AD13" i="128"/>
  <c r="AC13" i="128"/>
  <c r="AB13" i="128"/>
  <c r="AA13" i="128"/>
  <c r="Z13" i="128"/>
  <c r="Y13" i="128"/>
  <c r="X13" i="128"/>
  <c r="W13" i="128"/>
  <c r="V13" i="128"/>
  <c r="U13" i="128"/>
  <c r="T13" i="128"/>
  <c r="S13" i="128"/>
  <c r="D11" i="128"/>
  <c r="B11" i="128"/>
  <c r="J34" i="128" s="1"/>
  <c r="C10" i="128"/>
  <c r="C9" i="128"/>
  <c r="A6" i="128"/>
  <c r="A4" i="128"/>
  <c r="P41" i="127"/>
  <c r="P40" i="127"/>
  <c r="G41" i="127"/>
  <c r="J41" i="127" s="1"/>
  <c r="G40" i="127"/>
  <c r="J40" i="127" s="1"/>
  <c r="P54" i="127"/>
  <c r="I54" i="127"/>
  <c r="J54" i="127" s="1"/>
  <c r="P53" i="127"/>
  <c r="G53" i="127"/>
  <c r="J53" i="127" s="1"/>
  <c r="P52" i="127"/>
  <c r="I52" i="127"/>
  <c r="N52" i="127" s="1"/>
  <c r="O52" i="127" s="1"/>
  <c r="P51" i="127"/>
  <c r="I51" i="127"/>
  <c r="J51" i="127" s="1"/>
  <c r="P50" i="127"/>
  <c r="I50" i="127"/>
  <c r="J50" i="127" s="1"/>
  <c r="P49" i="127"/>
  <c r="J49" i="127"/>
  <c r="P48" i="127"/>
  <c r="I48" i="127"/>
  <c r="N48" i="127" s="1"/>
  <c r="O48" i="127" s="1"/>
  <c r="P47" i="127"/>
  <c r="I47" i="127"/>
  <c r="J47" i="127" s="1"/>
  <c r="P46" i="127"/>
  <c r="I46" i="127"/>
  <c r="J46" i="127" s="1"/>
  <c r="P45" i="127"/>
  <c r="I45" i="127"/>
  <c r="J45" i="127" s="1"/>
  <c r="P44" i="127"/>
  <c r="H44" i="127"/>
  <c r="J44" i="127" s="1"/>
  <c r="P43" i="127"/>
  <c r="P42" i="127"/>
  <c r="G42" i="127"/>
  <c r="J42" i="127" s="1"/>
  <c r="P39" i="127"/>
  <c r="P38" i="127"/>
  <c r="I38" i="127"/>
  <c r="J38" i="127" s="1"/>
  <c r="P37" i="127"/>
  <c r="I37" i="127"/>
  <c r="J37" i="127" s="1"/>
  <c r="P36" i="127"/>
  <c r="I36" i="127"/>
  <c r="J36" i="127" s="1"/>
  <c r="P35" i="127"/>
  <c r="I35" i="127"/>
  <c r="J35" i="127" s="1"/>
  <c r="P34" i="127"/>
  <c r="I34" i="127"/>
  <c r="J34" i="127" s="1"/>
  <c r="P33" i="127"/>
  <c r="I33" i="127"/>
  <c r="J33" i="127" s="1"/>
  <c r="P32" i="127"/>
  <c r="I32" i="127"/>
  <c r="J32" i="127" s="1"/>
  <c r="P31" i="127"/>
  <c r="I31" i="127"/>
  <c r="J31" i="127" s="1"/>
  <c r="J26" i="127"/>
  <c r="N25" i="127"/>
  <c r="O25" i="127" s="1"/>
  <c r="J25" i="127"/>
  <c r="AD15" i="127"/>
  <c r="AC15" i="127"/>
  <c r="AB15" i="127"/>
  <c r="AA15" i="127"/>
  <c r="Z15" i="127"/>
  <c r="Y15" i="127"/>
  <c r="X15" i="127"/>
  <c r="W15" i="127"/>
  <c r="V15" i="127"/>
  <c r="U15" i="127"/>
  <c r="T15" i="127"/>
  <c r="S15" i="127"/>
  <c r="AD14" i="127"/>
  <c r="AC14" i="127"/>
  <c r="AB14" i="127"/>
  <c r="AA14" i="127"/>
  <c r="Z14" i="127"/>
  <c r="Y14" i="127"/>
  <c r="X14" i="127"/>
  <c r="W14" i="127"/>
  <c r="V14" i="127"/>
  <c r="U14" i="127"/>
  <c r="T14" i="127"/>
  <c r="S14" i="127"/>
  <c r="AD13" i="127"/>
  <c r="AC13" i="127"/>
  <c r="AB13" i="127"/>
  <c r="AA13" i="127"/>
  <c r="Z13" i="127"/>
  <c r="Y13" i="127"/>
  <c r="X13" i="127"/>
  <c r="W13" i="127"/>
  <c r="V13" i="127"/>
  <c r="U13" i="127"/>
  <c r="T13" i="127"/>
  <c r="S13" i="127"/>
  <c r="D11" i="127"/>
  <c r="B11" i="127"/>
  <c r="C11" i="127" s="1"/>
  <c r="J39" i="127"/>
  <c r="C10" i="127"/>
  <c r="C9" i="127"/>
  <c r="A6" i="127"/>
  <c r="A4" i="127"/>
  <c r="P46" i="119"/>
  <c r="N46" i="119"/>
  <c r="O46" i="119" s="1"/>
  <c r="I46" i="119"/>
  <c r="J46" i="119" s="1"/>
  <c r="P55" i="40"/>
  <c r="I55" i="40"/>
  <c r="N55" i="40" s="1"/>
  <c r="O55" i="40" s="1"/>
  <c r="P47" i="37"/>
  <c r="I47" i="37"/>
  <c r="N47" i="37" s="1"/>
  <c r="O47" i="37" s="1"/>
  <c r="P46" i="126"/>
  <c r="I46" i="126"/>
  <c r="J46" i="126" s="1"/>
  <c r="P45" i="100"/>
  <c r="I45" i="100"/>
  <c r="N45" i="100" s="1"/>
  <c r="O45" i="100" s="1"/>
  <c r="P51" i="34"/>
  <c r="I51" i="34"/>
  <c r="N51" i="34" s="1"/>
  <c r="O51" i="34" s="1"/>
  <c r="D45" i="120"/>
  <c r="D46" i="120"/>
  <c r="A4" i="119"/>
  <c r="A5" i="119"/>
  <c r="C9" i="119"/>
  <c r="C10" i="119"/>
  <c r="B11" i="119"/>
  <c r="C11" i="119" s="1"/>
  <c r="D11" i="119"/>
  <c r="S13" i="119"/>
  <c r="T13" i="119"/>
  <c r="U13" i="119"/>
  <c r="V13" i="119"/>
  <c r="W13" i="119"/>
  <c r="X13" i="119"/>
  <c r="Y13" i="119"/>
  <c r="Z13" i="119"/>
  <c r="AA13" i="119"/>
  <c r="AB13" i="119"/>
  <c r="AC13" i="119"/>
  <c r="AD13" i="119"/>
  <c r="J19" i="119"/>
  <c r="N19" i="119"/>
  <c r="O19" i="119" s="1"/>
  <c r="I25" i="119"/>
  <c r="J25" i="119" s="1"/>
  <c r="P25" i="119"/>
  <c r="I26" i="119"/>
  <c r="J26" i="119" s="1"/>
  <c r="P26" i="119"/>
  <c r="I27" i="119"/>
  <c r="J27" i="119" s="1"/>
  <c r="P27" i="119"/>
  <c r="I28" i="119"/>
  <c r="J28" i="119" s="1"/>
  <c r="P28" i="119"/>
  <c r="I29" i="119"/>
  <c r="J29" i="119" s="1"/>
  <c r="P29" i="119"/>
  <c r="I30" i="119"/>
  <c r="J30" i="119" s="1"/>
  <c r="P30" i="119"/>
  <c r="P31" i="119"/>
  <c r="J32" i="119"/>
  <c r="J33" i="119"/>
  <c r="G34" i="119"/>
  <c r="J34" i="119" s="1"/>
  <c r="P34" i="119"/>
  <c r="P35" i="119"/>
  <c r="H36" i="119"/>
  <c r="J36" i="119" s="1"/>
  <c r="P36" i="119"/>
  <c r="I37" i="119"/>
  <c r="J37" i="119" s="1"/>
  <c r="P37" i="119"/>
  <c r="I38" i="119"/>
  <c r="J38" i="119" s="1"/>
  <c r="N38" i="119" s="1"/>
  <c r="O38" i="119" s="1"/>
  <c r="P38" i="119"/>
  <c r="I39" i="119"/>
  <c r="J39" i="119" s="1"/>
  <c r="P39" i="119"/>
  <c r="I40" i="119"/>
  <c r="J40" i="119" s="1"/>
  <c r="P40" i="119"/>
  <c r="I41" i="119"/>
  <c r="N41" i="119" s="1"/>
  <c r="O41" i="119" s="1"/>
  <c r="P41" i="119"/>
  <c r="J42" i="119"/>
  <c r="P42" i="119"/>
  <c r="J43" i="119"/>
  <c r="P43" i="119"/>
  <c r="I44" i="119"/>
  <c r="J44" i="119" s="1"/>
  <c r="P44" i="119"/>
  <c r="I45" i="119"/>
  <c r="J45" i="119" s="1"/>
  <c r="P45" i="119"/>
  <c r="G47" i="119"/>
  <c r="J47" i="119" s="1"/>
  <c r="P47" i="119"/>
  <c r="I48" i="119"/>
  <c r="J48" i="119" s="1"/>
  <c r="P48" i="119"/>
  <c r="A4" i="40"/>
  <c r="A6" i="40"/>
  <c r="C8" i="40"/>
  <c r="C9" i="40"/>
  <c r="B10" i="40"/>
  <c r="D10" i="40"/>
  <c r="S12" i="40"/>
  <c r="T12" i="40"/>
  <c r="U12" i="40"/>
  <c r="V12" i="40"/>
  <c r="W12" i="40"/>
  <c r="X12" i="40"/>
  <c r="Y12" i="40"/>
  <c r="Z12" i="40"/>
  <c r="AA12" i="40"/>
  <c r="AB12" i="40"/>
  <c r="AC12" i="40"/>
  <c r="AD12" i="40"/>
  <c r="C14" i="40"/>
  <c r="C15" i="40"/>
  <c r="J26" i="40"/>
  <c r="N26" i="40"/>
  <c r="O26" i="40" s="1"/>
  <c r="J28" i="40"/>
  <c r="J29" i="40"/>
  <c r="I34" i="40"/>
  <c r="J34" i="40" s="1"/>
  <c r="P34" i="40"/>
  <c r="I35" i="40"/>
  <c r="J35" i="40" s="1"/>
  <c r="P35" i="40"/>
  <c r="I36" i="40"/>
  <c r="J36" i="40" s="1"/>
  <c r="P36" i="40"/>
  <c r="I37" i="40"/>
  <c r="J37" i="40" s="1"/>
  <c r="P37" i="40"/>
  <c r="I38" i="40"/>
  <c r="J38" i="40" s="1"/>
  <c r="P38" i="40"/>
  <c r="I39" i="40"/>
  <c r="J39" i="40" s="1"/>
  <c r="P39" i="40"/>
  <c r="P40" i="40"/>
  <c r="G41" i="40"/>
  <c r="J41" i="40" s="1"/>
  <c r="P41" i="40"/>
  <c r="G42" i="40"/>
  <c r="J42" i="40" s="1"/>
  <c r="P42" i="40"/>
  <c r="P43" i="40"/>
  <c r="H44" i="40"/>
  <c r="J44" i="40" s="1"/>
  <c r="P44" i="40"/>
  <c r="H45" i="40"/>
  <c r="J45" i="40" s="1"/>
  <c r="P45" i="40"/>
  <c r="I46" i="40"/>
  <c r="J46" i="40" s="1"/>
  <c r="P46" i="40"/>
  <c r="I47" i="40"/>
  <c r="J47" i="40" s="1"/>
  <c r="P47" i="40"/>
  <c r="I48" i="40"/>
  <c r="J48" i="40" s="1"/>
  <c r="P48" i="40"/>
  <c r="I49" i="40"/>
  <c r="J49" i="40" s="1"/>
  <c r="P49" i="40"/>
  <c r="I50" i="40"/>
  <c r="N50" i="40" s="1"/>
  <c r="O50" i="40" s="1"/>
  <c r="P50" i="40"/>
  <c r="J51" i="40"/>
  <c r="P51" i="40"/>
  <c r="J52" i="40"/>
  <c r="P52" i="40"/>
  <c r="I53" i="40"/>
  <c r="J53" i="40" s="1"/>
  <c r="P53" i="40"/>
  <c r="I54" i="40"/>
  <c r="N54" i="40" s="1"/>
  <c r="O54" i="40" s="1"/>
  <c r="P54" i="40"/>
  <c r="G56" i="40"/>
  <c r="J56" i="40" s="1"/>
  <c r="P56" i="40"/>
  <c r="I57" i="40"/>
  <c r="J57" i="40" s="1"/>
  <c r="P57" i="40"/>
  <c r="D74" i="40"/>
  <c r="A4" i="37"/>
  <c r="A6" i="37"/>
  <c r="C9" i="37"/>
  <c r="C10" i="37"/>
  <c r="B11" i="37"/>
  <c r="C11" i="37" s="1"/>
  <c r="D11" i="37"/>
  <c r="S13" i="37"/>
  <c r="T13" i="37"/>
  <c r="U13" i="37"/>
  <c r="V13" i="37"/>
  <c r="W13" i="37"/>
  <c r="X13" i="37"/>
  <c r="Y13" i="37"/>
  <c r="Z13" i="37"/>
  <c r="AA13" i="37"/>
  <c r="AB13" i="37"/>
  <c r="AC13" i="37"/>
  <c r="AD13" i="37"/>
  <c r="J21" i="37"/>
  <c r="N21" i="37"/>
  <c r="O21" i="37" s="1"/>
  <c r="I27" i="37"/>
  <c r="J27" i="37" s="1"/>
  <c r="P27" i="37"/>
  <c r="I28" i="37"/>
  <c r="J28" i="37" s="1"/>
  <c r="P28" i="37"/>
  <c r="I29" i="37"/>
  <c r="J29" i="37" s="1"/>
  <c r="P29" i="37"/>
  <c r="I30" i="37"/>
  <c r="J30" i="37" s="1"/>
  <c r="P30" i="37"/>
  <c r="I31" i="37"/>
  <c r="J31" i="37" s="1"/>
  <c r="P31" i="37"/>
  <c r="I32" i="37"/>
  <c r="J32" i="37" s="1"/>
  <c r="P32" i="37"/>
  <c r="I33" i="37"/>
  <c r="J33" i="37" s="1"/>
  <c r="P33" i="37"/>
  <c r="P34" i="37"/>
  <c r="G35" i="37"/>
  <c r="J35" i="37" s="1"/>
  <c r="P35" i="37"/>
  <c r="G36" i="37"/>
  <c r="J36" i="37" s="1"/>
  <c r="P36" i="37"/>
  <c r="P37" i="37"/>
  <c r="H38" i="37"/>
  <c r="J38" i="37" s="1"/>
  <c r="P38" i="37"/>
  <c r="I39" i="37"/>
  <c r="J39" i="37" s="1"/>
  <c r="P39" i="37"/>
  <c r="I40" i="37"/>
  <c r="J40" i="37" s="1"/>
  <c r="N40" i="37" s="1"/>
  <c r="O40" i="37" s="1"/>
  <c r="P40" i="37"/>
  <c r="I41" i="37"/>
  <c r="J41" i="37" s="1"/>
  <c r="P41" i="37"/>
  <c r="I42" i="37"/>
  <c r="J42" i="37" s="1"/>
  <c r="P42" i="37"/>
  <c r="I43" i="37"/>
  <c r="P43" i="37"/>
  <c r="J44" i="37"/>
  <c r="P44" i="37"/>
  <c r="I45" i="37"/>
  <c r="J45" i="37" s="1"/>
  <c r="P45" i="37"/>
  <c r="I46" i="37"/>
  <c r="N46" i="37" s="1"/>
  <c r="O46" i="37" s="1"/>
  <c r="P46" i="37"/>
  <c r="G48" i="37"/>
  <c r="P48" i="37"/>
  <c r="I49" i="37"/>
  <c r="J49" i="37" s="1"/>
  <c r="P49" i="37"/>
  <c r="A4" i="126"/>
  <c r="A6" i="126"/>
  <c r="C9" i="126"/>
  <c r="C10" i="126"/>
  <c r="B11" i="126"/>
  <c r="C11" i="126" s="1"/>
  <c r="D11" i="126"/>
  <c r="S15" i="126"/>
  <c r="T15" i="126"/>
  <c r="U15" i="126"/>
  <c r="V15" i="126"/>
  <c r="W15" i="126"/>
  <c r="X15" i="126"/>
  <c r="Y15" i="126"/>
  <c r="Z15" i="126"/>
  <c r="AA15" i="126"/>
  <c r="AB15" i="126"/>
  <c r="AC15" i="126"/>
  <c r="AD15" i="126"/>
  <c r="J19" i="126"/>
  <c r="N19" i="126"/>
  <c r="O19" i="126" s="1"/>
  <c r="I25" i="126"/>
  <c r="J25" i="126" s="1"/>
  <c r="P25" i="126"/>
  <c r="I26" i="126"/>
  <c r="J26" i="126" s="1"/>
  <c r="P26" i="126"/>
  <c r="I27" i="126"/>
  <c r="J27" i="126" s="1"/>
  <c r="P27" i="126"/>
  <c r="I28" i="126"/>
  <c r="J28" i="126" s="1"/>
  <c r="P28" i="126"/>
  <c r="I29" i="126"/>
  <c r="J29" i="126" s="1"/>
  <c r="P29" i="126"/>
  <c r="I30" i="126"/>
  <c r="J30" i="126" s="1"/>
  <c r="P30" i="126"/>
  <c r="I31" i="126"/>
  <c r="J31" i="126" s="1"/>
  <c r="P31" i="126"/>
  <c r="I32" i="126"/>
  <c r="J32" i="126" s="1"/>
  <c r="P32" i="126"/>
  <c r="P33" i="126"/>
  <c r="G34" i="126"/>
  <c r="J34" i="126" s="1"/>
  <c r="P34" i="126"/>
  <c r="G35" i="126"/>
  <c r="J35" i="126" s="1"/>
  <c r="P35" i="126"/>
  <c r="G36" i="126"/>
  <c r="J36" i="126" s="1"/>
  <c r="P36" i="126"/>
  <c r="P37" i="126"/>
  <c r="H38" i="126"/>
  <c r="J38" i="126" s="1"/>
  <c r="P38" i="126"/>
  <c r="I39" i="126"/>
  <c r="J39" i="126" s="1"/>
  <c r="P39" i="126"/>
  <c r="I40" i="126"/>
  <c r="J40" i="126" s="1"/>
  <c r="P40" i="126"/>
  <c r="I41" i="126"/>
  <c r="J41" i="126" s="1"/>
  <c r="P41" i="126"/>
  <c r="I42" i="126"/>
  <c r="J42" i="126" s="1"/>
  <c r="P42" i="126"/>
  <c r="J43" i="126"/>
  <c r="P43" i="126"/>
  <c r="I44" i="126"/>
  <c r="J44" i="126" s="1"/>
  <c r="P44" i="126"/>
  <c r="I45" i="126"/>
  <c r="N45" i="126" s="1"/>
  <c r="O45" i="126" s="1"/>
  <c r="P45" i="126"/>
  <c r="G47" i="126"/>
  <c r="J47" i="126" s="1"/>
  <c r="P47" i="126"/>
  <c r="I48" i="126"/>
  <c r="J48" i="126" s="1"/>
  <c r="P48" i="126"/>
  <c r="A5" i="100"/>
  <c r="C8" i="100"/>
  <c r="C9" i="100"/>
  <c r="B10" i="100"/>
  <c r="D10" i="100"/>
  <c r="C15" i="100"/>
  <c r="D20" i="100" s="1"/>
  <c r="J19" i="100"/>
  <c r="N19" i="100"/>
  <c r="O19" i="100" s="1"/>
  <c r="I25" i="100"/>
  <c r="J25" i="100" s="1"/>
  <c r="P25" i="100"/>
  <c r="I26" i="100"/>
  <c r="J26" i="100" s="1"/>
  <c r="P26" i="100"/>
  <c r="I27" i="100"/>
  <c r="J27" i="100" s="1"/>
  <c r="P27" i="100"/>
  <c r="I28" i="100"/>
  <c r="J28" i="100" s="1"/>
  <c r="P28" i="100"/>
  <c r="I29" i="100"/>
  <c r="J29" i="100" s="1"/>
  <c r="P29" i="100"/>
  <c r="I30" i="100"/>
  <c r="J30" i="100" s="1"/>
  <c r="P30" i="100"/>
  <c r="P31" i="100"/>
  <c r="P32" i="100"/>
  <c r="P33" i="100"/>
  <c r="P34" i="100"/>
  <c r="G35" i="100"/>
  <c r="J35" i="100" s="1"/>
  <c r="P35" i="100"/>
  <c r="P36" i="100"/>
  <c r="H37" i="100"/>
  <c r="J37" i="100" s="1"/>
  <c r="P37" i="100"/>
  <c r="I38" i="100"/>
  <c r="J38" i="100" s="1"/>
  <c r="P38" i="100"/>
  <c r="I39" i="100"/>
  <c r="J39" i="100" s="1"/>
  <c r="P39" i="100"/>
  <c r="I40" i="100"/>
  <c r="J40" i="100" s="1"/>
  <c r="P40" i="100"/>
  <c r="I41" i="100"/>
  <c r="J41" i="100" s="1"/>
  <c r="P41" i="100"/>
  <c r="J42" i="100"/>
  <c r="P42" i="100"/>
  <c r="I43" i="100"/>
  <c r="J43" i="100" s="1"/>
  <c r="P43" i="100"/>
  <c r="I44" i="100"/>
  <c r="J44" i="100" s="1"/>
  <c r="P44" i="100"/>
  <c r="G46" i="100"/>
  <c r="J46" i="100" s="1"/>
  <c r="P46" i="100"/>
  <c r="I47" i="100"/>
  <c r="J47" i="100" s="1"/>
  <c r="P47" i="100"/>
  <c r="A4" i="34"/>
  <c r="A6" i="34"/>
  <c r="C9" i="34"/>
  <c r="C10" i="34"/>
  <c r="B11" i="34"/>
  <c r="C11" i="34" s="1"/>
  <c r="D11" i="34"/>
  <c r="J25" i="34"/>
  <c r="N25" i="34"/>
  <c r="O25" i="34" s="1"/>
  <c r="J26" i="34"/>
  <c r="I31" i="34"/>
  <c r="J31" i="34" s="1"/>
  <c r="P31" i="34"/>
  <c r="I32" i="34"/>
  <c r="J32" i="34" s="1"/>
  <c r="P32" i="34"/>
  <c r="I33" i="34"/>
  <c r="J33" i="34" s="1"/>
  <c r="P33" i="34"/>
  <c r="I34" i="34"/>
  <c r="J34" i="34" s="1"/>
  <c r="P34" i="34"/>
  <c r="I35" i="34"/>
  <c r="J35" i="34" s="1"/>
  <c r="P35" i="34"/>
  <c r="I36" i="34"/>
  <c r="J36" i="34" s="1"/>
  <c r="P36" i="34"/>
  <c r="P37" i="34"/>
  <c r="P38" i="34"/>
  <c r="P39" i="34"/>
  <c r="G40" i="34"/>
  <c r="J40" i="34" s="1"/>
  <c r="P40" i="34"/>
  <c r="G41" i="34"/>
  <c r="J41" i="34" s="1"/>
  <c r="P41" i="34"/>
  <c r="P42" i="34"/>
  <c r="H43" i="34"/>
  <c r="J43" i="34" s="1"/>
  <c r="P43" i="34"/>
  <c r="I44" i="34"/>
  <c r="J44" i="34" s="1"/>
  <c r="P44" i="34"/>
  <c r="I45" i="34"/>
  <c r="J45" i="34" s="1"/>
  <c r="P45" i="34"/>
  <c r="I46" i="34"/>
  <c r="J46" i="34" s="1"/>
  <c r="P46" i="34"/>
  <c r="I47" i="34"/>
  <c r="N47" i="34" s="1"/>
  <c r="O47" i="34" s="1"/>
  <c r="P47" i="34"/>
  <c r="J48" i="34"/>
  <c r="P48" i="34"/>
  <c r="I49" i="34"/>
  <c r="J49" i="34" s="1"/>
  <c r="P49" i="34"/>
  <c r="I50" i="34"/>
  <c r="J50" i="34" s="1"/>
  <c r="P50" i="34"/>
  <c r="G52" i="34"/>
  <c r="J52" i="34" s="1"/>
  <c r="P52" i="34"/>
  <c r="I53" i="34"/>
  <c r="J53" i="34" s="1"/>
  <c r="P53" i="34"/>
  <c r="E18" i="1"/>
  <c r="C19" i="136" s="1"/>
  <c r="D29" i="1"/>
  <c r="J22" i="37"/>
  <c r="D38" i="37"/>
  <c r="J51" i="34"/>
  <c r="J20" i="119"/>
  <c r="D44" i="127"/>
  <c r="D48" i="34"/>
  <c r="O48" i="34" s="1"/>
  <c r="J20" i="126"/>
  <c r="D32" i="37"/>
  <c r="D35" i="119"/>
  <c r="N50" i="34"/>
  <c r="O50" i="34" s="1"/>
  <c r="N41" i="100" l="1"/>
  <c r="O41" i="100" s="1"/>
  <c r="C20" i="40"/>
  <c r="D17" i="40" s="1"/>
  <c r="N21" i="126"/>
  <c r="D30" i="126" s="1"/>
  <c r="N30" i="126" s="1"/>
  <c r="O30" i="126" s="1"/>
  <c r="J47" i="128"/>
  <c r="N42" i="126"/>
  <c r="O42" i="126" s="1"/>
  <c r="N32" i="37"/>
  <c r="O32" i="37" s="1"/>
  <c r="D19" i="40"/>
  <c r="C20" i="141"/>
  <c r="C20" i="142"/>
  <c r="C17" i="139"/>
  <c r="C17" i="138"/>
  <c r="C19" i="130"/>
  <c r="J46" i="37"/>
  <c r="J54" i="129"/>
  <c r="J34" i="100"/>
  <c r="J33" i="100"/>
  <c r="D30" i="1"/>
  <c r="C18" i="40"/>
  <c r="D18" i="40" s="1"/>
  <c r="C18" i="129"/>
  <c r="C18" i="141"/>
  <c r="D18" i="141" s="1"/>
  <c r="C18" i="142"/>
  <c r="I35" i="133"/>
  <c r="J35" i="133" s="1"/>
  <c r="I40" i="142"/>
  <c r="J40" i="142" s="1"/>
  <c r="N40" i="142" s="1"/>
  <c r="O40" i="142" s="1"/>
  <c r="I40" i="141"/>
  <c r="J40" i="141" s="1"/>
  <c r="N40" i="141" s="1"/>
  <c r="I38" i="139"/>
  <c r="J38" i="139" s="1"/>
  <c r="N38" i="139" s="1"/>
  <c r="O38" i="139" s="1"/>
  <c r="I38" i="138"/>
  <c r="J38" i="138" s="1"/>
  <c r="N38" i="138" s="1"/>
  <c r="O38" i="138" s="1"/>
  <c r="I43" i="127"/>
  <c r="J43" i="127" s="1"/>
  <c r="N43" i="127" s="1"/>
  <c r="O43" i="127" s="1"/>
  <c r="I43" i="140"/>
  <c r="J43" i="140" s="1"/>
  <c r="N43" i="140" s="1"/>
  <c r="O43" i="140" s="1"/>
  <c r="I42" i="34"/>
  <c r="J42" i="34" s="1"/>
  <c r="N42" i="34" s="1"/>
  <c r="O42" i="34" s="1"/>
  <c r="I37" i="126"/>
  <c r="J37" i="126" s="1"/>
  <c r="N37" i="126" s="1"/>
  <c r="O37" i="126" s="1"/>
  <c r="N55" i="129"/>
  <c r="O55" i="129" s="1"/>
  <c r="J48" i="128"/>
  <c r="J40" i="40"/>
  <c r="D14" i="40"/>
  <c r="D46" i="140"/>
  <c r="N46" i="140" s="1"/>
  <c r="O46" i="140" s="1"/>
  <c r="D47" i="140"/>
  <c r="N47" i="140" s="1"/>
  <c r="O47" i="140" s="1"/>
  <c r="D50" i="140"/>
  <c r="N50" i="140" s="1"/>
  <c r="O50" i="140" s="1"/>
  <c r="D39" i="140"/>
  <c r="N39" i="140" s="1"/>
  <c r="O39" i="140" s="1"/>
  <c r="D37" i="140"/>
  <c r="N37" i="140" s="1"/>
  <c r="J31" i="119"/>
  <c r="L32" i="119"/>
  <c r="O32" i="119" s="1"/>
  <c r="C10" i="40"/>
  <c r="C11" i="128"/>
  <c r="D33" i="139"/>
  <c r="N33" i="139" s="1"/>
  <c r="O33" i="139" s="1"/>
  <c r="D45" i="139"/>
  <c r="O45" i="139" s="1"/>
  <c r="N30" i="139"/>
  <c r="O30" i="139" s="1"/>
  <c r="N29" i="139"/>
  <c r="D44" i="139"/>
  <c r="O44" i="139" s="1"/>
  <c r="O39" i="139"/>
  <c r="M56" i="139"/>
  <c r="M58" i="139" s="1"/>
  <c r="L56" i="139"/>
  <c r="L58" i="139" s="1"/>
  <c r="O65" i="139" s="1"/>
  <c r="O35" i="139"/>
  <c r="L35" i="138"/>
  <c r="O35" i="138" s="1"/>
  <c r="O39" i="138"/>
  <c r="M56" i="138"/>
  <c r="M58" i="138" s="1"/>
  <c r="N29" i="138"/>
  <c r="D44" i="138"/>
  <c r="O44" i="138" s="1"/>
  <c r="D45" i="138"/>
  <c r="O45" i="138" s="1"/>
  <c r="N30" i="138"/>
  <c r="O30" i="138" s="1"/>
  <c r="D33" i="138"/>
  <c r="N33" i="138" s="1"/>
  <c r="O33" i="138" s="1"/>
  <c r="D35" i="133"/>
  <c r="D27" i="128"/>
  <c r="N27" i="128" s="1"/>
  <c r="O27" i="128" s="1"/>
  <c r="D27" i="37"/>
  <c r="N27" i="37" s="1"/>
  <c r="O27" i="37" s="1"/>
  <c r="D51" i="37"/>
  <c r="N51" i="37" s="1"/>
  <c r="O51" i="37" s="1"/>
  <c r="D29" i="100"/>
  <c r="N29" i="100" s="1"/>
  <c r="O29" i="100" s="1"/>
  <c r="L47" i="119"/>
  <c r="O47" i="119" s="1"/>
  <c r="L34" i="128"/>
  <c r="O34" i="128" s="1"/>
  <c r="D59" i="40"/>
  <c r="N59" i="40" s="1"/>
  <c r="O59" i="40" s="1"/>
  <c r="L40" i="40"/>
  <c r="D38" i="128"/>
  <c r="D49" i="119"/>
  <c r="N49" i="119" s="1"/>
  <c r="O49" i="119" s="1"/>
  <c r="D49" i="37"/>
  <c r="N49" i="37" s="1"/>
  <c r="O49" i="37" s="1"/>
  <c r="D31" i="37"/>
  <c r="N31" i="37" s="1"/>
  <c r="O31" i="37" s="1"/>
  <c r="D31" i="128"/>
  <c r="N31" i="128" s="1"/>
  <c r="O31" i="128" s="1"/>
  <c r="L49" i="128"/>
  <c r="O49" i="128" s="1"/>
  <c r="D32" i="128"/>
  <c r="N32" i="128" s="1"/>
  <c r="O32" i="128" s="1"/>
  <c r="D34" i="127"/>
  <c r="N34" i="127" s="1"/>
  <c r="O34" i="127" s="1"/>
  <c r="D44" i="37"/>
  <c r="O44" i="37" s="1"/>
  <c r="D44" i="40"/>
  <c r="M44" i="40" s="1"/>
  <c r="O44" i="40" s="1"/>
  <c r="L35" i="126"/>
  <c r="O35" i="126" s="1"/>
  <c r="D30" i="37"/>
  <c r="N30" i="37" s="1"/>
  <c r="O30" i="37" s="1"/>
  <c r="D29" i="37"/>
  <c r="N29" i="37" s="1"/>
  <c r="O29" i="37" s="1"/>
  <c r="D51" i="128"/>
  <c r="N51" i="128" s="1"/>
  <c r="O51" i="128" s="1"/>
  <c r="D50" i="119"/>
  <c r="N50" i="119" s="1"/>
  <c r="O50" i="119" s="1"/>
  <c r="L37" i="128"/>
  <c r="O37" i="128" s="1"/>
  <c r="D28" i="37"/>
  <c r="N28" i="37" s="1"/>
  <c r="O28" i="37" s="1"/>
  <c r="D39" i="128"/>
  <c r="M39" i="128" s="1"/>
  <c r="M56" i="128" s="1"/>
  <c r="M58" i="128" s="1"/>
  <c r="D52" i="37"/>
  <c r="N52" i="37" s="1"/>
  <c r="O52" i="37" s="1"/>
  <c r="I39" i="136"/>
  <c r="J39" i="136" s="1"/>
  <c r="J47" i="34"/>
  <c r="L48" i="37"/>
  <c r="O48" i="37" s="1"/>
  <c r="I35" i="119"/>
  <c r="J35" i="119" s="1"/>
  <c r="N35" i="119" s="1"/>
  <c r="O35" i="119" s="1"/>
  <c r="N38" i="132"/>
  <c r="O38" i="132" s="1"/>
  <c r="I36" i="100"/>
  <c r="J36" i="100" s="1"/>
  <c r="N36" i="100" s="1"/>
  <c r="O36" i="100" s="1"/>
  <c r="D45" i="128"/>
  <c r="O45" i="128" s="1"/>
  <c r="D50" i="128"/>
  <c r="N50" i="128" s="1"/>
  <c r="O50" i="128" s="1"/>
  <c r="D29" i="128"/>
  <c r="N29" i="128" s="1"/>
  <c r="O29" i="128" s="1"/>
  <c r="D34" i="34"/>
  <c r="N34" i="34" s="1"/>
  <c r="O34" i="34" s="1"/>
  <c r="D40" i="128"/>
  <c r="N40" i="128" s="1"/>
  <c r="O40" i="128" s="1"/>
  <c r="D37" i="34"/>
  <c r="N37" i="34" s="1"/>
  <c r="O37" i="34" s="1"/>
  <c r="C10" i="100"/>
  <c r="M38" i="37"/>
  <c r="M55" i="37" s="1"/>
  <c r="M57" i="37" s="1"/>
  <c r="I37" i="37"/>
  <c r="J37" i="37" s="1"/>
  <c r="N37" i="37" s="1"/>
  <c r="O37" i="37" s="1"/>
  <c r="N56" i="127"/>
  <c r="O56" i="127" s="1"/>
  <c r="N53" i="128"/>
  <c r="O53" i="128" s="1"/>
  <c r="D43" i="129"/>
  <c r="L56" i="129"/>
  <c r="O56" i="129" s="1"/>
  <c r="I39" i="131"/>
  <c r="J39" i="131" s="1"/>
  <c r="N39" i="131" s="1"/>
  <c r="O39" i="131" s="1"/>
  <c r="I33" i="132"/>
  <c r="J33" i="132" s="1"/>
  <c r="N33" i="132" s="1"/>
  <c r="O33" i="132" s="1"/>
  <c r="I38" i="128"/>
  <c r="J38" i="128" s="1"/>
  <c r="J55" i="40"/>
  <c r="N22" i="37"/>
  <c r="L36" i="37"/>
  <c r="O36" i="37" s="1"/>
  <c r="D39" i="37"/>
  <c r="N39" i="37" s="1"/>
  <c r="O39" i="37" s="1"/>
  <c r="D52" i="128"/>
  <c r="N52" i="128" s="1"/>
  <c r="O52" i="128" s="1"/>
  <c r="J22" i="128"/>
  <c r="D30" i="128"/>
  <c r="N30" i="128" s="1"/>
  <c r="O30" i="128" s="1"/>
  <c r="D28" i="128"/>
  <c r="N28" i="128" s="1"/>
  <c r="O28" i="128" s="1"/>
  <c r="D31" i="34"/>
  <c r="N31" i="34" s="1"/>
  <c r="O31" i="34" s="1"/>
  <c r="D54" i="127"/>
  <c r="N54" i="127" s="1"/>
  <c r="O54" i="127" s="1"/>
  <c r="D50" i="37"/>
  <c r="N50" i="37" s="1"/>
  <c r="O50" i="37" s="1"/>
  <c r="J52" i="127"/>
  <c r="I43" i="40"/>
  <c r="J43" i="40" s="1"/>
  <c r="D15" i="40"/>
  <c r="N46" i="126"/>
  <c r="O46" i="126" s="1"/>
  <c r="N51" i="119"/>
  <c r="O51" i="119" s="1"/>
  <c r="I15" i="129"/>
  <c r="C20" i="129"/>
  <c r="D14" i="129" s="1"/>
  <c r="N54" i="130"/>
  <c r="O54" i="130" s="1"/>
  <c r="N45" i="119"/>
  <c r="O45" i="119" s="1"/>
  <c r="L36" i="128"/>
  <c r="O36" i="128" s="1"/>
  <c r="I43" i="129"/>
  <c r="J43" i="129" s="1"/>
  <c r="J47" i="37"/>
  <c r="J45" i="126"/>
  <c r="N27" i="126"/>
  <c r="O27" i="126" s="1"/>
  <c r="I42" i="130"/>
  <c r="J42" i="130" s="1"/>
  <c r="J43" i="37"/>
  <c r="N43" i="37"/>
  <c r="O43" i="37" s="1"/>
  <c r="N50" i="129"/>
  <c r="O50" i="129" s="1"/>
  <c r="J50" i="129"/>
  <c r="L56" i="40"/>
  <c r="O56" i="40" s="1"/>
  <c r="J48" i="37"/>
  <c r="M44" i="127"/>
  <c r="O44" i="127" s="1"/>
  <c r="J44" i="128"/>
  <c r="N44" i="128"/>
  <c r="O44" i="128" s="1"/>
  <c r="N44" i="100"/>
  <c r="O44" i="100" s="1"/>
  <c r="J49" i="130"/>
  <c r="N49" i="130"/>
  <c r="O49" i="130" s="1"/>
  <c r="N29" i="132"/>
  <c r="O29" i="132" s="1"/>
  <c r="L40" i="127"/>
  <c r="O40" i="127" s="1"/>
  <c r="L40" i="34"/>
  <c r="O40" i="34" s="1"/>
  <c r="J54" i="40"/>
  <c r="J41" i="119"/>
  <c r="L35" i="37"/>
  <c r="O35" i="37" s="1"/>
  <c r="L41" i="40"/>
  <c r="O41" i="40" s="1"/>
  <c r="L41" i="127"/>
  <c r="O41" i="127" s="1"/>
  <c r="L35" i="128"/>
  <c r="O35" i="128" s="1"/>
  <c r="L39" i="127"/>
  <c r="D26" i="100"/>
  <c r="N26" i="100" s="1"/>
  <c r="O26" i="100" s="1"/>
  <c r="D35" i="127"/>
  <c r="N35" i="127" s="1"/>
  <c r="O35" i="127" s="1"/>
  <c r="N26" i="127"/>
  <c r="O26" i="127" s="1"/>
  <c r="O27" i="127" s="1"/>
  <c r="N37" i="127"/>
  <c r="O37" i="127" s="1"/>
  <c r="D31" i="127"/>
  <c r="N31" i="127" s="1"/>
  <c r="O31" i="127" s="1"/>
  <c r="D28" i="100"/>
  <c r="N28" i="100" s="1"/>
  <c r="O28" i="100" s="1"/>
  <c r="D27" i="100"/>
  <c r="N27" i="100" s="1"/>
  <c r="O27" i="100" s="1"/>
  <c r="L34" i="126"/>
  <c r="O34" i="126" s="1"/>
  <c r="D36" i="130"/>
  <c r="N36" i="130" s="1"/>
  <c r="O36" i="130" s="1"/>
  <c r="D58" i="130"/>
  <c r="N58" i="130" s="1"/>
  <c r="O58" i="130" s="1"/>
  <c r="D32" i="127"/>
  <c r="N32" i="127" s="1"/>
  <c r="O32" i="127" s="1"/>
  <c r="D33" i="127"/>
  <c r="N33" i="127" s="1"/>
  <c r="O33" i="127" s="1"/>
  <c r="L53" i="127"/>
  <c r="O53" i="127" s="1"/>
  <c r="L33" i="119"/>
  <c r="O33" i="119" s="1"/>
  <c r="L40" i="130"/>
  <c r="O40" i="130" s="1"/>
  <c r="D25" i="100"/>
  <c r="N25" i="100" s="1"/>
  <c r="O25" i="100" s="1"/>
  <c r="D49" i="127"/>
  <c r="O49" i="127" s="1"/>
  <c r="O64" i="127"/>
  <c r="L42" i="127"/>
  <c r="O42" i="127" s="1"/>
  <c r="D45" i="127"/>
  <c r="N45" i="127" s="1"/>
  <c r="O45" i="127" s="1"/>
  <c r="D37" i="129"/>
  <c r="N37" i="129" s="1"/>
  <c r="O37" i="129" s="1"/>
  <c r="D50" i="126"/>
  <c r="N50" i="126" s="1"/>
  <c r="O50" i="126" s="1"/>
  <c r="D43" i="126"/>
  <c r="O43" i="126" s="1"/>
  <c r="D36" i="119"/>
  <c r="M36" i="119" s="1"/>
  <c r="M54" i="119" s="1"/>
  <c r="M56" i="119" s="1"/>
  <c r="D27" i="119"/>
  <c r="N27" i="119" s="1"/>
  <c r="D48" i="119"/>
  <c r="N48" i="119" s="1"/>
  <c r="O48" i="119" s="1"/>
  <c r="D37" i="119"/>
  <c r="N37" i="119" s="1"/>
  <c r="O37" i="119" s="1"/>
  <c r="D55" i="34"/>
  <c r="N55" i="34" s="1"/>
  <c r="O55" i="34" s="1"/>
  <c r="D49" i="100"/>
  <c r="N49" i="100" s="1"/>
  <c r="O49" i="100" s="1"/>
  <c r="D58" i="129"/>
  <c r="N58" i="129" s="1"/>
  <c r="O58" i="129" s="1"/>
  <c r="D56" i="130"/>
  <c r="N56" i="130" s="1"/>
  <c r="O56" i="130" s="1"/>
  <c r="D28" i="119"/>
  <c r="N28" i="119" s="1"/>
  <c r="O28" i="119" s="1"/>
  <c r="L34" i="119"/>
  <c r="O34" i="119" s="1"/>
  <c r="D26" i="119"/>
  <c r="N21" i="119"/>
  <c r="D44" i="119" s="1"/>
  <c r="N44" i="119" s="1"/>
  <c r="O44" i="119" s="1"/>
  <c r="L41" i="129"/>
  <c r="O41" i="129" s="1"/>
  <c r="J40" i="129"/>
  <c r="J33" i="126"/>
  <c r="J46" i="136"/>
  <c r="N49" i="136"/>
  <c r="O49" i="136" s="1"/>
  <c r="N48" i="136"/>
  <c r="O48" i="136" s="1"/>
  <c r="D14" i="136"/>
  <c r="I25" i="136" s="1"/>
  <c r="D15" i="136"/>
  <c r="D35" i="136"/>
  <c r="N35" i="136" s="1"/>
  <c r="O35" i="136" s="1"/>
  <c r="D42" i="136"/>
  <c r="N42" i="136" s="1"/>
  <c r="O42" i="136" s="1"/>
  <c r="D16" i="136"/>
  <c r="D53" i="136" s="1"/>
  <c r="N53" i="136" s="1"/>
  <c r="O53" i="136" s="1"/>
  <c r="I15" i="136"/>
  <c r="D17" i="136"/>
  <c r="D33" i="136"/>
  <c r="N33" i="136" s="1"/>
  <c r="O33" i="136" s="1"/>
  <c r="D40" i="136"/>
  <c r="M40" i="136" s="1"/>
  <c r="O40" i="136" s="1"/>
  <c r="N51" i="136"/>
  <c r="O51" i="136" s="1"/>
  <c r="D36" i="136"/>
  <c r="N36" i="136" s="1"/>
  <c r="O36" i="136" s="1"/>
  <c r="D39" i="136"/>
  <c r="D50" i="136"/>
  <c r="N50" i="136" s="1"/>
  <c r="O50" i="136" s="1"/>
  <c r="D52" i="136"/>
  <c r="N52" i="136" s="1"/>
  <c r="O52" i="136" s="1"/>
  <c r="D28" i="133"/>
  <c r="N28" i="133" s="1"/>
  <c r="O28" i="133" s="1"/>
  <c r="D46" i="133"/>
  <c r="N46" i="133" s="1"/>
  <c r="O46" i="133" s="1"/>
  <c r="D32" i="133"/>
  <c r="N32" i="133" s="1"/>
  <c r="O32" i="133" s="1"/>
  <c r="D30" i="133"/>
  <c r="N30" i="133" s="1"/>
  <c r="O30" i="133" s="1"/>
  <c r="D48" i="133"/>
  <c r="N48" i="133" s="1"/>
  <c r="O48" i="133" s="1"/>
  <c r="J43" i="133"/>
  <c r="C11" i="133"/>
  <c r="O21" i="133"/>
  <c r="N41" i="133"/>
  <c r="O41" i="133" s="1"/>
  <c r="N44" i="133"/>
  <c r="O44" i="133" s="1"/>
  <c r="D22" i="133"/>
  <c r="N22" i="133" s="1"/>
  <c r="O22" i="133" s="1"/>
  <c r="D23" i="133"/>
  <c r="N23" i="133" s="1"/>
  <c r="O23" i="133" s="1"/>
  <c r="D29" i="133"/>
  <c r="N29" i="133" s="1"/>
  <c r="O29" i="133" s="1"/>
  <c r="D31" i="133"/>
  <c r="N31" i="133" s="1"/>
  <c r="O31" i="133" s="1"/>
  <c r="D33" i="133"/>
  <c r="N33" i="133" s="1"/>
  <c r="O33" i="133" s="1"/>
  <c r="D36" i="133"/>
  <c r="M36" i="133" s="1"/>
  <c r="D45" i="133"/>
  <c r="N45" i="133" s="1"/>
  <c r="O45" i="133" s="1"/>
  <c r="D47" i="133"/>
  <c r="N47" i="133" s="1"/>
  <c r="O47" i="133" s="1"/>
  <c r="N41" i="132"/>
  <c r="O41" i="132" s="1"/>
  <c r="N40" i="132"/>
  <c r="O40" i="132" s="1"/>
  <c r="D27" i="132"/>
  <c r="N27" i="132" s="1"/>
  <c r="O27" i="132" s="1"/>
  <c r="D31" i="132"/>
  <c r="N31" i="132" s="1"/>
  <c r="O31" i="132" s="1"/>
  <c r="N20" i="132"/>
  <c r="O20" i="132" s="1"/>
  <c r="D25" i="132"/>
  <c r="N25" i="132" s="1"/>
  <c r="O25" i="132" s="1"/>
  <c r="O19" i="132"/>
  <c r="D35" i="132"/>
  <c r="N35" i="132" s="1"/>
  <c r="O35" i="132" s="1"/>
  <c r="D44" i="132"/>
  <c r="N44" i="132" s="1"/>
  <c r="O44" i="132" s="1"/>
  <c r="D26" i="132"/>
  <c r="N26" i="132" s="1"/>
  <c r="O26" i="132" s="1"/>
  <c r="D28" i="132"/>
  <c r="N28" i="132" s="1"/>
  <c r="O28" i="132" s="1"/>
  <c r="D42" i="132"/>
  <c r="N42" i="132" s="1"/>
  <c r="O42" i="132" s="1"/>
  <c r="D34" i="132"/>
  <c r="M34" i="132" s="1"/>
  <c r="J46" i="131"/>
  <c r="D37" i="131"/>
  <c r="N37" i="131" s="1"/>
  <c r="O37" i="131" s="1"/>
  <c r="D33" i="131"/>
  <c r="N33" i="131" s="1"/>
  <c r="O33" i="131" s="1"/>
  <c r="J47" i="131"/>
  <c r="D31" i="131"/>
  <c r="N31" i="131" s="1"/>
  <c r="O31" i="131" s="1"/>
  <c r="D35" i="131"/>
  <c r="N35" i="131" s="1"/>
  <c r="O35" i="131" s="1"/>
  <c r="J44" i="131"/>
  <c r="O25" i="131"/>
  <c r="D41" i="131"/>
  <c r="N41" i="131" s="1"/>
  <c r="O41" i="131" s="1"/>
  <c r="D50" i="131"/>
  <c r="N50" i="131" s="1"/>
  <c r="O50" i="131" s="1"/>
  <c r="D26" i="131"/>
  <c r="N26" i="131" s="1"/>
  <c r="O26" i="131" s="1"/>
  <c r="D32" i="131"/>
  <c r="N32" i="131" s="1"/>
  <c r="O32" i="131" s="1"/>
  <c r="D34" i="131"/>
  <c r="N34" i="131" s="1"/>
  <c r="O34" i="131" s="1"/>
  <c r="D48" i="131"/>
  <c r="N48" i="131" s="1"/>
  <c r="O48" i="131" s="1"/>
  <c r="D40" i="131"/>
  <c r="M40" i="131" s="1"/>
  <c r="C10" i="130"/>
  <c r="N53" i="130"/>
  <c r="O53" i="130" s="1"/>
  <c r="L55" i="130"/>
  <c r="O55" i="130" s="1"/>
  <c r="D57" i="130"/>
  <c r="N57" i="130" s="1"/>
  <c r="O57" i="130" s="1"/>
  <c r="I15" i="130"/>
  <c r="D42" i="130"/>
  <c r="D33" i="130"/>
  <c r="D34" i="130" s="1"/>
  <c r="D51" i="130" s="1"/>
  <c r="O51" i="130" s="1"/>
  <c r="D35" i="130"/>
  <c r="N35" i="130" s="1"/>
  <c r="O35" i="130" s="1"/>
  <c r="L41" i="130"/>
  <c r="O41" i="130" s="1"/>
  <c r="D43" i="130"/>
  <c r="M43" i="130" s="1"/>
  <c r="D57" i="129"/>
  <c r="N57" i="129" s="1"/>
  <c r="O57" i="129" s="1"/>
  <c r="D59" i="129"/>
  <c r="N59" i="129" s="1"/>
  <c r="O59" i="129" s="1"/>
  <c r="D34" i="129"/>
  <c r="D35" i="129" s="1"/>
  <c r="D52" i="129" s="1"/>
  <c r="O52" i="129" s="1"/>
  <c r="D36" i="129"/>
  <c r="N36" i="129" s="1"/>
  <c r="O36" i="129" s="1"/>
  <c r="L42" i="129"/>
  <c r="O42" i="129" s="1"/>
  <c r="D44" i="129"/>
  <c r="M44" i="129" s="1"/>
  <c r="D43" i="40"/>
  <c r="I15" i="40"/>
  <c r="L42" i="40"/>
  <c r="O42" i="40" s="1"/>
  <c r="D46" i="40"/>
  <c r="N46" i="40" s="1"/>
  <c r="O46" i="40" s="1"/>
  <c r="D57" i="40"/>
  <c r="N57" i="40" s="1"/>
  <c r="O57" i="40" s="1"/>
  <c r="D16" i="40"/>
  <c r="D34" i="40"/>
  <c r="D35" i="40" s="1"/>
  <c r="D52" i="40" s="1"/>
  <c r="O52" i="40" s="1"/>
  <c r="D58" i="40"/>
  <c r="N58" i="40" s="1"/>
  <c r="O58" i="40" s="1"/>
  <c r="D36" i="40"/>
  <c r="D37" i="40"/>
  <c r="N37" i="40" s="1"/>
  <c r="O37" i="40" s="1"/>
  <c r="J50" i="40"/>
  <c r="O21" i="119"/>
  <c r="N51" i="127"/>
  <c r="O51" i="127" s="1"/>
  <c r="J48" i="127"/>
  <c r="D39" i="126"/>
  <c r="N39" i="126" s="1"/>
  <c r="O39" i="126" s="1"/>
  <c r="D48" i="126"/>
  <c r="N48" i="126" s="1"/>
  <c r="O48" i="126" s="1"/>
  <c r="L36" i="126"/>
  <c r="O36" i="126" s="1"/>
  <c r="N25" i="126"/>
  <c r="L47" i="126"/>
  <c r="O47" i="126" s="1"/>
  <c r="D29" i="126"/>
  <c r="N29" i="126" s="1"/>
  <c r="O29" i="126" s="1"/>
  <c r="D31" i="126"/>
  <c r="N31" i="126" s="1"/>
  <c r="O31" i="126" s="1"/>
  <c r="D28" i="126"/>
  <c r="N28" i="126" s="1"/>
  <c r="O28" i="126" s="1"/>
  <c r="D26" i="126"/>
  <c r="N26" i="126" s="1"/>
  <c r="O26" i="126" s="1"/>
  <c r="D38" i="126"/>
  <c r="M38" i="126" s="1"/>
  <c r="M53" i="126" s="1"/>
  <c r="O20" i="126"/>
  <c r="J45" i="100"/>
  <c r="N31" i="100"/>
  <c r="O31" i="100" s="1"/>
  <c r="L35" i="100"/>
  <c r="O35" i="100" s="1"/>
  <c r="D38" i="100"/>
  <c r="N38" i="100" s="1"/>
  <c r="O38" i="100" s="1"/>
  <c r="D42" i="100"/>
  <c r="O42" i="100" s="1"/>
  <c r="J20" i="100"/>
  <c r="L34" i="100"/>
  <c r="O34" i="100" s="1"/>
  <c r="D47" i="100"/>
  <c r="N47" i="100" s="1"/>
  <c r="O47" i="100" s="1"/>
  <c r="D37" i="100"/>
  <c r="M37" i="100" s="1"/>
  <c r="M52" i="100" s="1"/>
  <c r="L46" i="100"/>
  <c r="O46" i="100" s="1"/>
  <c r="N20" i="100"/>
  <c r="D35" i="34"/>
  <c r="N35" i="34" s="1"/>
  <c r="O35" i="34" s="1"/>
  <c r="D32" i="34"/>
  <c r="N32" i="34" s="1"/>
  <c r="O32" i="34" s="1"/>
  <c r="D26" i="34"/>
  <c r="N26" i="34" s="1"/>
  <c r="D33" i="34"/>
  <c r="N33" i="34" s="1"/>
  <c r="O33" i="34" s="1"/>
  <c r="D53" i="34"/>
  <c r="N53" i="34" s="1"/>
  <c r="O53" i="34" s="1"/>
  <c r="L39" i="34"/>
  <c r="L41" i="34"/>
  <c r="O41" i="34" s="1"/>
  <c r="L52" i="34"/>
  <c r="O52" i="34" s="1"/>
  <c r="D44" i="34"/>
  <c r="N44" i="34" s="1"/>
  <c r="O44" i="34" s="1"/>
  <c r="D43" i="34"/>
  <c r="M43" i="34" s="1"/>
  <c r="M58" i="34" s="1"/>
  <c r="O63" i="34"/>
  <c r="D29" i="40" l="1"/>
  <c r="N29" i="40" s="1"/>
  <c r="O29" i="40" s="1"/>
  <c r="D18" i="136"/>
  <c r="D28" i="136" s="1"/>
  <c r="N28" i="136" s="1"/>
  <c r="O28" i="136" s="1"/>
  <c r="D14" i="130"/>
  <c r="D27" i="136"/>
  <c r="D14" i="139"/>
  <c r="D16" i="139"/>
  <c r="D15" i="139"/>
  <c r="D17" i="142"/>
  <c r="D19" i="142"/>
  <c r="D15" i="142"/>
  <c r="D16" i="142"/>
  <c r="D14" i="142"/>
  <c r="D15" i="129"/>
  <c r="D28" i="129" s="1"/>
  <c r="D45" i="129" s="1"/>
  <c r="M45" i="129" s="1"/>
  <c r="O45" i="129" s="1"/>
  <c r="D19" i="129"/>
  <c r="D17" i="129"/>
  <c r="D28" i="40"/>
  <c r="D16" i="129"/>
  <c r="D60" i="129" s="1"/>
  <c r="N60" i="129" s="1"/>
  <c r="O60" i="129" s="1"/>
  <c r="D19" i="141"/>
  <c r="D14" i="141"/>
  <c r="D15" i="141"/>
  <c r="D16" i="141"/>
  <c r="D17" i="141"/>
  <c r="D15" i="130"/>
  <c r="D16" i="130"/>
  <c r="D59" i="130" s="1"/>
  <c r="N59" i="130" s="1"/>
  <c r="O59" i="130" s="1"/>
  <c r="D14" i="138"/>
  <c r="D16" i="138"/>
  <c r="D15" i="138"/>
  <c r="D18" i="129"/>
  <c r="D17" i="130"/>
  <c r="D18" i="142"/>
  <c r="D34" i="136"/>
  <c r="N34" i="136" s="1"/>
  <c r="L31" i="119"/>
  <c r="O31" i="119" s="1"/>
  <c r="N35" i="133"/>
  <c r="O35" i="133" s="1"/>
  <c r="O40" i="141"/>
  <c r="N42" i="130"/>
  <c r="O42" i="130" s="1"/>
  <c r="N39" i="136"/>
  <c r="O39" i="136" s="1"/>
  <c r="O22" i="37"/>
  <c r="O23" i="37" s="1"/>
  <c r="N23" i="37"/>
  <c r="D41" i="37" s="1"/>
  <c r="N41" i="37" s="1"/>
  <c r="O41" i="37" s="1"/>
  <c r="O21" i="126"/>
  <c r="N27" i="127"/>
  <c r="O37" i="140"/>
  <c r="O59" i="140" s="1"/>
  <c r="O61" i="140" s="1"/>
  <c r="N59" i="140"/>
  <c r="N61" i="140" s="1"/>
  <c r="L62" i="130"/>
  <c r="L64" i="130" s="1"/>
  <c r="O71" i="130" s="1"/>
  <c r="L59" i="127"/>
  <c r="L61" i="127" s="1"/>
  <c r="O69" i="127" s="1"/>
  <c r="L56" i="138"/>
  <c r="L58" i="138" s="1"/>
  <c r="O65" i="138" s="1"/>
  <c r="O29" i="139"/>
  <c r="O29" i="138"/>
  <c r="N38" i="128"/>
  <c r="O38" i="128" s="1"/>
  <c r="N34" i="130"/>
  <c r="O34" i="130" s="1"/>
  <c r="O39" i="128"/>
  <c r="D40" i="119"/>
  <c r="N40" i="119" s="1"/>
  <c r="O40" i="119" s="1"/>
  <c r="N43" i="129"/>
  <c r="O43" i="129" s="1"/>
  <c r="D39" i="119"/>
  <c r="N39" i="119" s="1"/>
  <c r="O39" i="119" s="1"/>
  <c r="N43" i="40"/>
  <c r="O43" i="40" s="1"/>
  <c r="O39" i="127"/>
  <c r="D37" i="136"/>
  <c r="N37" i="136" s="1"/>
  <c r="O37" i="136" s="1"/>
  <c r="L56" i="128"/>
  <c r="L58" i="128" s="1"/>
  <c r="O66" i="128" s="1"/>
  <c r="O38" i="37"/>
  <c r="N22" i="128"/>
  <c r="O22" i="128" s="1"/>
  <c r="L40" i="129"/>
  <c r="L63" i="129" s="1"/>
  <c r="L65" i="129" s="1"/>
  <c r="O72" i="129" s="1"/>
  <c r="D30" i="119"/>
  <c r="N30" i="119" s="1"/>
  <c r="O30" i="119" s="1"/>
  <c r="N35" i="40"/>
  <c r="O35" i="40" s="1"/>
  <c r="D40" i="126"/>
  <c r="N40" i="126" s="1"/>
  <c r="O40" i="126" s="1"/>
  <c r="O36" i="119"/>
  <c r="N35" i="129"/>
  <c r="O35" i="129" s="1"/>
  <c r="L33" i="100"/>
  <c r="M59" i="127"/>
  <c r="M61" i="127" s="1"/>
  <c r="L33" i="126"/>
  <c r="D32" i="126"/>
  <c r="N32" i="126" s="1"/>
  <c r="O32" i="126" s="1"/>
  <c r="D44" i="126"/>
  <c r="N44" i="126" s="1"/>
  <c r="O44" i="126" s="1"/>
  <c r="D29" i="119"/>
  <c r="N29" i="119" s="1"/>
  <c r="O29" i="119" s="1"/>
  <c r="L58" i="34"/>
  <c r="L60" i="34" s="1"/>
  <c r="O68" i="34" s="1"/>
  <c r="D41" i="126"/>
  <c r="N41" i="126" s="1"/>
  <c r="O41" i="126" s="1"/>
  <c r="O25" i="126"/>
  <c r="D37" i="130"/>
  <c r="N37" i="130" s="1"/>
  <c r="O37" i="130" s="1"/>
  <c r="N21" i="132"/>
  <c r="D36" i="132" s="1"/>
  <c r="N36" i="132" s="1"/>
  <c r="O36" i="132" s="1"/>
  <c r="D43" i="119"/>
  <c r="O43" i="119" s="1"/>
  <c r="N26" i="119"/>
  <c r="O26" i="119" s="1"/>
  <c r="D27" i="40"/>
  <c r="D60" i="40"/>
  <c r="N60" i="40" s="1"/>
  <c r="O60" i="40" s="1"/>
  <c r="D42" i="119"/>
  <c r="O42" i="119" s="1"/>
  <c r="N25" i="119"/>
  <c r="O40" i="40"/>
  <c r="L63" i="40"/>
  <c r="L65" i="40" s="1"/>
  <c r="O72" i="40" s="1"/>
  <c r="J25" i="136"/>
  <c r="D26" i="136"/>
  <c r="L56" i="136"/>
  <c r="L58" i="136" s="1"/>
  <c r="O65" i="136" s="1"/>
  <c r="L53" i="133"/>
  <c r="O61" i="133" s="1"/>
  <c r="O24" i="133"/>
  <c r="O36" i="133"/>
  <c r="M51" i="133"/>
  <c r="M53" i="133" s="1"/>
  <c r="N24" i="133"/>
  <c r="O21" i="132"/>
  <c r="O34" i="132"/>
  <c r="M47" i="132"/>
  <c r="M49" i="132" s="1"/>
  <c r="N27" i="131"/>
  <c r="D38" i="131" s="1"/>
  <c r="N38" i="131" s="1"/>
  <c r="O38" i="131" s="1"/>
  <c r="O40" i="131"/>
  <c r="M53" i="131"/>
  <c r="M55" i="131" s="1"/>
  <c r="L53" i="131"/>
  <c r="L55" i="131" s="1"/>
  <c r="O63" i="131" s="1"/>
  <c r="O27" i="131"/>
  <c r="O58" i="131"/>
  <c r="O39" i="130"/>
  <c r="D50" i="130"/>
  <c r="O50" i="130" s="1"/>
  <c r="N33" i="130"/>
  <c r="O43" i="130"/>
  <c r="D51" i="129"/>
  <c r="O51" i="129" s="1"/>
  <c r="N34" i="129"/>
  <c r="D38" i="129"/>
  <c r="N38" i="129" s="1"/>
  <c r="O38" i="129" s="1"/>
  <c r="O44" i="129"/>
  <c r="D38" i="40"/>
  <c r="N38" i="40" s="1"/>
  <c r="O38" i="40" s="1"/>
  <c r="N36" i="40"/>
  <c r="O36" i="40" s="1"/>
  <c r="N34" i="40"/>
  <c r="O34" i="40" s="1"/>
  <c r="D51" i="40"/>
  <c r="O51" i="40" s="1"/>
  <c r="O27" i="119"/>
  <c r="L34" i="37"/>
  <c r="L55" i="37" s="1"/>
  <c r="J34" i="37"/>
  <c r="O38" i="126"/>
  <c r="M55" i="126"/>
  <c r="O20" i="100"/>
  <c r="O21" i="100" s="1"/>
  <c r="N21" i="100"/>
  <c r="D30" i="100" s="1"/>
  <c r="O37" i="100"/>
  <c r="M54" i="100"/>
  <c r="O43" i="34"/>
  <c r="M60" i="34"/>
  <c r="O39" i="34"/>
  <c r="N27" i="34"/>
  <c r="O26" i="34"/>
  <c r="O27" i="34" s="1"/>
  <c r="D27" i="130" l="1"/>
  <c r="D44" i="130" s="1"/>
  <c r="M44" i="130" s="1"/>
  <c r="D29" i="129"/>
  <c r="N29" i="129" s="1"/>
  <c r="O29" i="129" s="1"/>
  <c r="N27" i="136"/>
  <c r="O27" i="136" s="1"/>
  <c r="D41" i="136"/>
  <c r="M41" i="136" s="1"/>
  <c r="I25" i="130"/>
  <c r="N25" i="130" s="1"/>
  <c r="O25" i="130" s="1"/>
  <c r="D47" i="40"/>
  <c r="N47" i="40" s="1"/>
  <c r="O47" i="40" s="1"/>
  <c r="D45" i="40"/>
  <c r="M45" i="40" s="1"/>
  <c r="O45" i="40" s="1"/>
  <c r="D29" i="142"/>
  <c r="N29" i="142" s="1"/>
  <c r="O29" i="142" s="1"/>
  <c r="D29" i="141"/>
  <c r="N29" i="141" s="1"/>
  <c r="O29" i="141" s="1"/>
  <c r="D18" i="130"/>
  <c r="D28" i="130" s="1"/>
  <c r="N28" i="130" s="1"/>
  <c r="O28" i="130" s="1"/>
  <c r="D26" i="130"/>
  <c r="D27" i="129"/>
  <c r="N28" i="40"/>
  <c r="N30" i="40" s="1"/>
  <c r="D48" i="40" s="1"/>
  <c r="D43" i="136"/>
  <c r="N43" i="136" s="1"/>
  <c r="O43" i="136" s="1"/>
  <c r="D28" i="142"/>
  <c r="D28" i="141"/>
  <c r="D53" i="138"/>
  <c r="N53" i="138" s="1"/>
  <c r="O53" i="138" s="1"/>
  <c r="D24" i="138"/>
  <c r="N24" i="138" s="1"/>
  <c r="D54" i="141"/>
  <c r="N54" i="141" s="1"/>
  <c r="O54" i="141" s="1"/>
  <c r="D27" i="141"/>
  <c r="D53" i="139"/>
  <c r="N53" i="139" s="1"/>
  <c r="O53" i="139" s="1"/>
  <c r="D24" i="139"/>
  <c r="N24" i="139" s="1"/>
  <c r="D54" i="142"/>
  <c r="N54" i="142" s="1"/>
  <c r="O54" i="142" s="1"/>
  <c r="D27" i="142"/>
  <c r="D38" i="127"/>
  <c r="N38" i="127" s="1"/>
  <c r="O38" i="127" s="1"/>
  <c r="D36" i="127"/>
  <c r="N36" i="127" s="1"/>
  <c r="O36" i="127" s="1"/>
  <c r="D50" i="127"/>
  <c r="N50" i="127" s="1"/>
  <c r="O50" i="127" s="1"/>
  <c r="N25" i="136"/>
  <c r="D47" i="129"/>
  <c r="N47" i="129" s="1"/>
  <c r="O47" i="129" s="1"/>
  <c r="N28" i="129"/>
  <c r="O28" i="129" s="1"/>
  <c r="D47" i="127"/>
  <c r="N47" i="127" s="1"/>
  <c r="O47" i="127" s="1"/>
  <c r="L54" i="119"/>
  <c r="L56" i="119" s="1"/>
  <c r="D46" i="127"/>
  <c r="N46" i="127" s="1"/>
  <c r="O46" i="127" s="1"/>
  <c r="O66" i="140"/>
  <c r="O68" i="140"/>
  <c r="M63" i="129"/>
  <c r="M65" i="129" s="1"/>
  <c r="D30" i="132"/>
  <c r="N30" i="132" s="1"/>
  <c r="O30" i="132" s="1"/>
  <c r="L52" i="100"/>
  <c r="L54" i="100" s="1"/>
  <c r="O61" i="100" s="1"/>
  <c r="D42" i="131"/>
  <c r="N42" i="131" s="1"/>
  <c r="O42" i="131" s="1"/>
  <c r="O40" i="129"/>
  <c r="D45" i="37"/>
  <c r="N45" i="37" s="1"/>
  <c r="O45" i="37" s="1"/>
  <c r="D33" i="37"/>
  <c r="N33" i="37" s="1"/>
  <c r="O33" i="37" s="1"/>
  <c r="D43" i="131"/>
  <c r="N43" i="131" s="1"/>
  <c r="O43" i="131" s="1"/>
  <c r="O33" i="100"/>
  <c r="D42" i="37"/>
  <c r="N42" i="37" s="1"/>
  <c r="O42" i="37" s="1"/>
  <c r="O23" i="128"/>
  <c r="N23" i="128"/>
  <c r="L53" i="126"/>
  <c r="L55" i="126" s="1"/>
  <c r="O63" i="126" s="1"/>
  <c r="O33" i="126"/>
  <c r="O53" i="126" s="1"/>
  <c r="O55" i="126" s="1"/>
  <c r="O62" i="126" s="1"/>
  <c r="N53" i="126"/>
  <c r="N55" i="126" s="1"/>
  <c r="D32" i="132"/>
  <c r="N32" i="132" s="1"/>
  <c r="O32" i="132" s="1"/>
  <c r="D39" i="132"/>
  <c r="N39" i="132" s="1"/>
  <c r="O39" i="132" s="1"/>
  <c r="O25" i="119"/>
  <c r="O54" i="119" s="1"/>
  <c r="O56" i="119" s="1"/>
  <c r="N54" i="119"/>
  <c r="N56" i="119" s="1"/>
  <c r="D37" i="132"/>
  <c r="N37" i="132" s="1"/>
  <c r="O37" i="132" s="1"/>
  <c r="O41" i="136"/>
  <c r="M56" i="136"/>
  <c r="M58" i="136" s="1"/>
  <c r="O34" i="136"/>
  <c r="D34" i="133"/>
  <c r="N34" i="133" s="1"/>
  <c r="D40" i="133"/>
  <c r="N40" i="133" s="1"/>
  <c r="O40" i="133" s="1"/>
  <c r="D42" i="133"/>
  <c r="N42" i="133" s="1"/>
  <c r="O42" i="133" s="1"/>
  <c r="D39" i="133"/>
  <c r="N39" i="133" s="1"/>
  <c r="O39" i="133" s="1"/>
  <c r="L47" i="132"/>
  <c r="L49" i="132" s="1"/>
  <c r="O56" i="132" s="1"/>
  <c r="D45" i="131"/>
  <c r="N45" i="131" s="1"/>
  <c r="O45" i="131" s="1"/>
  <c r="D36" i="131"/>
  <c r="N36" i="131" s="1"/>
  <c r="O36" i="131" s="1"/>
  <c r="O33" i="130"/>
  <c r="O34" i="129"/>
  <c r="O34" i="37"/>
  <c r="L57" i="37"/>
  <c r="O65" i="37" s="1"/>
  <c r="D40" i="100"/>
  <c r="N40" i="100" s="1"/>
  <c r="O40" i="100" s="1"/>
  <c r="N30" i="100"/>
  <c r="D39" i="100"/>
  <c r="N39" i="100" s="1"/>
  <c r="O39" i="100" s="1"/>
  <c r="D43" i="100"/>
  <c r="N43" i="100" s="1"/>
  <c r="O43" i="100" s="1"/>
  <c r="D32" i="100"/>
  <c r="N32" i="100" s="1"/>
  <c r="O32" i="100" s="1"/>
  <c r="D49" i="34"/>
  <c r="N49" i="34" s="1"/>
  <c r="O49" i="34" s="1"/>
  <c r="D46" i="34"/>
  <c r="N46" i="34" s="1"/>
  <c r="O46" i="34" s="1"/>
  <c r="D45" i="34"/>
  <c r="N45" i="34" s="1"/>
  <c r="O45" i="34" s="1"/>
  <c r="D36" i="34"/>
  <c r="N36" i="34" s="1"/>
  <c r="D38" i="34"/>
  <c r="N38" i="34" s="1"/>
  <c r="O38" i="34" s="1"/>
  <c r="N27" i="130" l="1"/>
  <c r="D46" i="130"/>
  <c r="N46" i="130" s="1"/>
  <c r="O46" i="130" s="1"/>
  <c r="J25" i="130"/>
  <c r="N29" i="136"/>
  <c r="D44" i="136" s="1"/>
  <c r="D44" i="141"/>
  <c r="N44" i="141" s="1"/>
  <c r="O44" i="141" s="1"/>
  <c r="D42" i="141"/>
  <c r="M42" i="141" s="1"/>
  <c r="D44" i="142"/>
  <c r="N44" i="142" s="1"/>
  <c r="O44" i="142" s="1"/>
  <c r="D42" i="142"/>
  <c r="M42" i="142" s="1"/>
  <c r="M63" i="40"/>
  <c r="M65" i="40" s="1"/>
  <c r="O25" i="136"/>
  <c r="O29" i="136" s="1"/>
  <c r="D49" i="40"/>
  <c r="O30" i="129"/>
  <c r="N49" i="40"/>
  <c r="O49" i="40" s="1"/>
  <c r="D39" i="40"/>
  <c r="N39" i="40" s="1"/>
  <c r="O39" i="40" s="1"/>
  <c r="N53" i="40"/>
  <c r="O53" i="40" s="1"/>
  <c r="D53" i="40"/>
  <c r="N48" i="40"/>
  <c r="O48" i="40" s="1"/>
  <c r="O28" i="40"/>
  <c r="O30" i="40" s="1"/>
  <c r="N28" i="142"/>
  <c r="O28" i="142" s="1"/>
  <c r="O30" i="142" s="1"/>
  <c r="O24" i="139"/>
  <c r="O25" i="139" s="1"/>
  <c r="N25" i="139"/>
  <c r="O24" i="138"/>
  <c r="O25" i="138" s="1"/>
  <c r="N25" i="138"/>
  <c r="N28" i="141"/>
  <c r="N30" i="129"/>
  <c r="N53" i="129" s="1"/>
  <c r="O53" i="129" s="1"/>
  <c r="O59" i="127"/>
  <c r="O61" i="127" s="1"/>
  <c r="O68" i="127" s="1"/>
  <c r="N59" i="127"/>
  <c r="N61" i="127" s="1"/>
  <c r="O44" i="130"/>
  <c r="M62" i="130"/>
  <c r="M64" i="130" s="1"/>
  <c r="O27" i="130"/>
  <c r="O29" i="130" s="1"/>
  <c r="N29" i="130"/>
  <c r="O59" i="119"/>
  <c r="O61" i="119" s="1"/>
  <c r="N55" i="37"/>
  <c r="N57" i="37" s="1"/>
  <c r="D33" i="128"/>
  <c r="N33" i="128" s="1"/>
  <c r="D43" i="128"/>
  <c r="N43" i="128" s="1"/>
  <c r="O43" i="128" s="1"/>
  <c r="D46" i="128"/>
  <c r="N46" i="128" s="1"/>
  <c r="O46" i="128" s="1"/>
  <c r="D42" i="128"/>
  <c r="N42" i="128" s="1"/>
  <c r="O42" i="128" s="1"/>
  <c r="N47" i="132"/>
  <c r="N49" i="132" s="1"/>
  <c r="O47" i="132"/>
  <c r="O49" i="132" s="1"/>
  <c r="O51" i="132" s="1"/>
  <c r="O58" i="126"/>
  <c r="O60" i="126" s="1"/>
  <c r="N58" i="34"/>
  <c r="N60" i="34" s="1"/>
  <c r="O55" i="37"/>
  <c r="O60" i="37" s="1"/>
  <c r="N52" i="100"/>
  <c r="N54" i="100" s="1"/>
  <c r="N47" i="136"/>
  <c r="O47" i="136" s="1"/>
  <c r="O34" i="133"/>
  <c r="O51" i="133" s="1"/>
  <c r="N51" i="133"/>
  <c r="N53" i="133" s="1"/>
  <c r="O53" i="131"/>
  <c r="O55" i="131" s="1"/>
  <c r="O62" i="131" s="1"/>
  <c r="N53" i="131"/>
  <c r="N55" i="131" s="1"/>
  <c r="O63" i="119"/>
  <c r="O30" i="100"/>
  <c r="O36" i="34"/>
  <c r="D38" i="136" l="1"/>
  <c r="N38" i="136" s="1"/>
  <c r="O38" i="136" s="1"/>
  <c r="D45" i="136"/>
  <c r="N44" i="136"/>
  <c r="O44" i="136" s="1"/>
  <c r="N45" i="136"/>
  <c r="O45" i="136" s="1"/>
  <c r="D47" i="136"/>
  <c r="O42" i="142"/>
  <c r="M57" i="142"/>
  <c r="M59" i="142" s="1"/>
  <c r="O42" i="141"/>
  <c r="M57" i="141"/>
  <c r="M59" i="141" s="1"/>
  <c r="N63" i="40"/>
  <c r="N65" i="40" s="1"/>
  <c r="N30" i="142"/>
  <c r="N46" i="142" s="1"/>
  <c r="O46" i="142" s="1"/>
  <c r="N41" i="138"/>
  <c r="O41" i="138" s="1"/>
  <c r="D42" i="138"/>
  <c r="D34" i="138"/>
  <c r="N34" i="138" s="1"/>
  <c r="D41" i="138"/>
  <c r="N42" i="138"/>
  <c r="O42" i="138" s="1"/>
  <c r="N46" i="138"/>
  <c r="O46" i="138" s="1"/>
  <c r="D46" i="138"/>
  <c r="D42" i="139"/>
  <c r="N46" i="139"/>
  <c r="O46" i="139" s="1"/>
  <c r="D41" i="139"/>
  <c r="D46" i="139"/>
  <c r="D34" i="139"/>
  <c r="N34" i="139" s="1"/>
  <c r="N41" i="139"/>
  <c r="O41" i="139" s="1"/>
  <c r="N42" i="139"/>
  <c r="O42" i="139" s="1"/>
  <c r="O28" i="141"/>
  <c r="O30" i="141" s="1"/>
  <c r="N30" i="141"/>
  <c r="D49" i="129"/>
  <c r="D48" i="129"/>
  <c r="D53" i="129"/>
  <c r="O66" i="127"/>
  <c r="D39" i="129"/>
  <c r="N39" i="129" s="1"/>
  <c r="O39" i="129" s="1"/>
  <c r="N49" i="129"/>
  <c r="O49" i="129" s="1"/>
  <c r="N48" i="129"/>
  <c r="O48" i="129" s="1"/>
  <c r="O53" i="132"/>
  <c r="N52" i="130"/>
  <c r="O52" i="130" s="1"/>
  <c r="N47" i="130"/>
  <c r="O47" i="130" s="1"/>
  <c r="D38" i="130"/>
  <c r="N38" i="130" s="1"/>
  <c r="N48" i="130"/>
  <c r="O48" i="130" s="1"/>
  <c r="D47" i="130"/>
  <c r="D52" i="130"/>
  <c r="D48" i="130"/>
  <c r="O57" i="37"/>
  <c r="O62" i="37" s="1"/>
  <c r="O55" i="132"/>
  <c r="O33" i="128"/>
  <c r="O56" i="128" s="1"/>
  <c r="N56" i="128"/>
  <c r="N58" i="128" s="1"/>
  <c r="O58" i="34"/>
  <c r="O60" i="34" s="1"/>
  <c r="O56" i="133"/>
  <c r="O53" i="133"/>
  <c r="O60" i="131"/>
  <c r="O52" i="100"/>
  <c r="O54" i="100" s="1"/>
  <c r="O56" i="100" s="1"/>
  <c r="O63" i="40"/>
  <c r="O65" i="40" s="1"/>
  <c r="O56" i="136" l="1"/>
  <c r="O60" i="136" s="1"/>
  <c r="N56" i="136"/>
  <c r="N58" i="136" s="1"/>
  <c r="D39" i="142"/>
  <c r="N39" i="142" s="1"/>
  <c r="O39" i="142" s="1"/>
  <c r="D46" i="142"/>
  <c r="D48" i="142"/>
  <c r="N45" i="142"/>
  <c r="O45" i="142" s="1"/>
  <c r="D45" i="142"/>
  <c r="N48" i="142"/>
  <c r="O48" i="142" s="1"/>
  <c r="D39" i="141"/>
  <c r="N39" i="141" s="1"/>
  <c r="N48" i="141"/>
  <c r="O48" i="141" s="1"/>
  <c r="N46" i="141"/>
  <c r="O46" i="141" s="1"/>
  <c r="N45" i="141"/>
  <c r="O45" i="141" s="1"/>
  <c r="D48" i="141"/>
  <c r="D46" i="141"/>
  <c r="D45" i="141"/>
  <c r="O34" i="139"/>
  <c r="O56" i="139" s="1"/>
  <c r="N56" i="139"/>
  <c r="N58" i="139" s="1"/>
  <c r="O34" i="138"/>
  <c r="O56" i="138" s="1"/>
  <c r="N56" i="138"/>
  <c r="N58" i="138" s="1"/>
  <c r="O63" i="129"/>
  <c r="O65" i="129" s="1"/>
  <c r="N63" i="129"/>
  <c r="N65" i="129" s="1"/>
  <c r="O64" i="37"/>
  <c r="O38" i="130"/>
  <c r="O62" i="130" s="1"/>
  <c r="N62" i="130"/>
  <c r="N64" i="130" s="1"/>
  <c r="O61" i="128"/>
  <c r="O58" i="128"/>
  <c r="O67" i="34"/>
  <c r="O65" i="34"/>
  <c r="O58" i="133"/>
  <c r="O60" i="133"/>
  <c r="O60" i="100"/>
  <c r="O58" i="100"/>
  <c r="O67" i="40"/>
  <c r="O69" i="40" s="1"/>
  <c r="O71" i="40" s="1"/>
  <c r="O58" i="136" l="1"/>
  <c r="O62" i="136" s="1"/>
  <c r="O64" i="136" s="1"/>
  <c r="N57" i="142"/>
  <c r="N59" i="142" s="1"/>
  <c r="O57" i="142"/>
  <c r="O61" i="142" s="1"/>
  <c r="O58" i="138"/>
  <c r="O60" i="138"/>
  <c r="O39" i="141"/>
  <c r="O57" i="141" s="1"/>
  <c r="N57" i="141"/>
  <c r="N59" i="141" s="1"/>
  <c r="O60" i="139"/>
  <c r="O58" i="139"/>
  <c r="O67" i="129"/>
  <c r="O69" i="129" s="1"/>
  <c r="O71" i="129" s="1"/>
  <c r="O66" i="130"/>
  <c r="O64" i="130"/>
  <c r="O63" i="128"/>
  <c r="O65" i="128"/>
  <c r="O59" i="142" l="1"/>
  <c r="O63" i="142" s="1"/>
  <c r="O65" i="142" s="1"/>
  <c r="O62" i="139"/>
  <c r="O64" i="139" s="1"/>
  <c r="O62" i="138"/>
  <c r="O64" i="138" s="1"/>
  <c r="O59" i="141"/>
  <c r="O61" i="141"/>
  <c r="O68" i="130"/>
  <c r="O70" i="130" s="1"/>
  <c r="O63" i="141" l="1"/>
  <c r="O65" i="1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 xml:space="preserve"> </author>
    <author>American Electric Power®</author>
    <author>AEP</author>
    <author>aepuser</author>
    <author>s184006</author>
  </authors>
  <commentList>
    <comment ref="A14" authorId="0" shapeId="0" xr:uid="{00000000-0006-0000-0000-000001000000}">
      <text>
        <r>
          <rPr>
            <b/>
            <sz val="8"/>
            <color indexed="81"/>
            <rFont val="Tahoma"/>
            <family val="2"/>
          </rPr>
          <t xml:space="preserve">Enter the kW contract capacity for GS-2 and GS-3 services.  </t>
        </r>
      </text>
    </comment>
    <comment ref="F14" authorId="1" shapeId="0" xr:uid="{00000000-0006-0000-0000-000002000000}">
      <text>
        <r>
          <rPr>
            <b/>
            <sz val="8"/>
            <color indexed="81"/>
            <rFont val="Tahoma"/>
            <family val="2"/>
          </rPr>
          <t xml:space="preserve"> Generally the delivery and measurement of energy is at the same voltage. If not, measurement will be compensated to the delivery voltage.  Metered energy and demand are adjusted for billing purposes.  Applies to GS2, GS3, and GS4 services. 
Mark selection with as "x".</t>
        </r>
        <r>
          <rPr>
            <sz val="8"/>
            <color indexed="81"/>
            <rFont val="Tahoma"/>
            <family val="2"/>
          </rPr>
          <t xml:space="preserve">
</t>
        </r>
      </text>
    </comment>
    <comment ref="A15" authorId="2" shapeId="0" xr:uid="{00000000-0006-0000-0000-000003000000}">
      <text>
        <r>
          <rPr>
            <b/>
            <sz val="9"/>
            <color indexed="81"/>
            <rFont val="Tahoma"/>
            <family val="2"/>
          </rPr>
          <t xml:space="preserve">Enter the Minimum Billing Demand (kW) as specified in the service contract (GS-4 only).  </t>
        </r>
        <r>
          <rPr>
            <sz val="9"/>
            <color indexed="81"/>
            <rFont val="Tahoma"/>
            <family val="2"/>
          </rPr>
          <t xml:space="preserve">
</t>
        </r>
      </text>
    </comment>
    <comment ref="A16" authorId="0" shapeId="0" xr:uid="{00000000-0006-0000-0000-000004000000}">
      <text>
        <r>
          <rPr>
            <b/>
            <sz val="8"/>
            <color indexed="10"/>
            <rFont val="Tahoma"/>
            <family val="2"/>
          </rPr>
          <t>GS-2, GS-3, and GS-4 only</t>
        </r>
        <r>
          <rPr>
            <b/>
            <sz val="8"/>
            <color indexed="81"/>
            <rFont val="Tahoma"/>
            <family val="2"/>
          </rPr>
          <t xml:space="preserve"> - Enter the highest previous billing demand (kW) for the current and last 11 months </t>
        </r>
        <r>
          <rPr>
            <b/>
            <u/>
            <sz val="8"/>
            <color indexed="81"/>
            <rFont val="Tahoma"/>
            <family val="2"/>
          </rPr>
          <t>only if</t>
        </r>
        <r>
          <rPr>
            <b/>
            <sz val="8"/>
            <color indexed="81"/>
            <rFont val="Tahoma"/>
            <family val="2"/>
          </rPr>
          <t xml:space="preserve"> the average demand over the same time period exceeds 100 kW. </t>
        </r>
      </text>
    </comment>
    <comment ref="A18" authorId="0" shapeId="0" xr:uid="{00000000-0006-0000-0000-000005000000}">
      <text>
        <r>
          <rPr>
            <b/>
            <sz val="8"/>
            <color indexed="81"/>
            <rFont val="Tahoma"/>
            <family val="2"/>
          </rPr>
          <t xml:space="preserve">Enter the billing demand (applicable to RR PEV, GS-2, GS-3, and GS-4).  Enter both kW and kVa for GS-4.  This is the On-Peak demand for customers with the Time Of Day option. </t>
        </r>
        <r>
          <rPr>
            <sz val="8"/>
            <color indexed="81"/>
            <rFont val="Tahoma"/>
            <family val="2"/>
          </rPr>
          <t xml:space="preserve">
</t>
        </r>
      </text>
    </comment>
    <comment ref="A19" authorId="0" shapeId="0" xr:uid="{00000000-0006-0000-0000-000006000000}">
      <text>
        <r>
          <rPr>
            <b/>
            <sz val="8"/>
            <color indexed="81"/>
            <rFont val="Tahoma"/>
            <family val="2"/>
          </rPr>
          <t>Enter the off-peak billing demand when the Time Of Day option is applicable (applies to GS-2, GS-3, and GS-4).  Enter both the kW and kVa for GS-4.</t>
        </r>
        <r>
          <rPr>
            <sz val="8"/>
            <color indexed="81"/>
            <rFont val="Tahoma"/>
            <family val="2"/>
          </rPr>
          <t xml:space="preserve">
</t>
        </r>
      </text>
    </comment>
    <comment ref="A21" authorId="3" shapeId="0" xr:uid="{00000000-0006-0000-0000-000007000000}">
      <text>
        <r>
          <rPr>
            <b/>
            <sz val="8"/>
            <color indexed="81"/>
            <rFont val="Tahoma"/>
            <family val="2"/>
          </rPr>
          <t xml:space="preserve">Enter the "Net" metered kWh  (on-peak kWh if applicable).  Applies to </t>
        </r>
        <r>
          <rPr>
            <b/>
            <sz val="8"/>
            <color indexed="10"/>
            <rFont val="Tahoma"/>
            <family val="2"/>
          </rPr>
          <t>RS - Ex TOD</t>
        </r>
        <r>
          <rPr>
            <b/>
            <sz val="8"/>
            <color indexed="81"/>
            <rFont val="Tahoma"/>
            <family val="2"/>
          </rPr>
          <t xml:space="preserve"> and </t>
        </r>
        <r>
          <rPr>
            <b/>
            <sz val="8"/>
            <color indexed="10"/>
            <rFont val="Tahoma"/>
            <family val="2"/>
          </rPr>
          <t>RS-Ex CPP</t>
        </r>
        <r>
          <rPr>
            <b/>
            <sz val="8"/>
            <color indexed="81"/>
            <rFont val="Tahoma"/>
            <family val="2"/>
          </rPr>
          <t xml:space="preserve"> as "High Cost KWH".
</t>
        </r>
        <r>
          <rPr>
            <b/>
            <sz val="8"/>
            <color indexed="10"/>
            <rFont val="Tahoma"/>
            <family val="2"/>
          </rPr>
          <t>GS-3 only</t>
        </r>
        <r>
          <rPr>
            <b/>
            <sz val="8"/>
            <color indexed="81"/>
            <rFont val="Tahoma"/>
            <family val="2"/>
          </rPr>
          <t xml:space="preserve"> - Enter the "Delivered"  kWh (on-peak kWh if applicable) </t>
        </r>
        <r>
          <rPr>
            <sz val="8"/>
            <color indexed="81"/>
            <rFont val="Tahoma"/>
            <family val="2"/>
          </rPr>
          <t xml:space="preserve">
</t>
        </r>
      </text>
    </comment>
    <comment ref="A22" authorId="3" shapeId="0" xr:uid="{00000000-0006-0000-0000-000008000000}">
      <text>
        <r>
          <rPr>
            <b/>
            <sz val="8"/>
            <color indexed="81"/>
            <rFont val="Tahoma"/>
            <family val="2"/>
          </rPr>
          <t xml:space="preserve">Enter the "Net" metered off-peak kWh (applies to </t>
        </r>
        <r>
          <rPr>
            <b/>
            <sz val="8"/>
            <color indexed="10"/>
            <rFont val="Tahoma"/>
            <family val="2"/>
          </rPr>
          <t>RS-Ex TOD</t>
        </r>
        <r>
          <rPr>
            <b/>
            <sz val="8"/>
            <color indexed="81"/>
            <rFont val="Tahoma"/>
            <family val="2"/>
          </rPr>
          <t xml:space="preserve"> and </t>
        </r>
        <r>
          <rPr>
            <b/>
            <sz val="8"/>
            <color indexed="10"/>
            <rFont val="Tahoma"/>
            <family val="2"/>
          </rPr>
          <t>RS-Ex CPP</t>
        </r>
        <r>
          <rPr>
            <b/>
            <sz val="8"/>
            <color indexed="81"/>
            <rFont val="Tahoma"/>
            <family val="2"/>
          </rPr>
          <t xml:space="preserve"> as "Low Cost KWH").
</t>
        </r>
        <r>
          <rPr>
            <b/>
            <sz val="8"/>
            <color indexed="10"/>
            <rFont val="Tahoma"/>
            <family val="2"/>
          </rPr>
          <t>GS-3 only</t>
        </r>
        <r>
          <rPr>
            <b/>
            <sz val="8"/>
            <color indexed="81"/>
            <rFont val="Tahoma"/>
            <family val="2"/>
          </rPr>
          <t xml:space="preserve"> - Enter the "Delivered" off-peak kWh.</t>
        </r>
        <r>
          <rPr>
            <sz val="8"/>
            <color indexed="81"/>
            <rFont val="Tahoma"/>
            <family val="2"/>
          </rPr>
          <t xml:space="preserve">
</t>
        </r>
      </text>
    </comment>
    <comment ref="A23" authorId="2" shapeId="0" xr:uid="{00000000-0006-0000-0000-000009000000}">
      <text>
        <r>
          <rPr>
            <b/>
            <sz val="8"/>
            <color indexed="81"/>
            <rFont val="Tahoma"/>
            <family val="2"/>
          </rPr>
          <t xml:space="preserve">GS-3 only - Enter the "Received" kWh (energy sent back to Ohio Power).
</t>
        </r>
      </text>
    </comment>
    <comment ref="A26" authorId="3" shapeId="0" xr:uid="{00000000-0006-0000-0000-00000A000000}">
      <text>
        <r>
          <rPr>
            <b/>
            <sz val="8"/>
            <color indexed="81"/>
            <rFont val="Tahoma"/>
            <family val="2"/>
          </rPr>
          <t>Enter highest kVAR demand.  GS-4 customers only.</t>
        </r>
        <r>
          <rPr>
            <sz val="8"/>
            <color indexed="81"/>
            <rFont val="Tahoma"/>
            <family val="2"/>
          </rPr>
          <t xml:space="preserve">
</t>
        </r>
      </text>
    </comment>
    <comment ref="A27" authorId="0" shapeId="0" xr:uid="{00000000-0006-0000-0000-00000B000000}">
      <text>
        <r>
          <rPr>
            <b/>
            <sz val="8"/>
            <color indexed="81"/>
            <rFont val="Tahoma"/>
            <family val="2"/>
          </rPr>
          <t xml:space="preserve">Enter the reactive hours, if measured.  It applies to GS2 and GS3.  If preferred, power factor can be entered in lieu below. </t>
        </r>
      </text>
    </comment>
    <comment ref="A29" authorId="0" shapeId="0" xr:uid="{00000000-0006-0000-0000-00000C000000}">
      <text>
        <r>
          <rPr>
            <b/>
            <sz val="8"/>
            <color indexed="81"/>
            <rFont val="Tahoma"/>
            <family val="2"/>
          </rPr>
          <t>Enter power factor in unit format (applies to GS2, GS3, and GS4).  Do not enter if reactive hours is being used.</t>
        </r>
        <r>
          <rPr>
            <sz val="8"/>
            <color indexed="81"/>
            <rFont val="Tahoma"/>
            <family val="2"/>
          </rPr>
          <t xml:space="preserve">
</t>
        </r>
      </text>
    </comment>
    <comment ref="A32" authorId="4" shapeId="0" xr:uid="{00000000-0006-0000-0000-00000D000000}">
      <text>
        <r>
          <rPr>
            <b/>
            <sz val="8"/>
            <color indexed="81"/>
            <rFont val="Tahoma"/>
            <family val="2"/>
          </rPr>
          <t>Customers with 45 million annual KWH consumption can self-assess the KWH tax.  The rate is 0.257 cents/KWH for the first 500 million kWh consumed annually and 0.172 cents/kWh for each kWh in excess of the 500 million kWh consumed.  Payments are made to the State of Ohio.</t>
        </r>
      </text>
    </comment>
    <comment ref="A33" authorId="3" shapeId="0" xr:uid="{00000000-0006-0000-0000-00000E000000}">
      <text>
        <r>
          <rPr>
            <b/>
            <sz val="8"/>
            <color indexed="81"/>
            <rFont val="Tahoma"/>
            <family val="2"/>
          </rPr>
          <t>Federal Government accounts are exempt from the KWH Tax rider.</t>
        </r>
        <r>
          <rPr>
            <sz val="8"/>
            <color indexed="81"/>
            <rFont val="Tahoma"/>
            <family val="2"/>
          </rPr>
          <t xml:space="preserve">
</t>
        </r>
      </text>
    </comment>
    <comment ref="A34" authorId="5" shapeId="0" xr:uid="{00000000-0006-0000-0000-00000F000000}">
      <text>
        <r>
          <rPr>
            <b/>
            <sz val="9"/>
            <color indexed="81"/>
            <rFont val="Tahoma"/>
            <family val="2"/>
          </rPr>
          <t>Check this box when customer has opted out of Energy Efficiency programs.</t>
        </r>
      </text>
    </comment>
  </commentList>
</comments>
</file>

<file path=xl/sharedStrings.xml><?xml version="1.0" encoding="utf-8"?>
<sst xmlns="http://schemas.openxmlformats.org/spreadsheetml/2006/main" count="3519" uniqueCount="320">
  <si>
    <r>
      <t xml:space="preserve">Power Factor (%) </t>
    </r>
    <r>
      <rPr>
        <sz val="8"/>
        <color indexed="10"/>
        <rFont val="Arial"/>
        <family val="2"/>
      </rPr>
      <t>optional</t>
    </r>
  </si>
  <si>
    <t>Rate</t>
  </si>
  <si>
    <t>Customer Name:</t>
  </si>
  <si>
    <t>Billing Month:</t>
  </si>
  <si>
    <t>Energy Efficiency Fund</t>
  </si>
  <si>
    <t>Gross Receipts Tax Credit</t>
  </si>
  <si>
    <t>Application</t>
  </si>
  <si>
    <t>Effective Date</t>
  </si>
  <si>
    <t>x</t>
  </si>
  <si>
    <t>Regulatory Assest Charge (GS1)</t>
  </si>
  <si>
    <t>Regulatory Assest Charge (GS2)</t>
  </si>
  <si>
    <t>Regulatory Assest Charge (GS3)</t>
  </si>
  <si>
    <t>Regulatory Assest Charge (GS4)</t>
  </si>
  <si>
    <t>Municipal Income Tax (open access)</t>
  </si>
  <si>
    <t>Municipal Income Tax (bundled)</t>
  </si>
  <si>
    <t xml:space="preserve"> </t>
  </si>
  <si>
    <t>Franchise Tax (open access)</t>
  </si>
  <si>
    <t>Franchise Tax (bundled)</t>
  </si>
  <si>
    <t>Property Tax Credit (Residential)</t>
  </si>
  <si>
    <t>Property Tax Credit (GS1)</t>
  </si>
  <si>
    <t>Property Tax Credit (GS2)</t>
  </si>
  <si>
    <t>Property Tax Credit (GS3)</t>
  </si>
  <si>
    <t>Property Tax Credit (GS4)</t>
  </si>
  <si>
    <t>Rider</t>
  </si>
  <si>
    <t>Customer Load Information</t>
  </si>
  <si>
    <t>Move mouse over red corner marker to see notes.</t>
  </si>
  <si>
    <t>Account #:</t>
  </si>
  <si>
    <t>Billing Parameters</t>
  </si>
  <si>
    <t>On-Peak Demand:</t>
  </si>
  <si>
    <t>Off-Peak Demand:</t>
  </si>
  <si>
    <t>Load Factor:</t>
  </si>
  <si>
    <t>Bill Calculation</t>
  </si>
  <si>
    <t>Customer Charge</t>
  </si>
  <si>
    <t>Demand Charge</t>
  </si>
  <si>
    <t>Total</t>
  </si>
  <si>
    <t>Title Note:</t>
  </si>
  <si>
    <t>Columbus Southern Power Riders</t>
  </si>
  <si>
    <t>Minimum Charge</t>
  </si>
  <si>
    <t>*</t>
  </si>
  <si>
    <t>* Not applicable to Federal accounts</t>
  </si>
  <si>
    <t>Residential Shopping Incentive Credit</t>
  </si>
  <si>
    <t>kWh</t>
  </si>
  <si>
    <t>/kWh</t>
  </si>
  <si>
    <t>kWh Usage:</t>
  </si>
  <si>
    <t>/kW</t>
  </si>
  <si>
    <t>kW</t>
  </si>
  <si>
    <t>kVARh</t>
  </si>
  <si>
    <t>kWh Tax  (first 2000 kWh)</t>
  </si>
  <si>
    <t>kWh Tax  (next 13,000 kWh)</t>
  </si>
  <si>
    <t>kWh Tax  (in excess of 15,000 kWh)</t>
  </si>
  <si>
    <t>Base Charges</t>
  </si>
  <si>
    <t>meter multiplier adjustment</t>
  </si>
  <si>
    <t>Metered kWh Usage:</t>
  </si>
  <si>
    <t>Metered Reactive Hours:</t>
  </si>
  <si>
    <t>Metered Voltage Adjustment:</t>
  </si>
  <si>
    <t>Metered</t>
  </si>
  <si>
    <t>Adjusted</t>
  </si>
  <si>
    <t>Effective Date:</t>
  </si>
  <si>
    <t>Base $</t>
  </si>
  <si>
    <t>Activated</t>
  </si>
  <si>
    <t>Metered KWH</t>
  </si>
  <si>
    <t>Universal Service Fund (first 833,000 kwh)</t>
  </si>
  <si>
    <t>Universal Service Fund (in excess of 833,000 kwh)</t>
  </si>
  <si>
    <t>Regulatory Assest Charge (Residential)</t>
  </si>
  <si>
    <t xml:space="preserve">kW </t>
  </si>
  <si>
    <t>Generation</t>
  </si>
  <si>
    <t>Transmission</t>
  </si>
  <si>
    <t>Distribution</t>
  </si>
  <si>
    <t>Rates</t>
  </si>
  <si>
    <t>Billing</t>
  </si>
  <si>
    <t>Riders</t>
  </si>
  <si>
    <t>Riders Total</t>
  </si>
  <si>
    <t>Base + Rider Total</t>
  </si>
  <si>
    <t>Energy Charge;   (First 1000 kWh)</t>
  </si>
  <si>
    <t xml:space="preserve">                            (Over 1000 kWh)</t>
  </si>
  <si>
    <t>Base Charge</t>
  </si>
  <si>
    <t>Bill Calculation - Summer (June-September)</t>
  </si>
  <si>
    <t>Metered On-Peak Demand:</t>
  </si>
  <si>
    <t>Metered Off-Peak Demand:</t>
  </si>
  <si>
    <t>Universal Service Fund (first 833,000 kWh)</t>
  </si>
  <si>
    <t>Universal Service Fund (in excess of 833,000 kWh)</t>
  </si>
  <si>
    <t>Economic Development Cost Recovery</t>
  </si>
  <si>
    <t xml:space="preserve">Enhanced Service Reliability </t>
  </si>
  <si>
    <t>Energy Efficiency &amp; Peak Demand Reduction Cost Recovery</t>
  </si>
  <si>
    <t>GS-1 Bundled Service</t>
  </si>
  <si>
    <t>Demand (kW)</t>
  </si>
  <si>
    <t xml:space="preserve">Average Energy Cost </t>
  </si>
  <si>
    <t>Cents/kWh</t>
  </si>
  <si>
    <t>Metered kWh (On-Peak):</t>
  </si>
  <si>
    <t>Metered kWh (Off-Peak):</t>
  </si>
  <si>
    <t>Ohio Power Billing Analysis</t>
  </si>
  <si>
    <t>Year</t>
  </si>
  <si>
    <t xml:space="preserve">/kWh </t>
  </si>
  <si>
    <t>Minimum Charge:</t>
  </si>
  <si>
    <t xml:space="preserve">Base + Rider Total </t>
  </si>
  <si>
    <t>Breakdown of Charges Based on Entered Information</t>
  </si>
  <si>
    <t>Energy Efficiency and Peak Demand Reduction Cost Recovery</t>
  </si>
  <si>
    <t>kWh Tax (first 2000 kWh)</t>
  </si>
  <si>
    <t>kWh Tax (next 13,000 kWh)</t>
  </si>
  <si>
    <t>kWh Tax (in excess of 15,000 kWh)</t>
  </si>
  <si>
    <t>Billing Month/Year:</t>
  </si>
  <si>
    <t>Month (1, 2, …, 12)</t>
  </si>
  <si>
    <t>January</t>
  </si>
  <si>
    <t>February</t>
  </si>
  <si>
    <t>March</t>
  </si>
  <si>
    <t>April</t>
  </si>
  <si>
    <t>May</t>
  </si>
  <si>
    <t>June</t>
  </si>
  <si>
    <t>July</t>
  </si>
  <si>
    <t>August</t>
  </si>
  <si>
    <t>September</t>
  </si>
  <si>
    <t>November</t>
  </si>
  <si>
    <t>October</t>
  </si>
  <si>
    <t>December</t>
  </si>
  <si>
    <t>Residential Distribution Credit Rider</t>
  </si>
  <si>
    <t>Month</t>
  </si>
  <si>
    <t>Residential Secondary Bundled Service</t>
  </si>
  <si>
    <t>Total Ohio Power Billing Charge:</t>
  </si>
  <si>
    <t>Dist Rate 1</t>
  </si>
  <si>
    <t>Dist Rate 2</t>
  </si>
  <si>
    <t>Ohio Power Company</t>
  </si>
  <si>
    <t xml:space="preserve">Average Energy Cost: </t>
  </si>
  <si>
    <t>Base (Dist)</t>
  </si>
  <si>
    <t>Dist Rate 3</t>
  </si>
  <si>
    <t xml:space="preserve">Bill Calculation </t>
  </si>
  <si>
    <t>Apply Self Assessor Option</t>
  </si>
  <si>
    <t>kVAR</t>
  </si>
  <si>
    <t>Metered Reactive Demand</t>
  </si>
  <si>
    <t>Federal Government Account</t>
  </si>
  <si>
    <t>Peak kVAR:</t>
  </si>
  <si>
    <t>Highest Previous Demand:</t>
  </si>
  <si>
    <t>Avg. PF</t>
  </si>
  <si>
    <t>Energy Charge</t>
  </si>
  <si>
    <t xml:space="preserve">Rider </t>
  </si>
  <si>
    <t>0-833,000</t>
  </si>
  <si>
    <t>&gt;833,000</t>
  </si>
  <si>
    <t>Universal Service Fund Rider (kWh)</t>
  </si>
  <si>
    <t>KWH Tax Rider (kWh)</t>
  </si>
  <si>
    <t>0-2000</t>
  </si>
  <si>
    <t>&gt;115,000</t>
  </si>
  <si>
    <t>2001-15,000</t>
  </si>
  <si>
    <t>Residential Distribution Credit Rider (%)</t>
  </si>
  <si>
    <t>RS</t>
  </si>
  <si>
    <t>GS-1</t>
  </si>
  <si>
    <t>GS-TOD</t>
  </si>
  <si>
    <t>Sec</t>
  </si>
  <si>
    <t>Pri</t>
  </si>
  <si>
    <t>Sub/Tran</t>
  </si>
  <si>
    <t>Energy Efficiency and Peak Demand Reduction Cost Recovery Rider (kWh)</t>
  </si>
  <si>
    <t xml:space="preserve">GS-2 </t>
  </si>
  <si>
    <t xml:space="preserve">GS-3 </t>
  </si>
  <si>
    <t xml:space="preserve">GS-4 </t>
  </si>
  <si>
    <t>Economic Development Cost Recovery Rider (%)</t>
  </si>
  <si>
    <t>Enhanced Service Reliability Rider (%)</t>
  </si>
  <si>
    <t>Residential</t>
  </si>
  <si>
    <t>Non-Residential</t>
  </si>
  <si>
    <t>Distribution Investment Rider (%)</t>
  </si>
  <si>
    <t>Distribution Investment Rider</t>
  </si>
  <si>
    <t>Alternative Energy Rider</t>
  </si>
  <si>
    <t>Pilot Throughput Balance Adjustment Rider</t>
  </si>
  <si>
    <t>Pilot Throughput Balancing Adjustment Rider</t>
  </si>
  <si>
    <t xml:space="preserve">Generation Capacity Rider  </t>
  </si>
  <si>
    <t>Generation Capacity Rider</t>
  </si>
  <si>
    <t>Generation Capacity Rider (On-Peak)</t>
  </si>
  <si>
    <t>Gen Cap 1</t>
  </si>
  <si>
    <t>Gen Cap 2</t>
  </si>
  <si>
    <t>Gen Cap 3</t>
  </si>
  <si>
    <t>Summer</t>
  </si>
  <si>
    <t>Winter</t>
  </si>
  <si>
    <t xml:space="preserve">Dist Rate - Off </t>
  </si>
  <si>
    <t xml:space="preserve">Dist Rate - On </t>
  </si>
  <si>
    <t>RS-TOD (Off Peak)</t>
  </si>
  <si>
    <t>RS-TOD (On Peak)</t>
  </si>
  <si>
    <t>Generation Capacity Rider (Off Peak)</t>
  </si>
  <si>
    <t>Generation Capacity Rider (On Peak)</t>
  </si>
  <si>
    <t>Residential Time-of-Day Bundled Service</t>
  </si>
  <si>
    <t>Rider Rate 1</t>
  </si>
  <si>
    <t>Rider Rate 2</t>
  </si>
  <si>
    <t xml:space="preserve">Energy Charge </t>
  </si>
  <si>
    <t xml:space="preserve">Generation Energy Rider  </t>
  </si>
  <si>
    <t>GS-1, GS-TOD</t>
  </si>
  <si>
    <t>Demand Metered Secondary</t>
  </si>
  <si>
    <t>Demand Metered Primary</t>
  </si>
  <si>
    <t>Demand Metered Trans/Subtrans</t>
  </si>
  <si>
    <t>Auction Cost Reconciliation Rider (kWh)</t>
  </si>
  <si>
    <t>Basic Transmission Cost Rider (kWh)</t>
  </si>
  <si>
    <t>Basic Transmission Cost Rider (kW)</t>
  </si>
  <si>
    <t>Generation Energy Rider</t>
  </si>
  <si>
    <t>Gen En</t>
  </si>
  <si>
    <t xml:space="preserve">RR, RR1 </t>
  </si>
  <si>
    <t>Basic Transmission Cost Rider</t>
  </si>
  <si>
    <t>Price to Compare (excludes Distribution Charges and some Transmission Charges):</t>
  </si>
  <si>
    <t>Gen En 1</t>
  </si>
  <si>
    <t xml:space="preserve">Generation Energy Rider </t>
  </si>
  <si>
    <t>Auction Cost Reconciliation Rider</t>
  </si>
  <si>
    <t>This master spreadsheet can be used to calculate billings issued on or after 6/1/2015 under Bundled and Open Access tariffs.  The results may not match invoiced amounts exactly.  The "Customer Info" tab is used to enter data for all tariff tabs.   Results can be viewed by scrolling to the appropriate tariff tab.</t>
  </si>
  <si>
    <t>Energy Efficiency and Peak Demand Reduction Cost Recovery Rider (Fixed)</t>
  </si>
  <si>
    <t>Energy Efficiency and Peak Demand Reduction Cost Recovery Rider (kW)</t>
  </si>
  <si>
    <t>GS-2 (0-833,000 kWh)</t>
  </si>
  <si>
    <t>GS-2 (&gt;833,000 kWh)</t>
  </si>
  <si>
    <t>GS-TOD (0-833,000 kWh)</t>
  </si>
  <si>
    <t>GS-TOD (&gt;833,000 kWh)</t>
  </si>
  <si>
    <t>GS-3 (0-833,000 kWh)</t>
  </si>
  <si>
    <t>GS-3 (&gt;833,000 kWh)</t>
  </si>
  <si>
    <t>GS-4 (0-833,000 kWh)</t>
  </si>
  <si>
    <t>GS-4 (&gt;833,000 kWh)</t>
  </si>
  <si>
    <t>Alternative Energy Rider (kWh)</t>
  </si>
  <si>
    <t>gridSMART Phase 2 Rider (fixed)</t>
  </si>
  <si>
    <t>gridSMART Phase 2 Rider</t>
  </si>
  <si>
    <t>IRP Rate</t>
  </si>
  <si>
    <t>Tax Savings Credit Rider</t>
  </si>
  <si>
    <t>Smart City Rider</t>
  </si>
  <si>
    <t>Legacy Generation Resource Rider</t>
  </si>
  <si>
    <t>Residential ($/month)</t>
  </si>
  <si>
    <t>Non-Residential ($/kWh up to 833,000 kWh)</t>
  </si>
  <si>
    <t>Part A</t>
  </si>
  <si>
    <t>Part B</t>
  </si>
  <si>
    <t>Effective</t>
  </si>
  <si>
    <t>DSM Energy Efficiency Opt Out</t>
  </si>
  <si>
    <t>Storm Damage Recovery Rider</t>
  </si>
  <si>
    <t>Storm Damage Recover Rider</t>
  </si>
  <si>
    <t>Generation Capacity Rider (Off-Peak)</t>
  </si>
  <si>
    <t>Available for residential electric service through one meter to individual residential customers. (Schedule Codes: 036)</t>
  </si>
  <si>
    <t>On-Peak kWh Usage</t>
  </si>
  <si>
    <t>Off-Peak kWh Usage</t>
  </si>
  <si>
    <t>RS-TOU On Peak</t>
  </si>
  <si>
    <t>RS-TOU Off Peak</t>
  </si>
  <si>
    <t>On-Peak kWh Usage:</t>
  </si>
  <si>
    <t>Off-Peak kWh Usage:</t>
  </si>
  <si>
    <t>GS-TOU Off-Peak</t>
  </si>
  <si>
    <t>GS-TOU On-Peak</t>
  </si>
  <si>
    <t>Available for general service to customers with maximum demands less than 10 KW.  (Schedule Codes 284)</t>
  </si>
  <si>
    <t>Solar Generation Fund Rider</t>
  </si>
  <si>
    <t>&lt;&lt;Cap Limit</t>
  </si>
  <si>
    <r>
      <t xml:space="preserve">Billing Month/Year </t>
    </r>
    <r>
      <rPr>
        <b/>
        <sz val="10"/>
        <rFont val="Arial"/>
        <family val="2"/>
      </rPr>
      <t>(</t>
    </r>
    <r>
      <rPr>
        <b/>
        <sz val="10"/>
        <color indexed="10"/>
        <rFont val="Arial"/>
        <family val="2"/>
      </rPr>
      <t>REQUIRED)</t>
    </r>
    <r>
      <rPr>
        <sz val="10"/>
        <rFont val="Arial"/>
        <family val="2"/>
      </rPr>
      <t>:</t>
    </r>
  </si>
  <si>
    <t>Solar Generation Fund Rider (first 833,000 kWh)</t>
  </si>
  <si>
    <t>Solar Generation Fund Rider (in excess of 833,000 kWh)</t>
  </si>
  <si>
    <t>Available for residential electric service through one meter to individual residential customers. (Schedule Codes: 015)</t>
  </si>
  <si>
    <t>Available to individual residential customers.   Availability is limited to the first 500 customers applying for service under this schedule. (Schedule Code 019, 030, 032)</t>
  </si>
  <si>
    <t>Bad Debt Rider</t>
  </si>
  <si>
    <t>Bad Debt Rider (%)</t>
  </si>
  <si>
    <t>Retail Reconciliation Rider</t>
  </si>
  <si>
    <t>Retail Reconciliatoin Rider (kWh)</t>
  </si>
  <si>
    <t>Power Forward Rider</t>
  </si>
  <si>
    <t>SSO Credit Rider</t>
  </si>
  <si>
    <t>Pilot Demand Response Rider</t>
  </si>
  <si>
    <t>Placeholder</t>
  </si>
  <si>
    <t>Residential Service - Demand Metered</t>
  </si>
  <si>
    <t>Energy Charge:     kW</t>
  </si>
  <si>
    <t xml:space="preserve">Available for optional residential electric service through one meter to individual residential customers.  Requires the installation of demand metering facilities. (Schedule Codes: 010)  </t>
  </si>
  <si>
    <t>Account</t>
  </si>
  <si>
    <t>Available for general service to customers with maximum demands less than 10 KW.  (Schedule Codes 211, 212)</t>
  </si>
  <si>
    <t>Available for general service customers with maximum demands less than 500 kW.  Availability is limited to secondary service and the first 1,000 customers applying for service under this schedule. (Schedule Codes: 220, 223, 225, 228, 229)</t>
  </si>
  <si>
    <t>Retail Reconciliation Rider (first 833,000 kWh)</t>
  </si>
  <si>
    <t>Retail Reconciliation Rider (in excess of 833,000 kWh)</t>
  </si>
  <si>
    <t>GS-2-Time-of-Day Secondary Bundled Service</t>
  </si>
  <si>
    <t>Available for general service to customers with maximum demands of 10 KW or greater. (Schedule Codes 208, 215, 231, 265)</t>
  </si>
  <si>
    <t>Excess kVAR:</t>
  </si>
  <si>
    <t>KVAR</t>
  </si>
  <si>
    <t>GS Secondary Bundled Service</t>
  </si>
  <si>
    <t>kVar</t>
  </si>
  <si>
    <t>KVA</t>
  </si>
  <si>
    <t>Excess Reactive Demand Charge</t>
  </si>
  <si>
    <t>(Schedule Codes 217, 218, 232, 266, 322)</t>
  </si>
  <si>
    <t>GS Primary Bundled Service</t>
  </si>
  <si>
    <t>GS Transmission Bundled Service</t>
  </si>
  <si>
    <t>(Schedule Codes 238, 239, 258, 270, 275)</t>
  </si>
  <si>
    <t>Available for residential electric service through one meter to individual residential customers. (Schedule Codes: 820)</t>
  </si>
  <si>
    <t>Residential Secondary Open Access Distribution Service</t>
  </si>
  <si>
    <t>Residential Service - Demand Metered - OAD</t>
  </si>
  <si>
    <t>Available for general service to customers with maximum demands less than 10 KW.  (Schedule Codes 830)</t>
  </si>
  <si>
    <t>GS-1 Open Access Distribution Service</t>
  </si>
  <si>
    <t>GS Transmission Open Access Distribution Service</t>
  </si>
  <si>
    <t>Received kWh</t>
  </si>
  <si>
    <t>Contract Capacity:</t>
  </si>
  <si>
    <t>Contract Minimum Demand:</t>
  </si>
  <si>
    <t>Available for general service to customers with maximum demands of 10 KW or greater. (Schedule Codes 315)</t>
  </si>
  <si>
    <t>GS Service - Fair</t>
  </si>
  <si>
    <t>County Fair SEC</t>
  </si>
  <si>
    <t>County Fair PRI</t>
  </si>
  <si>
    <t>Ohio Power Rate Zone</t>
  </si>
  <si>
    <r>
      <t xml:space="preserve">RS </t>
    </r>
    <r>
      <rPr>
        <b/>
        <sz val="10"/>
        <rFont val="Arial"/>
        <family val="2"/>
      </rPr>
      <t>(OP Rate Zone)</t>
    </r>
  </si>
  <si>
    <r>
      <t xml:space="preserve">General Service-Non Demand Metered </t>
    </r>
    <r>
      <rPr>
        <b/>
        <sz val="10"/>
        <rFont val="Arial"/>
        <family val="2"/>
      </rPr>
      <t>(OP Rate Zone)</t>
    </r>
  </si>
  <si>
    <t>Pilot Plug-In Electric Vehicle Schedule</t>
  </si>
  <si>
    <t>Metered kW Usage:</t>
  </si>
  <si>
    <t>On-Peak Demand Charge</t>
  </si>
  <si>
    <t>Reactive Hours:</t>
  </si>
  <si>
    <t>Peak kVA</t>
  </si>
  <si>
    <t>Allowable kVA:</t>
  </si>
  <si>
    <t>KVARh</t>
  </si>
  <si>
    <t>kVA</t>
  </si>
  <si>
    <t>GS Secondary Open Access Distribution</t>
  </si>
  <si>
    <t>GS Primary Open Access Distribution</t>
  </si>
  <si>
    <t>Available for general service to customers with maximum demands of 10 KW or greater. (Schedule Codes 770, 840, 842, 845)</t>
  </si>
  <si>
    <t>(Schedule Codes 774, 841, 843, 846, 861)</t>
  </si>
  <si>
    <t>(Schedule Codes 779, 790, 826, 827, 858, 853)</t>
  </si>
  <si>
    <t xml:space="preserve">Available for optional residential electric service through one meter to individual residential customers.  Requires the installation of demand metering facilities. (Schedule Codes: 810)  </t>
  </si>
  <si>
    <t>GS-TOD On-Peak</t>
  </si>
  <si>
    <t>GS-TOD Off-Peak</t>
  </si>
  <si>
    <t xml:space="preserve">Energy Charge:   </t>
  </si>
  <si>
    <t>GS-1, GS-TOD, GS-TOU</t>
  </si>
  <si>
    <r>
      <t xml:space="preserve">Solar Generation Rider - </t>
    </r>
    <r>
      <rPr>
        <sz val="9"/>
        <rFont val="Arial"/>
        <family val="2"/>
      </rPr>
      <t>This rider is to fund disbursements to qualifying solar resources as required by the General Assembly.</t>
    </r>
  </si>
  <si>
    <r>
      <t xml:space="preserve">Smart City Rider - </t>
    </r>
    <r>
      <rPr>
        <sz val="9"/>
        <rFont val="Arial"/>
        <family val="2"/>
      </rPr>
      <t>This rider allows the Company to recover costs associated with Smart City technologies.</t>
    </r>
  </si>
  <si>
    <r>
      <t xml:space="preserve">Tax Savings Credit Rider – </t>
    </r>
    <r>
      <rPr>
        <sz val="11"/>
        <rFont val="Calibri"/>
        <family val="2"/>
      </rPr>
      <t>This Rider</t>
    </r>
    <r>
      <rPr>
        <sz val="10"/>
        <rFont val="Arial"/>
        <family val="2"/>
      </rPr>
      <t xml:space="preserve"> is a reduction to rates that reflects the pass back of the remaining tax savings recognized through the Tax Cuts and Jobs Act of 2017. </t>
    </r>
  </si>
  <si>
    <r>
      <t>Universal Service Fund</t>
    </r>
    <r>
      <rPr>
        <sz val="9"/>
        <rFont val="Arial"/>
        <family val="2"/>
      </rPr>
      <t xml:space="preserve"> </t>
    </r>
    <r>
      <rPr>
        <b/>
        <sz val="9"/>
        <rFont val="Arial"/>
        <family val="2"/>
      </rPr>
      <t>Rider</t>
    </r>
    <r>
      <rPr>
        <sz val="9"/>
        <rFont val="Arial"/>
        <family val="2"/>
      </rPr>
      <t>- This Rider replaced the Percentage of Income Payment Plan (PIP) rider on September 1, 2000. PIP helped low-income residential customers avoid disconnection during the winter. The program now is administered by the Ohio Development Services Agency, which sets the rate. The Universal Service Fund Rider is included within the distribution charge.</t>
    </r>
  </si>
  <si>
    <r>
      <rPr>
        <b/>
        <sz val="9"/>
        <rFont val="Arial"/>
        <family val="2"/>
      </rPr>
      <t>Storm Damage Recovery Rider</t>
    </r>
    <r>
      <rPr>
        <sz val="9"/>
        <rFont val="Arial"/>
        <family val="2"/>
      </rPr>
      <t xml:space="preserve"> - This Rider allows the Company to recover a portion of the incremental storm restoration costs from major storms that are above the baseline.</t>
    </r>
  </si>
  <si>
    <r>
      <t xml:space="preserve">Legacy Generation Resource Rider – </t>
    </r>
    <r>
      <rPr>
        <sz val="9"/>
        <rFont val="Arial"/>
        <family val="2"/>
      </rPr>
      <t xml:space="preserve">This rider collect or pass back the difference between total cost and revenues associated with legacy generation resources of AEP Ohio.  The Legacy Generation Resource Rider replaces the current Purchase Power Agreement Rider.  </t>
    </r>
  </si>
  <si>
    <r>
      <t xml:space="preserve">Pilot Throughput Balancing Adjustment Rider - </t>
    </r>
    <r>
      <rPr>
        <sz val="9"/>
        <rFont val="Arial"/>
        <family val="2"/>
      </rPr>
      <t>This Rider ensures that the actual base distribution revenue collected from residential and small commercial customers equals the amount authorized by the Public Utilities Commission of Ohio and does not vary as a result of usage as distribution costs do not vary based upon usage.</t>
    </r>
  </si>
  <si>
    <r>
      <t>KWH Tax Rider</t>
    </r>
    <r>
      <rPr>
        <sz val="9"/>
        <rFont val="Arial"/>
        <family val="2"/>
      </rPr>
      <t>- This Rider became effective May 1, 2001.  Customers consuming more than 45,000,000 KWH annually may elect to self assess this tax and pay directly to the State of Ohio.  This Rider does not apply to federal government accounts.</t>
    </r>
  </si>
  <si>
    <r>
      <rPr>
        <b/>
        <sz val="9"/>
        <rFont val="Arial"/>
        <family val="2"/>
      </rPr>
      <t>gridSMART Rider –</t>
    </r>
    <r>
      <rPr>
        <sz val="9"/>
        <rFont val="Arial"/>
        <family val="2"/>
      </rPr>
      <t xml:space="preserve"> This rider allows the Company to recover costs associated with AEP Ohio’s Smart Grid Phase 2 and Phase 3 projects. These projects include deployment of Advanced Meter Infrastructure (AMI), Distribution Automation Circuit Reconfiguration (DACR) and Volt VAR Optimization (VVO).</t>
    </r>
  </si>
  <si>
    <r>
      <t xml:space="preserve">Generation Energy Rider – </t>
    </r>
    <r>
      <rPr>
        <sz val="9"/>
        <rFont val="Arial"/>
        <family val="2"/>
      </rPr>
      <t>This Rider collects the difference between the competitive bid auction price and the Retail Transmission Organization's capacity revenue requirement payable to the auction winners.</t>
    </r>
  </si>
  <si>
    <r>
      <t xml:space="preserve">Generation Capacity Rider – </t>
    </r>
    <r>
      <rPr>
        <sz val="9"/>
        <rFont val="Arial"/>
        <family val="2"/>
      </rPr>
      <t>This Rider allows the Company to collect the Generation Capacity Revenue Requirement based on the Retail Transmission Organization's Reliability Pricing Model's auction Clearing Price payable to the auction winners.</t>
    </r>
  </si>
  <si>
    <r>
      <t xml:space="preserve">Enhanced Service Reliability Rider - </t>
    </r>
    <r>
      <rPr>
        <sz val="9"/>
        <rFont val="Arial"/>
        <family val="2"/>
      </rPr>
      <t>This Rider collects the incremental costs of the Company’s enhanced vegetation management initiative.  The Company’s plan is intended to reduce the impact of weather events through additional tree trimming, resulting in better reliability for customers.  This Rider is subject to Commission review and reconciliation on an annual basis.</t>
    </r>
  </si>
  <si>
    <r>
      <t xml:space="preserve">Energy Efficiency and Peak Demand Reduction Cost Recovery Rider - </t>
    </r>
    <r>
      <rPr>
        <sz val="9"/>
        <rFont val="Arial"/>
        <family val="2"/>
      </rPr>
      <t xml:space="preserve">This Rider allows the Company to recover the costs of various programs designed to improve energy efficiency and reduce the overall peak demand for energy.  This Rider will be trued-up annually to reconcile cost recovery and actual program costs.  </t>
    </r>
  </si>
  <si>
    <r>
      <t>Economic Development Cost Recovery Rider</t>
    </r>
    <r>
      <rPr>
        <sz val="9"/>
        <rFont val="Arial"/>
        <family val="2"/>
      </rPr>
      <t xml:space="preserve"> - This Rider allows the Company to recover the costs, incentives and foregone revenues associated with Commission-approved special arrangements, including special arrangements for economic development and job retention.  This Rider will be periodically adjusted to recover amounts authorized by the Commission.  </t>
    </r>
  </si>
  <si>
    <r>
      <t xml:space="preserve">Distribution Investment Rider </t>
    </r>
    <r>
      <rPr>
        <sz val="9"/>
        <rFont val="Arial"/>
        <family val="2"/>
      </rPr>
      <t>- This Rider allows the Company to move to a proactive replacement strategy of its distribution infrastructure.</t>
    </r>
  </si>
  <si>
    <r>
      <rPr>
        <b/>
        <sz val="9"/>
        <rFont val="Arial"/>
        <family val="2"/>
      </rPr>
      <t>Basic Transmission Cost Rider</t>
    </r>
    <r>
      <rPr>
        <sz val="9"/>
        <rFont val="Arial"/>
        <family val="2"/>
      </rPr>
      <t xml:space="preserve"> – This Rider allows the Company to recover non-market based transmission charges from both shopping and non-shopping customers.  </t>
    </r>
  </si>
  <si>
    <r>
      <rPr>
        <b/>
        <sz val="9"/>
        <rFont val="Arial"/>
        <family val="2"/>
      </rPr>
      <t>Auction Cost Reconciliation Rider</t>
    </r>
    <r>
      <rPr>
        <sz val="9"/>
        <rFont val="Arial"/>
        <family val="2"/>
      </rPr>
      <t xml:space="preserve"> – This Rider collects any difference between auction costs billed to customers versus what was paid to auction winners for the procurement of power as well as the costs associated with the competitive bid process.</t>
    </r>
  </si>
  <si>
    <r>
      <t xml:space="preserve">Alternative Energy Rider </t>
    </r>
    <r>
      <rPr>
        <sz val="9"/>
        <rFont val="Arial"/>
        <family val="2"/>
      </rPr>
      <t xml:space="preserve">- This Rider allows the Company to recover costs related to Renewable Energy Credits.  This Rider will be reconciled quarterly to actual costs incurred and will be subject to an annual prudence and accounting review by the Commission.
</t>
    </r>
  </si>
  <si>
    <t>Revised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</si>
</sst>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0.00000%"/>
    <numFmt numFmtId="166" formatCode="_(&quot;$&quot;* #,##0.0000000_);_(&quot;$&quot;* \(#,##0.0000000\);_(&quot;$&quot;* &quot;-&quot;???????_);_(@_)"/>
    <numFmt numFmtId="167" formatCode="_(* #,##0.0_);_(* \(#,##0.0\);_(* &quot;-&quot;??_);_(@_)"/>
    <numFmt numFmtId="168" formatCode="mm/dd/yy"/>
    <numFmt numFmtId="169" formatCode="&quot;$&quot;#,##0.0000000"/>
    <numFmt numFmtId="170" formatCode="0.0%"/>
    <numFmt numFmtId="171" formatCode="0.0000%"/>
    <numFmt numFmtId="172" formatCode="_(&quot;$&quot;* #,##0.000_);_(&quot;$&quot;* \(#,##0.000\);_(&quot;$&quot;* &quot;-&quot;??_);_(@_)"/>
    <numFmt numFmtId="173" formatCode="_(&quot;$&quot;* #,##0.00000_);_(&quot;$&quot;* \(#,##0.00000\);_(&quot;$&quot;* &quot;-&quot;??_);_(@_)"/>
    <numFmt numFmtId="174" formatCode="_(&quot;$&quot;* #,##0.000000_);_(&quot;$&quot;* \(#,##0.000000\);_(&quot;$&quot;* &quot;-&quot;??_);_(@_)"/>
    <numFmt numFmtId="175" formatCode="_(&quot;$&quot;* #,##0.0000000_);_(&quot;$&quot;* \(#,##0.0000000\);_(&quot;$&quot;* &quot;-&quot;??_);_(@_)"/>
    <numFmt numFmtId="176" formatCode="#,##0.0"/>
    <numFmt numFmtId="177" formatCode="_(&quot;$&quot;* #,##0.00000_);_(&quot;$&quot;* \(#,##0.00000\);_(&quot;$&quot;* &quot;-&quot;?????_);_(@_)"/>
    <numFmt numFmtId="178" formatCode="_(&quot;$&quot;* #,##0.00000000_);_(&quot;$&quot;* \(#,##0.00000000\);_(&quot;$&quot;* &quot;-&quot;???????_);_(@_)"/>
    <numFmt numFmtId="179" formatCode="_(* #,##0.0_);_(* \(#,##0.0\);_(* &quot;-&quot;?_);_(@_)"/>
    <numFmt numFmtId="180" formatCode="_(&quot;$&quot;* #,##0.000_);_(&quot;$&quot;* \(#,##0.000\);_(&quot;$&quot;* &quot;-&quot;???_);_(@_)"/>
    <numFmt numFmtId="181" formatCode="_(&quot;$&quot;* #,##0.0000_);_(&quot;$&quot;* \(#,##0.0000\);_(&quot;$&quot;* &quot;-&quot;????_);_(@_)"/>
    <numFmt numFmtId="182" formatCode="_(* #,##0.000_);_(* \(#,##0.000\);_(* &quot;-&quot;???_);_(@_)"/>
    <numFmt numFmtId="183" formatCode="0.0000000"/>
    <numFmt numFmtId="184" formatCode="0.00000"/>
    <numFmt numFmtId="185" formatCode="#,##0.000"/>
    <numFmt numFmtId="186" formatCode="_(&quot;$&quot;* #,##0.00_);_(&quot;$&quot;* \(#,##0.00\);_(&quot;$&quot;* &quot;-&quot;???????_);_(@_)"/>
    <numFmt numFmtId="187" formatCode="_(&quot;$&quot;* #,##0.00000000_);_(&quot;$&quot;* \(#,##0.00000000\);_(&quot;$&quot;* &quot;-&quot;??_);_(@_)"/>
    <numFmt numFmtId="188" formatCode="m/d/yyyy;@"/>
    <numFmt numFmtId="189" formatCode="_(* #,##0_);_(* \(#,##0\);_(* &quot;-&quot;???_);_(@_)"/>
  </numFmts>
  <fonts count="53" x14ac:knownFonts="1">
    <font>
      <sz val="10"/>
      <name val="Arial"/>
    </font>
    <font>
      <sz val="10"/>
      <name val="Arial"/>
      <family val="2"/>
    </font>
    <font>
      <sz val="10"/>
      <name val="Arial"/>
      <family val="2"/>
    </font>
    <font>
      <b/>
      <sz val="10"/>
      <name val="Arial"/>
      <family val="2"/>
    </font>
    <font>
      <sz val="8"/>
      <color indexed="81"/>
      <name val="Tahoma"/>
      <family val="2"/>
    </font>
    <font>
      <b/>
      <sz val="8"/>
      <color indexed="81"/>
      <name val="Tahoma"/>
      <family val="2"/>
    </font>
    <font>
      <sz val="10"/>
      <color indexed="10"/>
      <name val="Arial"/>
      <family val="2"/>
    </font>
    <font>
      <b/>
      <sz val="10"/>
      <color indexed="48"/>
      <name val="Arial"/>
      <family val="2"/>
    </font>
    <font>
      <sz val="10"/>
      <color indexed="12"/>
      <name val="Arial"/>
      <family val="2"/>
    </font>
    <font>
      <b/>
      <sz val="10"/>
      <color indexed="12"/>
      <name val="Arial"/>
      <family val="2"/>
    </font>
    <font>
      <b/>
      <sz val="16"/>
      <name val="Arial"/>
      <family val="2"/>
    </font>
    <font>
      <b/>
      <sz val="14"/>
      <color indexed="8"/>
      <name val="Arial"/>
      <family val="2"/>
    </font>
    <font>
      <b/>
      <sz val="10"/>
      <color indexed="8"/>
      <name val="Arial"/>
      <family val="2"/>
    </font>
    <font>
      <sz val="12"/>
      <color indexed="12"/>
      <name val="Arial"/>
      <family val="2"/>
    </font>
    <font>
      <b/>
      <sz val="10"/>
      <color indexed="10"/>
      <name val="Arial"/>
      <family val="2"/>
    </font>
    <font>
      <sz val="10"/>
      <color indexed="8"/>
      <name val="Arial"/>
      <family val="2"/>
    </font>
    <font>
      <sz val="9"/>
      <name val="Arial"/>
      <family val="2"/>
    </font>
    <font>
      <b/>
      <sz val="9"/>
      <name val="Arial"/>
      <family val="2"/>
    </font>
    <font>
      <sz val="12"/>
      <color indexed="8"/>
      <name val="Arial"/>
      <family val="2"/>
    </font>
    <font>
      <sz val="10"/>
      <color indexed="9"/>
      <name val="Arial"/>
      <family val="2"/>
    </font>
    <font>
      <sz val="10"/>
      <color indexed="43"/>
      <name val="Arial"/>
      <family val="2"/>
    </font>
    <font>
      <sz val="8"/>
      <name val="Arial"/>
      <family val="2"/>
    </font>
    <font>
      <b/>
      <i/>
      <sz val="10"/>
      <name val="Arial"/>
      <family val="2"/>
    </font>
    <font>
      <u/>
      <sz val="10"/>
      <color indexed="12"/>
      <name val="Arial"/>
      <family val="2"/>
    </font>
    <font>
      <sz val="10"/>
      <color indexed="12"/>
      <name val="Arial"/>
      <family val="2"/>
    </font>
    <font>
      <sz val="9"/>
      <color indexed="12"/>
      <name val="Arial"/>
      <family val="2"/>
    </font>
    <font>
      <b/>
      <sz val="12"/>
      <name val="Arial"/>
      <family val="2"/>
    </font>
    <font>
      <sz val="12"/>
      <name val="Arial"/>
      <family val="2"/>
    </font>
    <font>
      <sz val="8"/>
      <name val="Arial"/>
      <family val="2"/>
    </font>
    <font>
      <b/>
      <sz val="12"/>
      <color indexed="17"/>
      <name val="Arial"/>
      <family val="2"/>
    </font>
    <font>
      <u/>
      <sz val="10"/>
      <name val="Arial"/>
      <family val="2"/>
    </font>
    <font>
      <sz val="10"/>
      <color indexed="17"/>
      <name val="Arial"/>
      <family val="2"/>
    </font>
    <font>
      <b/>
      <sz val="9"/>
      <color indexed="10"/>
      <name val="Arial"/>
      <family val="2"/>
    </font>
    <font>
      <b/>
      <sz val="10"/>
      <color indexed="17"/>
      <name val="Arial"/>
      <family val="2"/>
    </font>
    <font>
      <sz val="8"/>
      <color indexed="9"/>
      <name val="Arial"/>
      <family val="2"/>
    </font>
    <font>
      <b/>
      <sz val="20"/>
      <color indexed="10"/>
      <name val="Arial"/>
      <family val="2"/>
    </font>
    <font>
      <b/>
      <sz val="8"/>
      <color indexed="10"/>
      <name val="Tahoma"/>
      <family val="2"/>
    </font>
    <font>
      <b/>
      <sz val="16"/>
      <color indexed="10"/>
      <name val="Arial"/>
      <family val="2"/>
    </font>
    <font>
      <b/>
      <sz val="8"/>
      <name val="Arial"/>
      <family val="2"/>
    </font>
    <font>
      <sz val="8"/>
      <color indexed="10"/>
      <name val="Arial"/>
      <family val="2"/>
    </font>
    <font>
      <sz val="9"/>
      <color indexed="81"/>
      <name val="Tahoma"/>
      <family val="2"/>
    </font>
    <font>
      <b/>
      <sz val="9"/>
      <color indexed="81"/>
      <name val="Tahoma"/>
      <family val="2"/>
    </font>
    <font>
      <sz val="10"/>
      <name val="Arial"/>
      <family val="2"/>
    </font>
    <font>
      <b/>
      <u/>
      <sz val="10"/>
      <color indexed="12"/>
      <name val="Arial"/>
      <family val="2"/>
    </font>
    <font>
      <b/>
      <u/>
      <sz val="8"/>
      <color indexed="81"/>
      <name val="Tahoma"/>
      <family val="2"/>
    </font>
    <font>
      <b/>
      <sz val="10"/>
      <color rgb="FF0000FF"/>
      <name val="Arial"/>
      <family val="2"/>
    </font>
    <font>
      <sz val="10"/>
      <color rgb="FFFFFF00"/>
      <name val="Arial"/>
      <family val="2"/>
    </font>
    <font>
      <sz val="10"/>
      <color rgb="FFFF0000"/>
      <name val="Arial"/>
      <family val="2"/>
    </font>
    <font>
      <sz val="10"/>
      <color theme="1"/>
      <name val="Arial"/>
      <family val="2"/>
    </font>
    <font>
      <sz val="8"/>
      <color rgb="FF000000"/>
      <name val="Tahoma"/>
      <family val="2"/>
    </font>
    <font>
      <sz val="8"/>
      <color rgb="FF000000"/>
      <name val="Segoe UI"/>
      <family val="2"/>
    </font>
    <font>
      <sz val="10"/>
      <color rgb="FF000000"/>
      <name val="Arial"/>
      <family val="2"/>
    </font>
    <font>
      <sz val="11"/>
      <name val="Calibri"/>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3"/>
        <bgColor indexed="43"/>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s>
  <cellStyleXfs count="32">
    <xf numFmtId="0" fontId="0" fillId="0" borderId="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389">
    <xf numFmtId="0" fontId="0" fillId="0" borderId="0" xfId="0"/>
    <xf numFmtId="3" fontId="0" fillId="0" borderId="0" xfId="0" applyNumberFormat="1"/>
    <xf numFmtId="8" fontId="0" fillId="0" borderId="0" xfId="0" applyNumberFormat="1"/>
    <xf numFmtId="0" fontId="2" fillId="0" borderId="0" xfId="0" applyFont="1"/>
    <xf numFmtId="0" fontId="0" fillId="0" borderId="0" xfId="0" applyAlignment="1">
      <alignment horizontal="center"/>
    </xf>
    <xf numFmtId="0" fontId="0" fillId="0" borderId="1" xfId="0" applyBorder="1" applyAlignment="1">
      <alignment horizontal="center"/>
    </xf>
    <xf numFmtId="166" fontId="0" fillId="0" borderId="1" xfId="10" applyNumberFormat="1" applyFont="1" applyBorder="1"/>
    <xf numFmtId="165" fontId="0" fillId="0" borderId="2" xfId="21" applyNumberFormat="1" applyFont="1" applyBorder="1"/>
    <xf numFmtId="0" fontId="0" fillId="0" borderId="2" xfId="0" applyBorder="1" applyAlignment="1">
      <alignment horizontal="center"/>
    </xf>
    <xf numFmtId="0" fontId="0" fillId="0" borderId="3" xfId="0" applyBorder="1"/>
    <xf numFmtId="0" fontId="0" fillId="0" borderId="4" xfId="0" applyBorder="1"/>
    <xf numFmtId="0" fontId="0" fillId="2" borderId="0" xfId="0" applyFill="1" applyAlignment="1">
      <alignment horizontal="center"/>
    </xf>
    <xf numFmtId="0" fontId="0" fillId="2" borderId="0" xfId="0" applyFill="1"/>
    <xf numFmtId="0" fontId="6" fillId="2" borderId="0" xfId="0" applyFont="1" applyFill="1"/>
    <xf numFmtId="3" fontId="0" fillId="2" borderId="0" xfId="0" applyNumberFormat="1" applyFill="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0" xfId="0" applyBorder="1"/>
    <xf numFmtId="166" fontId="0" fillId="0" borderId="0" xfId="10" applyNumberFormat="1" applyFont="1" applyBorder="1"/>
    <xf numFmtId="0" fontId="0" fillId="0" borderId="0" xfId="0" applyBorder="1" applyAlignment="1">
      <alignment horizontal="center"/>
    </xf>
    <xf numFmtId="0" fontId="6" fillId="0" borderId="0" xfId="0" applyFont="1" applyBorder="1" applyAlignment="1">
      <alignment horizontal="center"/>
    </xf>
    <xf numFmtId="0" fontId="0" fillId="0" borderId="8" xfId="0" applyBorder="1"/>
    <xf numFmtId="0" fontId="12" fillId="0" borderId="0" xfId="0" applyFont="1"/>
    <xf numFmtId="0" fontId="13" fillId="0" borderId="0" xfId="0" applyFont="1"/>
    <xf numFmtId="0" fontId="9" fillId="0" borderId="0" xfId="0" applyFont="1"/>
    <xf numFmtId="14" fontId="0" fillId="0" borderId="0" xfId="0" applyNumberFormat="1"/>
    <xf numFmtId="0" fontId="12" fillId="0" borderId="0" xfId="0" applyFont="1" applyAlignment="1">
      <alignment horizontal="left"/>
    </xf>
    <xf numFmtId="0" fontId="14" fillId="0" borderId="8" xfId="0" applyFont="1" applyBorder="1"/>
    <xf numFmtId="0" fontId="15" fillId="0" borderId="0" xfId="0" applyFont="1" applyBorder="1"/>
    <xf numFmtId="0" fontId="6" fillId="0" borderId="0" xfId="0" applyFont="1" applyBorder="1"/>
    <xf numFmtId="0" fontId="15" fillId="0" borderId="0" xfId="0" applyFont="1"/>
    <xf numFmtId="3" fontId="8" fillId="0" borderId="0" xfId="0" applyNumberFormat="1" applyFont="1" applyFill="1"/>
    <xf numFmtId="0" fontId="6" fillId="0" borderId="0" xfId="0" applyFont="1"/>
    <xf numFmtId="44" fontId="0" fillId="0" borderId="0" xfId="10" applyFont="1"/>
    <xf numFmtId="3" fontId="16" fillId="0" borderId="0" xfId="0" applyNumberFormat="1" applyFont="1"/>
    <xf numFmtId="0" fontId="16" fillId="0" borderId="0" xfId="0" applyFont="1"/>
    <xf numFmtId="0" fontId="3" fillId="0" borderId="0" xfId="0" applyFont="1"/>
    <xf numFmtId="3" fontId="3" fillId="0" borderId="0" xfId="0" applyNumberFormat="1" applyFont="1"/>
    <xf numFmtId="0" fontId="17" fillId="0" borderId="0" xfId="0" applyFont="1"/>
    <xf numFmtId="44" fontId="3" fillId="0" borderId="0" xfId="10" applyFont="1"/>
    <xf numFmtId="0" fontId="14" fillId="0" borderId="0" xfId="0" applyFont="1"/>
    <xf numFmtId="175" fontId="0" fillId="0" borderId="0" xfId="10" applyNumberFormat="1" applyFont="1"/>
    <xf numFmtId="0" fontId="2" fillId="0" borderId="0" xfId="0" applyFont="1" applyAlignment="1">
      <alignment horizontal="center"/>
    </xf>
    <xf numFmtId="176" fontId="8" fillId="0" borderId="0" xfId="0" applyNumberFormat="1" applyFont="1" applyFill="1" applyBorder="1"/>
    <xf numFmtId="44" fontId="3" fillId="0" borderId="0" xfId="10" applyNumberFormat="1" applyFont="1"/>
    <xf numFmtId="174" fontId="2" fillId="0" borderId="0" xfId="10" applyNumberFormat="1" applyFont="1"/>
    <xf numFmtId="178" fontId="0" fillId="0" borderId="1" xfId="10" applyNumberFormat="1" applyFont="1" applyBorder="1"/>
    <xf numFmtId="0" fontId="8" fillId="0" borderId="0" xfId="0" applyFont="1" applyBorder="1"/>
    <xf numFmtId="176" fontId="0" fillId="0" borderId="0" xfId="0" applyNumberFormat="1"/>
    <xf numFmtId="44" fontId="8" fillId="0" borderId="0" xfId="10" applyFont="1" applyFill="1"/>
    <xf numFmtId="170" fontId="8" fillId="0" borderId="0" xfId="0" applyNumberFormat="1" applyFont="1"/>
    <xf numFmtId="44" fontId="8" fillId="0" borderId="0" xfId="10" applyNumberFormat="1" applyFont="1" applyFill="1"/>
    <xf numFmtId="170" fontId="8" fillId="0" borderId="0" xfId="21" applyNumberFormat="1" applyFont="1" applyFill="1" applyBorder="1"/>
    <xf numFmtId="44" fontId="2" fillId="0" borderId="0" xfId="0" applyNumberFormat="1" applyFont="1"/>
    <xf numFmtId="9" fontId="2" fillId="0" borderId="0" xfId="21" applyFont="1"/>
    <xf numFmtId="0" fontId="8" fillId="0" borderId="0" xfId="0" applyFont="1"/>
    <xf numFmtId="170" fontId="6" fillId="0" borderId="1" xfId="21" applyNumberFormat="1" applyFont="1" applyFill="1" applyBorder="1" applyAlignment="1" applyProtection="1">
      <alignment horizontal="center"/>
      <protection locked="0"/>
    </xf>
    <xf numFmtId="4" fontId="8" fillId="0" borderId="0" xfId="0" applyNumberFormat="1" applyFont="1" applyFill="1"/>
    <xf numFmtId="0" fontId="0" fillId="0" borderId="0" xfId="0" applyBorder="1" applyAlignment="1">
      <alignment horizontal="right"/>
    </xf>
    <xf numFmtId="39" fontId="3" fillId="0" borderId="0" xfId="0" applyNumberFormat="1" applyFont="1"/>
    <xf numFmtId="0" fontId="19" fillId="0" borderId="9" xfId="0" applyFont="1" applyBorder="1" applyAlignment="1" applyProtection="1">
      <alignment horizontal="center"/>
      <protection locked="0"/>
    </xf>
    <xf numFmtId="0" fontId="6" fillId="2" borderId="0" xfId="0" applyFont="1" applyFill="1" applyAlignment="1">
      <alignment vertical="center" wrapText="1"/>
    </xf>
    <xf numFmtId="0" fontId="6" fillId="2" borderId="0" xfId="0" applyFont="1" applyFill="1" applyAlignment="1">
      <alignment horizontal="left" vertical="center" wrapText="1"/>
    </xf>
    <xf numFmtId="1" fontId="6" fillId="2" borderId="0" xfId="0" applyNumberFormat="1" applyFont="1" applyFill="1" applyAlignment="1" applyProtection="1">
      <alignment horizontal="right"/>
      <protection locked="0"/>
    </xf>
    <xf numFmtId="8" fontId="16" fillId="2" borderId="0" xfId="0" applyNumberFormat="1" applyFont="1" applyFill="1" applyAlignment="1">
      <alignment horizontal="left"/>
    </xf>
    <xf numFmtId="0" fontId="15" fillId="3" borderId="4" xfId="0" applyFont="1" applyFill="1" applyBorder="1"/>
    <xf numFmtId="0" fontId="15" fillId="3" borderId="1" xfId="0" applyFont="1" applyFill="1" applyBorder="1" applyAlignment="1">
      <alignment horizontal="center"/>
    </xf>
    <xf numFmtId="166" fontId="15" fillId="3" borderId="1" xfId="10" applyNumberFormat="1" applyFont="1" applyFill="1" applyBorder="1"/>
    <xf numFmtId="0" fontId="0" fillId="3" borderId="4" xfId="0" applyFill="1" applyBorder="1"/>
    <xf numFmtId="166" fontId="0" fillId="3" borderId="1" xfId="10" applyNumberFormat="1" applyFont="1" applyFill="1" applyBorder="1"/>
    <xf numFmtId="0" fontId="0" fillId="3" borderId="1" xfId="0" applyFill="1" applyBorder="1" applyAlignment="1">
      <alignment horizontal="center"/>
    </xf>
    <xf numFmtId="0" fontId="19" fillId="3" borderId="9" xfId="0" applyFont="1" applyFill="1" applyBorder="1" applyAlignment="1" applyProtection="1">
      <alignment horizontal="center"/>
      <protection locked="0"/>
    </xf>
    <xf numFmtId="0" fontId="19" fillId="0" borderId="10" xfId="0" applyFont="1" applyBorder="1" applyAlignment="1" applyProtection="1">
      <alignment horizontal="center"/>
      <protection locked="0" hidden="1"/>
    </xf>
    <xf numFmtId="0" fontId="20" fillId="2" borderId="0" xfId="0" applyFont="1" applyFill="1" applyProtection="1">
      <protection locked="0" hidden="1"/>
    </xf>
    <xf numFmtId="44" fontId="18" fillId="0" borderId="0" xfId="0" applyNumberFormat="1" applyFont="1" applyAlignment="1">
      <alignment horizontal="center"/>
    </xf>
    <xf numFmtId="168" fontId="15" fillId="0" borderId="0" xfId="0" applyNumberFormat="1" applyFont="1" applyAlignment="1">
      <alignment horizontal="left"/>
    </xf>
    <xf numFmtId="0" fontId="3" fillId="0" borderId="0" xfId="0" applyFont="1" applyBorder="1"/>
    <xf numFmtId="0" fontId="0" fillId="4" borderId="0" xfId="0" applyFill="1" applyBorder="1"/>
    <xf numFmtId="0" fontId="3" fillId="0" borderId="0" xfId="0" applyFont="1" applyAlignment="1">
      <alignment horizontal="center"/>
    </xf>
    <xf numFmtId="17" fontId="2" fillId="0" borderId="0" xfId="10" applyNumberFormat="1" applyFont="1" applyAlignment="1">
      <alignment horizontal="center"/>
    </xf>
    <xf numFmtId="0" fontId="14" fillId="0" borderId="11" xfId="0" applyFont="1" applyBorder="1"/>
    <xf numFmtId="167" fontId="8" fillId="0" borderId="0" xfId="1" applyNumberFormat="1" applyFont="1"/>
    <xf numFmtId="0" fontId="0" fillId="0" borderId="1" xfId="0" applyBorder="1"/>
    <xf numFmtId="175" fontId="0" fillId="0" borderId="1" xfId="10" applyNumberFormat="1" applyFont="1" applyBorder="1"/>
    <xf numFmtId="172" fontId="0" fillId="0" borderId="1" xfId="10" applyNumberFormat="1" applyFont="1" applyBorder="1"/>
    <xf numFmtId="44" fontId="0" fillId="0" borderId="1" xfId="10" applyNumberFormat="1" applyFont="1" applyBorder="1"/>
    <xf numFmtId="44" fontId="0" fillId="0" borderId="1" xfId="10" applyFont="1" applyBorder="1"/>
    <xf numFmtId="44" fontId="0" fillId="0" borderId="1" xfId="0" applyNumberFormat="1" applyBorder="1"/>
    <xf numFmtId="0" fontId="15" fillId="0" borderId="11" xfId="0" applyFont="1" applyBorder="1"/>
    <xf numFmtId="0" fontId="6" fillId="0" borderId="11" xfId="0" applyFont="1" applyBorder="1"/>
    <xf numFmtId="0" fontId="12" fillId="0" borderId="11" xfId="0" applyFont="1" applyBorder="1"/>
    <xf numFmtId="0" fontId="3" fillId="0" borderId="11" xfId="0" applyFont="1" applyBorder="1"/>
    <xf numFmtId="44" fontId="3" fillId="0" borderId="0" xfId="21" applyNumberFormat="1" applyFont="1"/>
    <xf numFmtId="0" fontId="0" fillId="0" borderId="11" xfId="0" applyBorder="1"/>
    <xf numFmtId="44" fontId="3" fillId="0" borderId="0" xfId="0" applyNumberFormat="1" applyFont="1"/>
    <xf numFmtId="0" fontId="3" fillId="0" borderId="0" xfId="0" applyFont="1" applyAlignment="1">
      <alignment horizontal="left"/>
    </xf>
    <xf numFmtId="0" fontId="14" fillId="0" borderId="0" xfId="0" applyFont="1" applyBorder="1"/>
    <xf numFmtId="44" fontId="14" fillId="0" borderId="11" xfId="10" applyFont="1" applyBorder="1"/>
    <xf numFmtId="0" fontId="1" fillId="4" borderId="0" xfId="0" applyFont="1" applyFill="1" applyBorder="1"/>
    <xf numFmtId="3" fontId="0" fillId="4" borderId="0" xfId="0" applyNumberFormat="1" applyFill="1"/>
    <xf numFmtId="3" fontId="16" fillId="4" borderId="0" xfId="0" applyNumberFormat="1" applyFont="1" applyFill="1"/>
    <xf numFmtId="0" fontId="0" fillId="4" borderId="0" xfId="0" applyFill="1" applyAlignment="1">
      <alignment horizontal="center"/>
    </xf>
    <xf numFmtId="166" fontId="1" fillId="0" borderId="1" xfId="10" applyNumberFormat="1" applyFill="1" applyBorder="1"/>
    <xf numFmtId="0" fontId="16" fillId="4" borderId="0" xfId="0" applyFont="1" applyFill="1"/>
    <xf numFmtId="44" fontId="1" fillId="0" borderId="1" xfId="10" applyFill="1" applyBorder="1"/>
    <xf numFmtId="0" fontId="0" fillId="4" borderId="0" xfId="0" applyFill="1" applyBorder="1" applyAlignment="1">
      <alignment horizontal="center"/>
    </xf>
    <xf numFmtId="175" fontId="1" fillId="4" borderId="0" xfId="10" applyNumberFormat="1" applyFill="1" applyBorder="1"/>
    <xf numFmtId="0" fontId="16" fillId="4" borderId="0" xfId="0" applyFont="1" applyFill="1" applyBorder="1"/>
    <xf numFmtId="44" fontId="1" fillId="4" borderId="0" xfId="10" applyFill="1" applyBorder="1"/>
    <xf numFmtId="0" fontId="2" fillId="4" borderId="0" xfId="10" applyNumberFormat="1" applyFont="1" applyFill="1" applyBorder="1"/>
    <xf numFmtId="169" fontId="1" fillId="0" borderId="1" xfId="10" applyNumberFormat="1" applyFill="1" applyBorder="1"/>
    <xf numFmtId="0" fontId="0" fillId="0" borderId="1" xfId="0" applyFill="1" applyBorder="1" applyAlignment="1">
      <alignment horizontal="center"/>
    </xf>
    <xf numFmtId="3" fontId="16" fillId="4" borderId="0" xfId="0" applyNumberFormat="1" applyFont="1" applyFill="1" applyBorder="1"/>
    <xf numFmtId="165" fontId="1" fillId="4" borderId="1" xfId="21" applyNumberFormat="1" applyFill="1" applyBorder="1" applyAlignment="1">
      <alignment horizontal="center"/>
    </xf>
    <xf numFmtId="0" fontId="0" fillId="4" borderId="1" xfId="0" applyFill="1" applyBorder="1" applyAlignment="1">
      <alignment horizontal="center"/>
    </xf>
    <xf numFmtId="180" fontId="0" fillId="0" borderId="1" xfId="10" applyNumberFormat="1" applyFont="1" applyBorder="1"/>
    <xf numFmtId="177" fontId="0" fillId="0" borderId="1" xfId="10" applyNumberFormat="1" applyFont="1" applyBorder="1"/>
    <xf numFmtId="164" fontId="0" fillId="0" borderId="1" xfId="10" applyNumberFormat="1" applyFont="1" applyBorder="1"/>
    <xf numFmtId="41" fontId="6" fillId="0" borderId="1" xfId="1" applyNumberFormat="1" applyFont="1" applyFill="1" applyBorder="1" applyProtection="1">
      <protection locked="0"/>
    </xf>
    <xf numFmtId="165" fontId="0" fillId="0" borderId="1" xfId="0" applyNumberFormat="1" applyFill="1" applyBorder="1" applyAlignment="1">
      <alignment horizontal="right"/>
    </xf>
    <xf numFmtId="170" fontId="2" fillId="0" borderId="0" xfId="21" applyNumberFormat="1" applyFont="1"/>
    <xf numFmtId="43" fontId="6" fillId="0" borderId="1" xfId="1" applyNumberFormat="1" applyFont="1" applyFill="1" applyBorder="1" applyProtection="1">
      <protection locked="0"/>
    </xf>
    <xf numFmtId="3" fontId="0" fillId="0" borderId="0" xfId="0" applyNumberFormat="1" applyBorder="1"/>
    <xf numFmtId="3" fontId="16" fillId="0" borderId="0" xfId="0" applyNumberFormat="1" applyFont="1" applyBorder="1"/>
    <xf numFmtId="44" fontId="1" fillId="0" borderId="1" xfId="10" applyBorder="1"/>
    <xf numFmtId="166" fontId="1" fillId="0" borderId="1" xfId="10" applyNumberFormat="1" applyBorder="1"/>
    <xf numFmtId="175" fontId="1" fillId="0" borderId="1" xfId="10" applyNumberFormat="1" applyBorder="1"/>
    <xf numFmtId="0" fontId="3" fillId="0" borderId="11" xfId="0" applyFont="1" applyBorder="1" applyAlignment="1">
      <alignment horizontal="center"/>
    </xf>
    <xf numFmtId="44" fontId="1" fillId="0" borderId="1" xfId="10" applyFont="1" applyBorder="1"/>
    <xf numFmtId="39" fontId="3" fillId="0" borderId="0" xfId="10" applyNumberFormat="1" applyFont="1"/>
    <xf numFmtId="0" fontId="3" fillId="0" borderId="1" xfId="0" applyFont="1" applyBorder="1" applyAlignment="1">
      <alignment horizontal="center"/>
    </xf>
    <xf numFmtId="0" fontId="3" fillId="0" borderId="1" xfId="0" applyFont="1" applyFill="1" applyBorder="1" applyAlignment="1">
      <alignment horizontal="center"/>
    </xf>
    <xf numFmtId="0" fontId="9" fillId="0" borderId="0" xfId="0" applyFont="1" applyAlignment="1">
      <alignment horizontal="left"/>
    </xf>
    <xf numFmtId="39" fontId="8" fillId="0" borderId="0" xfId="10" applyNumberFormat="1" applyFont="1"/>
    <xf numFmtId="39" fontId="9" fillId="0" borderId="0" xfId="10" applyNumberFormat="1" applyFont="1"/>
    <xf numFmtId="174" fontId="8" fillId="0" borderId="0" xfId="10" applyNumberFormat="1" applyFont="1"/>
    <xf numFmtId="0" fontId="25" fillId="0" borderId="0" xfId="0" applyFont="1"/>
    <xf numFmtId="44" fontId="14" fillId="0" borderId="0" xfId="10" applyFont="1"/>
    <xf numFmtId="0" fontId="15" fillId="4" borderId="0" xfId="0" applyFont="1" applyFill="1" applyBorder="1"/>
    <xf numFmtId="0" fontId="21" fillId="2" borderId="0" xfId="0" applyFont="1" applyFill="1" applyAlignment="1">
      <alignment horizontal="center"/>
    </xf>
    <xf numFmtId="0" fontId="6" fillId="0" borderId="1" xfId="0" applyFont="1" applyFill="1" applyBorder="1" applyAlignment="1" applyProtection="1">
      <alignment horizontal="center"/>
      <protection locked="0"/>
    </xf>
    <xf numFmtId="0" fontId="12" fillId="4" borderId="11" xfId="0" applyFont="1" applyFill="1" applyBorder="1"/>
    <xf numFmtId="0" fontId="9" fillId="4" borderId="11" xfId="0" applyFont="1" applyFill="1" applyBorder="1"/>
    <xf numFmtId="0" fontId="0" fillId="4" borderId="11" xfId="0" applyFill="1" applyBorder="1"/>
    <xf numFmtId="0" fontId="0" fillId="0" borderId="0" xfId="0" applyAlignment="1">
      <alignment horizontal="right"/>
    </xf>
    <xf numFmtId="0" fontId="3" fillId="4" borderId="1" xfId="0" applyFont="1" applyFill="1" applyBorder="1" applyAlignment="1">
      <alignment horizontal="center"/>
    </xf>
    <xf numFmtId="0" fontId="24" fillId="0" borderId="0" xfId="0" applyFont="1" applyAlignment="1">
      <alignment vertical="center" wrapText="1"/>
    </xf>
    <xf numFmtId="0" fontId="14" fillId="4" borderId="0" xfId="0" applyFont="1" applyFill="1" applyBorder="1"/>
    <xf numFmtId="0" fontId="13" fillId="4" borderId="0" xfId="0" applyFont="1" applyFill="1" applyBorder="1"/>
    <xf numFmtId="14" fontId="9" fillId="4" borderId="0" xfId="0" applyNumberFormat="1" applyFont="1" applyFill="1" applyBorder="1" applyAlignment="1">
      <alignment horizontal="left"/>
    </xf>
    <xf numFmtId="0" fontId="0" fillId="4" borderId="0" xfId="0" applyFill="1"/>
    <xf numFmtId="170" fontId="2" fillId="4" borderId="0" xfId="21" applyNumberFormat="1" applyFont="1" applyFill="1" applyBorder="1"/>
    <xf numFmtId="0" fontId="15" fillId="4" borderId="0" xfId="0" applyFont="1" applyFill="1"/>
    <xf numFmtId="3" fontId="8" fillId="4" borderId="0" xfId="0" applyNumberFormat="1" applyFont="1" applyFill="1"/>
    <xf numFmtId="0" fontId="15" fillId="4" borderId="11" xfId="0" applyFont="1" applyFill="1" applyBorder="1"/>
    <xf numFmtId="3" fontId="8" fillId="4" borderId="11" xfId="0" applyNumberFormat="1" applyFont="1" applyFill="1" applyBorder="1"/>
    <xf numFmtId="0" fontId="6" fillId="4" borderId="11" xfId="0" applyFont="1" applyFill="1" applyBorder="1"/>
    <xf numFmtId="44" fontId="8" fillId="4" borderId="11" xfId="10" applyFont="1" applyFill="1" applyBorder="1"/>
    <xf numFmtId="0" fontId="0" fillId="4" borderId="12" xfId="0" applyFill="1" applyBorder="1"/>
    <xf numFmtId="0" fontId="0" fillId="4" borderId="0" xfId="0" applyNumberFormat="1" applyFill="1" applyBorder="1" applyAlignment="1">
      <alignment horizontal="center"/>
    </xf>
    <xf numFmtId="0" fontId="30" fillId="4" borderId="0" xfId="0" applyNumberFormat="1" applyFont="1" applyFill="1" applyAlignment="1">
      <alignment horizontal="center"/>
    </xf>
    <xf numFmtId="44" fontId="1" fillId="0" borderId="1" xfId="10" applyNumberFormat="1" applyFont="1" applyFill="1" applyBorder="1"/>
    <xf numFmtId="44" fontId="1" fillId="0" borderId="1" xfId="10" applyNumberFormat="1" applyFill="1" applyBorder="1"/>
    <xf numFmtId="17" fontId="16" fillId="4" borderId="0" xfId="0" quotePrefix="1" applyNumberFormat="1" applyFont="1" applyFill="1" applyBorder="1" applyAlignment="1">
      <alignment horizontal="center"/>
    </xf>
    <xf numFmtId="175" fontId="1" fillId="0" borderId="1" xfId="10" applyNumberFormat="1" applyFill="1" applyBorder="1"/>
    <xf numFmtId="0" fontId="3" fillId="4" borderId="0" xfId="0" applyFont="1" applyFill="1" applyBorder="1"/>
    <xf numFmtId="3" fontId="3" fillId="4" borderId="0" xfId="0" applyNumberFormat="1" applyFont="1" applyFill="1" applyBorder="1"/>
    <xf numFmtId="0" fontId="17" fillId="4" borderId="0" xfId="0" applyFont="1" applyFill="1" applyBorder="1"/>
    <xf numFmtId="44" fontId="12" fillId="4" borderId="0" xfId="0" applyNumberFormat="1" applyFont="1" applyFill="1" applyBorder="1" applyAlignment="1">
      <alignment horizontal="center"/>
    </xf>
    <xf numFmtId="0" fontId="3" fillId="4" borderId="11" xfId="0" applyFont="1" applyFill="1" applyBorder="1"/>
    <xf numFmtId="3" fontId="3" fillId="4" borderId="11" xfId="0" applyNumberFormat="1" applyFont="1" applyFill="1" applyBorder="1"/>
    <xf numFmtId="0" fontId="17" fillId="4" borderId="11" xfId="0" applyFont="1" applyFill="1" applyBorder="1"/>
    <xf numFmtId="0" fontId="0" fillId="4" borderId="11" xfId="0" applyNumberFormat="1" applyFill="1" applyBorder="1" applyAlignment="1">
      <alignment horizontal="center"/>
    </xf>
    <xf numFmtId="0" fontId="0" fillId="0" borderId="0" xfId="0" applyNumberFormat="1" applyAlignment="1">
      <alignment horizontal="center"/>
    </xf>
    <xf numFmtId="165" fontId="1" fillId="4" borderId="0" xfId="21" applyNumberFormat="1" applyFill="1" applyBorder="1"/>
    <xf numFmtId="0" fontId="31" fillId="4" borderId="0" xfId="0" applyFont="1" applyFill="1" applyBorder="1"/>
    <xf numFmtId="177" fontId="1" fillId="0" borderId="1" xfId="10" applyNumberFormat="1" applyFill="1" applyBorder="1"/>
    <xf numFmtId="171" fontId="0" fillId="0" borderId="1" xfId="0" applyNumberFormat="1" applyFill="1" applyBorder="1" applyAlignment="1">
      <alignment horizontal="right"/>
    </xf>
    <xf numFmtId="0" fontId="12" fillId="4" borderId="0" xfId="0" applyFont="1" applyFill="1" applyBorder="1"/>
    <xf numFmtId="3" fontId="14" fillId="4" borderId="0" xfId="0" applyNumberFormat="1" applyFont="1" applyFill="1"/>
    <xf numFmtId="3" fontId="32" fillId="4" borderId="0" xfId="0" applyNumberFormat="1" applyFont="1" applyFill="1" applyBorder="1"/>
    <xf numFmtId="0" fontId="14" fillId="4" borderId="0" xfId="0" applyFont="1" applyFill="1" applyBorder="1" applyAlignment="1">
      <alignment horizontal="center"/>
    </xf>
    <xf numFmtId="0" fontId="32" fillId="4" borderId="0" xfId="0" applyFont="1" applyFill="1"/>
    <xf numFmtId="17" fontId="32" fillId="4" borderId="0" xfId="0" quotePrefix="1" applyNumberFormat="1" applyFont="1" applyFill="1" applyBorder="1" applyAlignment="1">
      <alignment horizontal="center"/>
    </xf>
    <xf numFmtId="0" fontId="14" fillId="4" borderId="11" xfId="0" applyFont="1" applyFill="1" applyBorder="1"/>
    <xf numFmtId="44" fontId="14" fillId="4" borderId="11" xfId="0" applyNumberFormat="1" applyFont="1" applyFill="1" applyBorder="1" applyAlignment="1">
      <alignment horizontal="center"/>
    </xf>
    <xf numFmtId="44" fontId="14" fillId="4" borderId="11" xfId="10" applyNumberFormat="1" applyFont="1" applyFill="1" applyBorder="1"/>
    <xf numFmtId="175" fontId="1" fillId="4" borderId="0" xfId="10" applyNumberFormat="1" applyFont="1" applyFill="1" applyBorder="1"/>
    <xf numFmtId="44" fontId="3" fillId="4" borderId="0" xfId="10" applyFont="1" applyFill="1" applyBorder="1"/>
    <xf numFmtId="44" fontId="14" fillId="4" borderId="0" xfId="10" applyFont="1" applyFill="1" applyBorder="1"/>
    <xf numFmtId="39" fontId="3" fillId="4" borderId="0" xfId="0" applyNumberFormat="1" applyFont="1" applyFill="1"/>
    <xf numFmtId="170" fontId="3" fillId="0" borderId="0" xfId="21" applyNumberFormat="1" applyFont="1"/>
    <xf numFmtId="183" fontId="0" fillId="4" borderId="0" xfId="0" applyNumberFormat="1" applyFill="1" applyBorder="1"/>
    <xf numFmtId="0" fontId="9" fillId="4" borderId="0" xfId="0" applyFont="1" applyFill="1" applyBorder="1" applyAlignment="1">
      <alignment horizontal="left"/>
    </xf>
    <xf numFmtId="7" fontId="3" fillId="0" borderId="0" xfId="10" applyNumberFormat="1" applyFont="1" applyBorder="1"/>
    <xf numFmtId="44" fontId="0" fillId="0" borderId="1" xfId="0" applyNumberFormat="1" applyFill="1" applyBorder="1" applyAlignment="1">
      <alignment horizontal="right"/>
    </xf>
    <xf numFmtId="0" fontId="10" fillId="4" borderId="0" xfId="0" applyFont="1" applyFill="1" applyAlignment="1"/>
    <xf numFmtId="0" fontId="11" fillId="0" borderId="0" xfId="0" applyFont="1" applyAlignment="1"/>
    <xf numFmtId="44" fontId="29" fillId="0" borderId="0" xfId="0" applyNumberFormat="1" applyFont="1" applyAlignment="1"/>
    <xf numFmtId="0" fontId="34" fillId="0" borderId="0" xfId="0" applyFont="1"/>
    <xf numFmtId="164" fontId="1" fillId="0" borderId="1" xfId="10" applyNumberFormat="1" applyFill="1" applyBorder="1"/>
    <xf numFmtId="183" fontId="2" fillId="4" borderId="0" xfId="0" applyNumberFormat="1" applyFont="1" applyFill="1" applyBorder="1" applyAlignment="1">
      <alignment horizontal="center"/>
    </xf>
    <xf numFmtId="0" fontId="10" fillId="0" borderId="0" xfId="0" applyFont="1" applyAlignment="1"/>
    <xf numFmtId="0" fontId="24" fillId="0" borderId="8" xfId="0" applyFont="1" applyBorder="1" applyAlignment="1">
      <alignment vertical="center" wrapText="1"/>
    </xf>
    <xf numFmtId="181" fontId="1" fillId="0" borderId="1" xfId="10" applyNumberFormat="1" applyFill="1" applyBorder="1"/>
    <xf numFmtId="168" fontId="15" fillId="0" borderId="0" xfId="0" applyNumberFormat="1" applyFont="1" applyAlignment="1"/>
    <xf numFmtId="184" fontId="0" fillId="0" borderId="0" xfId="0" applyNumberFormat="1"/>
    <xf numFmtId="7" fontId="3" fillId="0" borderId="0" xfId="0" applyNumberFormat="1" applyFont="1"/>
    <xf numFmtId="44" fontId="0" fillId="0" borderId="1" xfId="10" applyFont="1" applyFill="1" applyBorder="1"/>
    <xf numFmtId="0" fontId="2" fillId="4" borderId="0" xfId="0" applyFont="1" applyFill="1" applyBorder="1"/>
    <xf numFmtId="182" fontId="6" fillId="0" borderId="1" xfId="1" applyNumberFormat="1" applyFont="1" applyFill="1" applyBorder="1" applyProtection="1">
      <protection locked="0"/>
    </xf>
    <xf numFmtId="185" fontId="8" fillId="0" borderId="0" xfId="0" applyNumberFormat="1" applyFont="1" applyFill="1"/>
    <xf numFmtId="0" fontId="2" fillId="2" borderId="0" xfId="0" applyFont="1" applyFill="1" applyProtection="1">
      <protection locked="0"/>
    </xf>
    <xf numFmtId="0" fontId="2" fillId="2" borderId="0" xfId="0" applyFont="1" applyFill="1" applyProtection="1">
      <protection locked="0" hidden="1"/>
    </xf>
    <xf numFmtId="6" fontId="2" fillId="2" borderId="0" xfId="0" applyNumberFormat="1" applyFont="1" applyFill="1"/>
    <xf numFmtId="0" fontId="1" fillId="2" borderId="0" xfId="0" applyFont="1" applyFill="1"/>
    <xf numFmtId="0" fontId="23" fillId="0" borderId="0" xfId="19" applyAlignment="1" applyProtection="1"/>
    <xf numFmtId="0" fontId="0" fillId="2" borderId="0" xfId="0" applyFill="1" applyAlignment="1">
      <alignment horizontal="right"/>
    </xf>
    <xf numFmtId="0" fontId="6" fillId="5" borderId="0" xfId="0" applyFont="1" applyFill="1"/>
    <xf numFmtId="184" fontId="0" fillId="4" borderId="0" xfId="0" applyNumberFormat="1" applyFill="1" applyBorder="1"/>
    <xf numFmtId="184" fontId="0" fillId="4" borderId="0" xfId="0" applyNumberFormat="1" applyFill="1" applyBorder="1" applyAlignment="1">
      <alignment horizontal="right"/>
    </xf>
    <xf numFmtId="183" fontId="0" fillId="0" borderId="0" xfId="0" applyNumberFormat="1"/>
    <xf numFmtId="0" fontId="8" fillId="2" borderId="0" xfId="0" applyFont="1" applyFill="1"/>
    <xf numFmtId="17" fontId="28" fillId="2" borderId="0" xfId="0" applyNumberFormat="1" applyFont="1" applyFill="1" applyBorder="1" applyAlignment="1">
      <alignment horizontal="left"/>
    </xf>
    <xf numFmtId="179" fontId="0" fillId="2" borderId="0" xfId="0" applyNumberFormat="1" applyFill="1"/>
    <xf numFmtId="0" fontId="0" fillId="0" borderId="0" xfId="0" applyFill="1"/>
    <xf numFmtId="0" fontId="2" fillId="0" borderId="0" xfId="0" applyFont="1" applyAlignment="1">
      <alignment horizontal="right"/>
    </xf>
    <xf numFmtId="44" fontId="37" fillId="0" borderId="0" xfId="10" applyFont="1"/>
    <xf numFmtId="3" fontId="2" fillId="2" borderId="0" xfId="0" applyNumberFormat="1" applyFont="1" applyFill="1"/>
    <xf numFmtId="2" fontId="38" fillId="2" borderId="0" xfId="0" applyNumberFormat="1" applyFont="1" applyFill="1"/>
    <xf numFmtId="0" fontId="2" fillId="2" borderId="0" xfId="0" applyFont="1" applyFill="1"/>
    <xf numFmtId="8" fontId="2" fillId="2" borderId="0" xfId="0" applyNumberFormat="1" applyFont="1" applyFill="1" applyAlignment="1">
      <alignment horizontal="right"/>
    </xf>
    <xf numFmtId="170" fontId="3" fillId="2" borderId="0" xfId="0" applyNumberFormat="1" applyFont="1" applyFill="1" applyAlignment="1">
      <alignment horizontal="center"/>
    </xf>
    <xf numFmtId="0" fontId="2" fillId="2" borderId="0" xfId="0" applyFont="1" applyFill="1" applyAlignment="1" applyProtection="1">
      <alignment horizontal="center"/>
      <protection hidden="1"/>
    </xf>
    <xf numFmtId="0" fontId="2" fillId="2" borderId="0" xfId="0" applyFont="1" applyFill="1" applyAlignment="1" applyProtection="1">
      <alignment horizontal="left"/>
      <protection locked="0"/>
    </xf>
    <xf numFmtId="0" fontId="20" fillId="2" borderId="0" xfId="0" applyFont="1" applyFill="1"/>
    <xf numFmtId="175" fontId="0" fillId="0" borderId="1" xfId="0" applyNumberFormat="1" applyFill="1" applyBorder="1" applyAlignment="1">
      <alignment horizontal="right"/>
    </xf>
    <xf numFmtId="165" fontId="0" fillId="0" borderId="1" xfId="21" applyNumberFormat="1" applyFont="1" applyFill="1" applyBorder="1" applyAlignment="1">
      <alignment horizontal="right"/>
    </xf>
    <xf numFmtId="186" fontId="1" fillId="0" borderId="1" xfId="10" applyNumberFormat="1" applyFill="1" applyBorder="1"/>
    <xf numFmtId="0" fontId="0" fillId="2" borderId="0" xfId="0" applyFill="1" applyAlignment="1">
      <alignment horizontal="left"/>
    </xf>
    <xf numFmtId="0" fontId="0" fillId="4" borderId="0" xfId="0" applyFont="1" applyFill="1" applyBorder="1"/>
    <xf numFmtId="0" fontId="45" fillId="0" borderId="0" xfId="0" applyFont="1" applyAlignment="1">
      <alignment horizontal="left"/>
    </xf>
    <xf numFmtId="39" fontId="45" fillId="4" borderId="0" xfId="0" applyNumberFormat="1" applyFont="1" applyFill="1"/>
    <xf numFmtId="14" fontId="2" fillId="2" borderId="0" xfId="0" applyNumberFormat="1" applyFont="1" applyFill="1"/>
    <xf numFmtId="14" fontId="16" fillId="4" borderId="0" xfId="0" quotePrefix="1" applyNumberFormat="1" applyFont="1" applyFill="1" applyBorder="1" applyAlignment="1">
      <alignment horizontal="center"/>
    </xf>
    <xf numFmtId="183" fontId="16" fillId="4" borderId="0" xfId="0" quotePrefix="1" applyNumberFormat="1" applyFont="1" applyFill="1" applyBorder="1" applyAlignment="1">
      <alignment horizontal="center"/>
    </xf>
    <xf numFmtId="175" fontId="42" fillId="0" borderId="1" xfId="11" applyNumberFormat="1" applyFill="1" applyBorder="1"/>
    <xf numFmtId="0" fontId="46" fillId="2" borderId="0" xfId="0" applyFont="1" applyFill="1" applyAlignment="1" applyProtection="1">
      <alignment horizontal="left"/>
      <protection locked="0"/>
    </xf>
    <xf numFmtId="0" fontId="2" fillId="4" borderId="0" xfId="0" applyFont="1" applyFill="1" applyAlignment="1">
      <alignment horizontal="center"/>
    </xf>
    <xf numFmtId="44" fontId="1" fillId="6" borderId="1" xfId="10" applyFill="1" applyBorder="1"/>
    <xf numFmtId="175" fontId="0" fillId="0" borderId="1" xfId="10" applyNumberFormat="1" applyFont="1" applyFill="1" applyBorder="1" applyAlignment="1">
      <alignment horizontal="right"/>
    </xf>
    <xf numFmtId="17" fontId="21" fillId="2" borderId="13" xfId="0" applyNumberFormat="1" applyFont="1" applyFill="1" applyBorder="1" applyAlignment="1">
      <alignment horizontal="center"/>
    </xf>
    <xf numFmtId="0" fontId="0" fillId="4" borderId="0" xfId="0" applyFill="1" applyBorder="1" applyAlignment="1">
      <alignment horizontal="center" vertical="center"/>
    </xf>
    <xf numFmtId="0" fontId="0" fillId="0" borderId="0" xfId="0" applyAlignment="1">
      <alignment horizontal="center" vertical="center"/>
    </xf>
    <xf numFmtId="17" fontId="21" fillId="2" borderId="13" xfId="0" applyNumberFormat="1" applyFont="1" applyFill="1" applyBorder="1" applyAlignment="1"/>
    <xf numFmtId="0" fontId="47" fillId="2" borderId="0" xfId="0" applyFont="1" applyFill="1" applyAlignment="1">
      <alignment horizontal="left" vertical="center" wrapText="1"/>
    </xf>
    <xf numFmtId="6" fontId="46" fillId="2" borderId="0" xfId="0" applyNumberFormat="1" applyFont="1" applyFill="1" applyAlignment="1">
      <alignment horizontal="left"/>
    </xf>
    <xf numFmtId="7" fontId="0" fillId="0" borderId="1" xfId="0" applyNumberFormat="1" applyFill="1" applyBorder="1" applyAlignment="1">
      <alignment horizontal="right"/>
    </xf>
    <xf numFmtId="44" fontId="0" fillId="0" borderId="1" xfId="10" applyFont="1" applyFill="1" applyBorder="1" applyAlignment="1">
      <alignment horizontal="right"/>
    </xf>
    <xf numFmtId="7" fontId="1" fillId="0" borderId="1" xfId="10" applyNumberFormat="1" applyFill="1" applyBorder="1"/>
    <xf numFmtId="41" fontId="15" fillId="4" borderId="0" xfId="0" applyNumberFormat="1" applyFont="1" applyFill="1"/>
    <xf numFmtId="0" fontId="48" fillId="0" borderId="0" xfId="0" applyFont="1"/>
    <xf numFmtId="175" fontId="0" fillId="0" borderId="1" xfId="10" applyNumberFormat="1" applyFont="1" applyFill="1" applyBorder="1"/>
    <xf numFmtId="188" fontId="16" fillId="4" borderId="0" xfId="0" quotePrefix="1" applyNumberFormat="1" applyFont="1" applyFill="1" applyBorder="1" applyAlignment="1">
      <alignment horizontal="center"/>
    </xf>
    <xf numFmtId="175" fontId="0" fillId="0" borderId="1" xfId="12" applyNumberFormat="1" applyFont="1" applyFill="1" applyBorder="1"/>
    <xf numFmtId="44" fontId="0" fillId="0" borderId="1" xfId="12" applyFont="1" applyFill="1" applyBorder="1"/>
    <xf numFmtId="168" fontId="15" fillId="0" borderId="0" xfId="0" applyNumberFormat="1" applyFont="1" applyAlignment="1">
      <alignment horizontal="left"/>
    </xf>
    <xf numFmtId="0" fontId="3" fillId="0" borderId="1" xfId="0" applyFont="1" applyBorder="1" applyAlignment="1">
      <alignment horizontal="center"/>
    </xf>
    <xf numFmtId="0" fontId="14" fillId="0" borderId="11" xfId="0" applyFont="1" applyBorder="1"/>
    <xf numFmtId="175" fontId="1" fillId="0" borderId="0" xfId="10" applyNumberFormat="1" applyFont="1" applyFill="1" applyBorder="1"/>
    <xf numFmtId="14" fontId="0" fillId="0" borderId="0" xfId="0" applyNumberFormat="1" applyFill="1" applyBorder="1"/>
    <xf numFmtId="0" fontId="2" fillId="0" borderId="19" xfId="0" applyFont="1" applyBorder="1" applyAlignment="1">
      <alignment horizontal="right"/>
    </xf>
    <xf numFmtId="0" fontId="2" fillId="0" borderId="0" xfId="0" applyFont="1" applyBorder="1" applyAlignment="1">
      <alignment horizontal="right"/>
    </xf>
    <xf numFmtId="168" fontId="15" fillId="0" borderId="0" xfId="0" applyNumberFormat="1" applyFont="1" applyAlignment="1">
      <alignment horizontal="center" vertical="center"/>
    </xf>
    <xf numFmtId="0" fontId="45" fillId="0" borderId="0" xfId="0" applyFont="1" applyBorder="1" applyAlignment="1">
      <alignment horizontal="left"/>
    </xf>
    <xf numFmtId="0" fontId="0" fillId="0" borderId="0" xfId="0" applyFill="1" applyBorder="1"/>
    <xf numFmtId="168" fontId="15" fillId="0" borderId="0" xfId="0" applyNumberFormat="1" applyFont="1" applyAlignment="1">
      <alignment horizontal="left"/>
    </xf>
    <xf numFmtId="0" fontId="15" fillId="4" borderId="0" xfId="0" applyFont="1" applyFill="1" applyBorder="1"/>
    <xf numFmtId="173" fontId="0" fillId="0" borderId="1" xfId="10" applyNumberFormat="1" applyFont="1" applyBorder="1"/>
    <xf numFmtId="173" fontId="0" fillId="0" borderId="1" xfId="0" applyNumberFormat="1" applyBorder="1"/>
    <xf numFmtId="0" fontId="2" fillId="4" borderId="0" xfId="0" applyFont="1" applyFill="1" applyBorder="1" applyAlignment="1">
      <alignment horizontal="center"/>
    </xf>
    <xf numFmtId="168" fontId="15" fillId="0" borderId="0" xfId="0" applyNumberFormat="1" applyFont="1" applyAlignment="1">
      <alignment horizontal="left"/>
    </xf>
    <xf numFmtId="0" fontId="3" fillId="0" borderId="1" xfId="0" applyFont="1" applyBorder="1" applyAlignment="1">
      <alignment horizontal="center"/>
    </xf>
    <xf numFmtId="0" fontId="14" fillId="0" borderId="11" xfId="0" applyFont="1" applyBorder="1"/>
    <xf numFmtId="176" fontId="8" fillId="0" borderId="0" xfId="0" applyNumberFormat="1" applyFont="1" applyFill="1"/>
    <xf numFmtId="14" fontId="1" fillId="2" borderId="0" xfId="0" applyNumberFormat="1" applyFont="1" applyFill="1"/>
    <xf numFmtId="0" fontId="1" fillId="0" borderId="0" xfId="0" applyFont="1"/>
    <xf numFmtId="0" fontId="1" fillId="0" borderId="0" xfId="0" applyFont="1" applyAlignment="1">
      <alignment horizontal="right"/>
    </xf>
    <xf numFmtId="189" fontId="6" fillId="0" borderId="1" xfId="1" applyNumberFormat="1" applyFont="1" applyFill="1" applyBorder="1" applyProtection="1">
      <protection locked="0"/>
    </xf>
    <xf numFmtId="44" fontId="3" fillId="0" borderId="0" xfId="10" applyNumberFormat="1" applyFont="1" applyBorder="1"/>
    <xf numFmtId="9" fontId="0" fillId="4" borderId="0" xfId="21" applyFont="1" applyFill="1" applyBorder="1"/>
    <xf numFmtId="175" fontId="2" fillId="0" borderId="0" xfId="10" applyNumberFormat="1" applyFont="1" applyFill="1" applyBorder="1" applyAlignment="1">
      <alignment horizontal="center"/>
    </xf>
    <xf numFmtId="175" fontId="0" fillId="0" borderId="0" xfId="10" applyNumberFormat="1" applyFont="1" applyFill="1" applyBorder="1" applyAlignment="1">
      <alignment horizontal="center"/>
    </xf>
    <xf numFmtId="0" fontId="16" fillId="0" borderId="0" xfId="30" applyFont="1"/>
    <xf numFmtId="0" fontId="16" fillId="0" borderId="0" xfId="30" applyFont="1" applyAlignment="1">
      <alignment vertical="center" wrapText="1"/>
    </xf>
    <xf numFmtId="0" fontId="17" fillId="0" borderId="0" xfId="30" applyFont="1" applyAlignment="1">
      <alignment vertical="center" wrapText="1"/>
    </xf>
    <xf numFmtId="0" fontId="52" fillId="0" borderId="0" xfId="30" applyFont="1" applyAlignment="1">
      <alignment vertical="center"/>
    </xf>
    <xf numFmtId="0" fontId="17" fillId="4" borderId="0" xfId="30" applyFont="1" applyFill="1" applyAlignment="1">
      <alignment vertical="center" wrapText="1"/>
    </xf>
    <xf numFmtId="0" fontId="16" fillId="4" borderId="0" xfId="30" applyFont="1" applyFill="1" applyAlignment="1">
      <alignment vertical="center" wrapText="1"/>
    </xf>
    <xf numFmtId="0" fontId="1" fillId="0" borderId="0" xfId="30"/>
    <xf numFmtId="0" fontId="2" fillId="0" borderId="0" xfId="0" applyFont="1" applyFill="1" applyAlignment="1">
      <alignment horizontal="right"/>
    </xf>
    <xf numFmtId="0" fontId="9" fillId="0" borderId="0" xfId="0" applyFont="1" applyFill="1"/>
    <xf numFmtId="0" fontId="0" fillId="0" borderId="0" xfId="0" applyFill="1" applyAlignment="1">
      <alignment horizontal="right"/>
    </xf>
    <xf numFmtId="3" fontId="47" fillId="0" borderId="1" xfId="0" applyNumberFormat="1" applyFont="1" applyBorder="1" applyProtection="1">
      <protection locked="0"/>
    </xf>
    <xf numFmtId="0" fontId="3" fillId="0" borderId="0" xfId="0" applyFont="1" applyFill="1" applyBorder="1" applyAlignment="1">
      <alignment horizontal="center"/>
    </xf>
    <xf numFmtId="0" fontId="3" fillId="0" borderId="0" xfId="0" applyFont="1" applyBorder="1" applyAlignment="1">
      <alignment horizontal="center"/>
    </xf>
    <xf numFmtId="175" fontId="1" fillId="0" borderId="0" xfId="10" applyNumberFormat="1" applyFill="1" applyBorder="1"/>
    <xf numFmtId="173" fontId="1" fillId="0" borderId="0" xfId="10" applyNumberFormat="1" applyFill="1" applyBorder="1"/>
    <xf numFmtId="171" fontId="1" fillId="0" borderId="0" xfId="21" applyNumberFormat="1" applyFont="1" applyFill="1" applyBorder="1" applyAlignment="1">
      <alignment horizontal="right"/>
    </xf>
    <xf numFmtId="0" fontId="43" fillId="0" borderId="0" xfId="0" applyFont="1" applyFill="1" applyBorder="1" applyAlignment="1">
      <alignment horizontal="center"/>
    </xf>
    <xf numFmtId="0" fontId="1" fillId="0" borderId="0" xfId="0" applyFont="1" applyBorder="1"/>
    <xf numFmtId="0" fontId="9" fillId="0" borderId="0" xfId="0" applyFont="1" applyFill="1" applyBorder="1" applyAlignment="1">
      <alignment horizontal="center"/>
    </xf>
    <xf numFmtId="44" fontId="1" fillId="0" borderId="0" xfId="10" applyNumberFormat="1" applyFill="1" applyBorder="1"/>
    <xf numFmtId="165" fontId="1" fillId="0" borderId="0" xfId="21" applyNumberFormat="1" applyFill="1" applyBorder="1"/>
    <xf numFmtId="14" fontId="0" fillId="0" borderId="0" xfId="0" applyNumberFormat="1" applyBorder="1"/>
    <xf numFmtId="44" fontId="0" fillId="0" borderId="0" xfId="12" applyFont="1" applyFill="1" applyBorder="1"/>
    <xf numFmtId="44" fontId="0" fillId="0" borderId="0" xfId="10" applyFont="1" applyFill="1" applyBorder="1"/>
    <xf numFmtId="165" fontId="0" fillId="0" borderId="0" xfId="21" applyNumberFormat="1" applyFont="1" applyFill="1" applyBorder="1"/>
    <xf numFmtId="165" fontId="2" fillId="0" borderId="0" xfId="0" applyNumberFormat="1" applyFont="1" applyFill="1" applyBorder="1" applyAlignment="1">
      <alignment horizontal="center"/>
    </xf>
    <xf numFmtId="171" fontId="2" fillId="0" borderId="0" xfId="21" applyNumberFormat="1" applyFont="1" applyBorder="1" applyAlignment="1">
      <alignment horizontal="center"/>
    </xf>
    <xf numFmtId="0" fontId="0" fillId="0" borderId="0" xfId="0" applyFill="1" applyBorder="1" applyAlignment="1">
      <alignment horizontal="center" vertical="center"/>
    </xf>
    <xf numFmtId="175" fontId="0" fillId="0" borderId="0" xfId="10" applyNumberFormat="1" applyFont="1" applyFill="1" applyBorder="1" applyAlignment="1">
      <alignment horizontal="center" vertical="center"/>
    </xf>
    <xf numFmtId="187" fontId="6" fillId="0" borderId="0" xfId="10" applyNumberFormat="1" applyFont="1" applyFill="1" applyBorder="1" applyAlignment="1">
      <alignment horizontal="center"/>
    </xf>
    <xf numFmtId="43" fontId="1" fillId="0" borderId="1" xfId="1" applyFill="1" applyBorder="1"/>
    <xf numFmtId="175" fontId="1" fillId="0" borderId="0" xfId="31" applyNumberFormat="1" applyFill="1" applyBorder="1"/>
    <xf numFmtId="175" fontId="1" fillId="0" borderId="0" xfId="31" applyNumberFormat="1" applyFont="1" applyFill="1" applyBorder="1"/>
    <xf numFmtId="14" fontId="0" fillId="0" borderId="0" xfId="0" applyNumberFormat="1" applyBorder="1" applyAlignment="1">
      <alignment horizontal="center" vertical="center"/>
    </xf>
    <xf numFmtId="175" fontId="0" fillId="0" borderId="0" xfId="10" applyNumberFormat="1" applyFont="1" applyBorder="1"/>
    <xf numFmtId="7" fontId="2" fillId="0" borderId="0" xfId="0" applyNumberFormat="1" applyFont="1" applyFill="1" applyBorder="1" applyAlignment="1">
      <alignment horizontal="center"/>
    </xf>
    <xf numFmtId="175" fontId="1" fillId="0" borderId="0" xfId="10" applyNumberFormat="1" applyFont="1" applyFill="1" applyBorder="1" applyAlignment="1">
      <alignment horizontal="center" vertical="center"/>
    </xf>
    <xf numFmtId="175" fontId="0" fillId="0" borderId="0" xfId="0" applyNumberFormat="1" applyFill="1" applyBorder="1" applyAlignment="1">
      <alignment horizontal="center" vertical="center"/>
    </xf>
    <xf numFmtId="174" fontId="0" fillId="0" borderId="0" xfId="0" applyNumberFormat="1" applyFill="1" applyBorder="1" applyAlignment="1">
      <alignment horizontal="center" vertical="center"/>
    </xf>
    <xf numFmtId="165" fontId="1" fillId="0" borderId="0" xfId="21" applyNumberFormat="1" applyFont="1" applyFill="1" applyBorder="1"/>
    <xf numFmtId="14" fontId="1" fillId="0" borderId="0" xfId="0" applyNumberFormat="1" applyFont="1" applyBorder="1" applyAlignment="1">
      <alignment horizontal="right"/>
    </xf>
    <xf numFmtId="168" fontId="15" fillId="0" borderId="0" xfId="0" applyNumberFormat="1" applyFont="1" applyAlignment="1">
      <alignment horizontal="left"/>
    </xf>
    <xf numFmtId="0" fontId="3" fillId="0" borderId="1" xfId="0" applyFont="1" applyBorder="1" applyAlignment="1">
      <alignment horizontal="center"/>
    </xf>
    <xf numFmtId="0" fontId="7" fillId="2" borderId="0" xfId="0" applyFont="1" applyFill="1" applyAlignment="1">
      <alignment horizontal="center"/>
    </xf>
    <xf numFmtId="0" fontId="22" fillId="2" borderId="0" xfId="0" applyFont="1" applyFill="1" applyAlignment="1">
      <alignment vertical="center" wrapText="1"/>
    </xf>
    <xf numFmtId="0" fontId="26" fillId="2" borderId="0" xfId="0" applyFont="1" applyFill="1" applyAlignment="1">
      <alignment horizontal="center"/>
    </xf>
    <xf numFmtId="0" fontId="27" fillId="2" borderId="0" xfId="0" applyFont="1" applyFill="1" applyAlignment="1">
      <alignment horizontal="center"/>
    </xf>
    <xf numFmtId="0" fontId="3" fillId="2" borderId="0" xfId="0" applyFont="1" applyFill="1" applyAlignment="1">
      <alignment horizontal="center"/>
    </xf>
    <xf numFmtId="0" fontId="0" fillId="2" borderId="0" xfId="0" applyFill="1" applyAlignment="1">
      <alignment horizontal="center"/>
    </xf>
    <xf numFmtId="0" fontId="8" fillId="2" borderId="0" xfId="0" applyFont="1" applyFill="1"/>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44" fontId="33" fillId="0" borderId="14" xfId="10" applyFont="1" applyFill="1" applyBorder="1" applyProtection="1">
      <protection locked="0"/>
    </xf>
    <xf numFmtId="44" fontId="33" fillId="0" borderId="13" xfId="10" applyFont="1" applyFill="1" applyBorder="1" applyProtection="1">
      <protection locked="0"/>
    </xf>
    <xf numFmtId="44" fontId="33" fillId="0" borderId="15" xfId="10" applyFont="1" applyFill="1" applyBorder="1" applyProtection="1">
      <protection locked="0"/>
    </xf>
    <xf numFmtId="0" fontId="6" fillId="0" borderId="13" xfId="0" applyFont="1" applyFill="1" applyBorder="1" applyAlignment="1" applyProtection="1">
      <alignment horizontal="left"/>
      <protection locked="0"/>
    </xf>
    <xf numFmtId="0" fontId="24" fillId="0" borderId="0" xfId="0" applyFont="1" applyAlignment="1">
      <alignment vertical="center" wrapText="1"/>
    </xf>
    <xf numFmtId="0" fontId="6" fillId="0" borderId="0" xfId="0" applyFont="1" applyBorder="1" applyAlignment="1">
      <alignment horizontal="center"/>
    </xf>
    <xf numFmtId="0" fontId="10" fillId="4" borderId="0" xfId="0" applyFont="1" applyFill="1" applyAlignment="1">
      <alignment horizontal="center"/>
    </xf>
    <xf numFmtId="44" fontId="29" fillId="0" borderId="0" xfId="0" applyNumberFormat="1" applyFont="1" applyAlignment="1">
      <alignment horizontal="center"/>
    </xf>
    <xf numFmtId="0" fontId="3" fillId="4" borderId="14" xfId="0" applyFont="1" applyFill="1" applyBorder="1" applyAlignment="1">
      <alignment horizontal="center"/>
    </xf>
    <xf numFmtId="0" fontId="0" fillId="0" borderId="13" xfId="0" applyBorder="1"/>
    <xf numFmtId="0" fontId="0" fillId="0" borderId="15" xfId="0" applyBorder="1"/>
    <xf numFmtId="0" fontId="0" fillId="4" borderId="14" xfId="0" applyFill="1" applyBorder="1" applyAlignment="1">
      <alignment horizontal="center"/>
    </xf>
    <xf numFmtId="0" fontId="0" fillId="4" borderId="13" xfId="0" applyFill="1" applyBorder="1" applyAlignment="1">
      <alignment horizontal="center"/>
    </xf>
    <xf numFmtId="0" fontId="0" fillId="4" borderId="15" xfId="0" applyFill="1" applyBorder="1" applyAlignment="1">
      <alignment horizontal="center"/>
    </xf>
    <xf numFmtId="168" fontId="15" fillId="0" borderId="0" xfId="0" applyNumberFormat="1" applyFont="1" applyAlignment="1">
      <alignment horizontal="left"/>
    </xf>
    <xf numFmtId="0" fontId="11" fillId="0" borderId="0" xfId="0" applyFont="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1" xfId="0" applyFont="1" applyBorder="1" applyAlignment="1">
      <alignment horizontal="center"/>
    </xf>
    <xf numFmtId="0" fontId="14" fillId="0" borderId="11" xfId="0" applyFont="1" applyBorder="1"/>
    <xf numFmtId="0" fontId="10" fillId="0" borderId="0" xfId="0" applyFont="1" applyAlignment="1">
      <alignment horizontal="center"/>
    </xf>
    <xf numFmtId="0" fontId="11" fillId="0" borderId="0" xfId="0" applyFont="1" applyAlignment="1">
      <alignment horizontal="center"/>
    </xf>
    <xf numFmtId="0" fontId="35" fillId="0" borderId="0" xfId="0" applyFont="1" applyBorder="1" applyAlignment="1">
      <alignment horizontal="center"/>
    </xf>
    <xf numFmtId="168" fontId="15" fillId="0" borderId="0" xfId="0" applyNumberFormat="1" applyFont="1" applyAlignment="1">
      <alignment horizontal="center"/>
    </xf>
    <xf numFmtId="0" fontId="15" fillId="4" borderId="0" xfId="0" applyFont="1" applyFill="1" applyBorder="1"/>
    <xf numFmtId="0" fontId="2"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8" fillId="0" borderId="0" xfId="0" applyFont="1" applyBorder="1" applyAlignment="1">
      <alignment vertical="center"/>
    </xf>
    <xf numFmtId="0" fontId="0" fillId="3" borderId="12"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center"/>
    </xf>
    <xf numFmtId="0" fontId="19" fillId="3" borderId="16" xfId="0" applyFont="1" applyFill="1" applyBorder="1" applyAlignment="1" applyProtection="1">
      <alignment horizontal="center"/>
      <protection locked="0"/>
    </xf>
    <xf numFmtId="0" fontId="19" fillId="3" borderId="17" xfId="0" applyFont="1" applyFill="1" applyBorder="1" applyAlignment="1" applyProtection="1">
      <alignment horizontal="center"/>
      <protection locked="0"/>
    </xf>
    <xf numFmtId="0" fontId="19" fillId="3" borderId="10" xfId="0" applyFont="1" applyFill="1" applyBorder="1" applyAlignment="1" applyProtection="1">
      <alignment horizontal="center"/>
      <protection locked="0"/>
    </xf>
    <xf numFmtId="175" fontId="1" fillId="0" borderId="1" xfId="10" applyNumberFormat="1" applyFont="1" applyFill="1" applyBorder="1"/>
    <xf numFmtId="175" fontId="1" fillId="0" borderId="1" xfId="10" applyNumberFormat="1" applyFont="1" applyFill="1" applyBorder="1" applyAlignment="1">
      <alignment horizontal="center"/>
    </xf>
    <xf numFmtId="165" fontId="42" fillId="0" borderId="1" xfId="22" applyNumberFormat="1" applyFill="1" applyBorder="1"/>
    <xf numFmtId="165" fontId="2" fillId="0" borderId="0" xfId="21" applyNumberFormat="1" applyFont="1" applyFill="1" applyBorder="1" applyAlignment="1">
      <alignment horizontal="center"/>
    </xf>
  </cellXfs>
  <cellStyles count="32">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 4" xfId="7" xr:uid="{00000000-0005-0000-0000-000006000000}"/>
    <cellStyle name="Comma 4 2" xfId="8" xr:uid="{00000000-0005-0000-0000-000007000000}"/>
    <cellStyle name="Comma 5" xfId="9" xr:uid="{00000000-0005-0000-0000-000008000000}"/>
    <cellStyle name="Currency" xfId="10" builtinId="4"/>
    <cellStyle name="Currency 2" xfId="11" xr:uid="{00000000-0005-0000-0000-00000A000000}"/>
    <cellStyle name="Currency 2 2" xfId="12" xr:uid="{00000000-0005-0000-0000-00000B000000}"/>
    <cellStyle name="Currency 2 2 2" xfId="31" xr:uid="{8191BCCD-E66D-4F1C-BD71-EE688599EF0C}"/>
    <cellStyle name="Currency 2 3" xfId="13" xr:uid="{00000000-0005-0000-0000-00000C000000}"/>
    <cellStyle name="Currency 2 4" xfId="14" xr:uid="{00000000-0005-0000-0000-00000D000000}"/>
    <cellStyle name="Currency 3" xfId="15" xr:uid="{00000000-0005-0000-0000-00000E000000}"/>
    <cellStyle name="Currency 4" xfId="16" xr:uid="{00000000-0005-0000-0000-00000F000000}"/>
    <cellStyle name="Currency 4 2" xfId="17" xr:uid="{00000000-0005-0000-0000-000010000000}"/>
    <cellStyle name="Currency 5" xfId="18" xr:uid="{00000000-0005-0000-0000-000011000000}"/>
    <cellStyle name="Hyperlink" xfId="19" builtinId="8"/>
    <cellStyle name="Normal" xfId="0" builtinId="0"/>
    <cellStyle name="Normal 2" xfId="20" xr:uid="{00000000-0005-0000-0000-000014000000}"/>
    <cellStyle name="Normal 3" xfId="30" xr:uid="{E895220D-4858-403C-8DF1-CA522765C759}"/>
    <cellStyle name="Percent" xfId="21" builtinId="5"/>
    <cellStyle name="Percent 2" xfId="22" xr:uid="{00000000-0005-0000-0000-000016000000}"/>
    <cellStyle name="Percent 2 2" xfId="23" xr:uid="{00000000-0005-0000-0000-000017000000}"/>
    <cellStyle name="Percent 2 3" xfId="24" xr:uid="{00000000-0005-0000-0000-000018000000}"/>
    <cellStyle name="Percent 2 4" xfId="25" xr:uid="{00000000-0005-0000-0000-000019000000}"/>
    <cellStyle name="Percent 3" xfId="26" xr:uid="{00000000-0005-0000-0000-00001A000000}"/>
    <cellStyle name="Percent 4" xfId="27" xr:uid="{00000000-0005-0000-0000-00001B000000}"/>
    <cellStyle name="Percent 4 2" xfId="28" xr:uid="{00000000-0005-0000-0000-00001C000000}"/>
    <cellStyle name="Percent 5" xfId="2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C32" lockText="1" noThreeD="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fmlaLink="E16" lockText="1" noThreeD="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67.xml><?xml version="1.0" encoding="utf-8"?>
<formControlPr xmlns="http://schemas.microsoft.com/office/spreadsheetml/2009/9/main" objectType="Button" lockText="1"/>
</file>

<file path=xl/ctrlProps/ctrlProp468.xml><?xml version="1.0" encoding="utf-8"?>
<formControlPr xmlns="http://schemas.microsoft.com/office/spreadsheetml/2009/9/main" objectType="Button" lockText="1"/>
</file>

<file path=xl/ctrlProps/ctrlProp469.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lockText="1"/>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lockText="1"/>
</file>

<file path=xl/ctrlProps/ctrlProp473.xml><?xml version="1.0" encoding="utf-8"?>
<formControlPr xmlns="http://schemas.microsoft.com/office/spreadsheetml/2009/9/main" objectType="Button" lockText="1"/>
</file>

<file path=xl/ctrlProps/ctrlProp474.xml><?xml version="1.0" encoding="utf-8"?>
<formControlPr xmlns="http://schemas.microsoft.com/office/spreadsheetml/2009/9/main" objectType="Button" lockText="1"/>
</file>

<file path=xl/ctrlProps/ctrlProp475.xml><?xml version="1.0" encoding="utf-8"?>
<formControlPr xmlns="http://schemas.microsoft.com/office/spreadsheetml/2009/9/main" objectType="Button" lockText="1"/>
</file>

<file path=xl/ctrlProps/ctrlProp476.xml><?xml version="1.0" encoding="utf-8"?>
<formControlPr xmlns="http://schemas.microsoft.com/office/spreadsheetml/2009/9/main" objectType="Button" lockText="1"/>
</file>

<file path=xl/ctrlProps/ctrlProp477.xml><?xml version="1.0" encoding="utf-8"?>
<formControlPr xmlns="http://schemas.microsoft.com/office/spreadsheetml/2009/9/main" objectType="Button" lockText="1"/>
</file>

<file path=xl/ctrlProps/ctrlProp478.xml><?xml version="1.0" encoding="utf-8"?>
<formControlPr xmlns="http://schemas.microsoft.com/office/spreadsheetml/2009/9/main" objectType="Button" lockText="1"/>
</file>

<file path=xl/ctrlProps/ctrlProp479.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80.xml><?xml version="1.0" encoding="utf-8"?>
<formControlPr xmlns="http://schemas.microsoft.com/office/spreadsheetml/2009/9/main" objectType="Button" lockText="1"/>
</file>

<file path=xl/ctrlProps/ctrlProp481.xml><?xml version="1.0" encoding="utf-8"?>
<formControlPr xmlns="http://schemas.microsoft.com/office/spreadsheetml/2009/9/main" objectType="Button" lockText="1"/>
</file>

<file path=xl/ctrlProps/ctrlProp482.xml><?xml version="1.0" encoding="utf-8"?>
<formControlPr xmlns="http://schemas.microsoft.com/office/spreadsheetml/2009/9/main" objectType="Button" lockText="1"/>
</file>

<file path=xl/ctrlProps/ctrlProp483.xml><?xml version="1.0" encoding="utf-8"?>
<formControlPr xmlns="http://schemas.microsoft.com/office/spreadsheetml/2009/9/main" objectType="Button" lockText="1"/>
</file>

<file path=xl/ctrlProps/ctrlProp484.xml><?xml version="1.0" encoding="utf-8"?>
<formControlPr xmlns="http://schemas.microsoft.com/office/spreadsheetml/2009/9/main" objectType="Button" lockText="1"/>
</file>

<file path=xl/ctrlProps/ctrlProp485.xml><?xml version="1.0" encoding="utf-8"?>
<formControlPr xmlns="http://schemas.microsoft.com/office/spreadsheetml/2009/9/main" objectType="Button" lockText="1"/>
</file>

<file path=xl/ctrlProps/ctrlProp486.xml><?xml version="1.0" encoding="utf-8"?>
<formControlPr xmlns="http://schemas.microsoft.com/office/spreadsheetml/2009/9/main" objectType="Button" lockText="1"/>
</file>

<file path=xl/ctrlProps/ctrlProp487.xml><?xml version="1.0" encoding="utf-8"?>
<formControlPr xmlns="http://schemas.microsoft.com/office/spreadsheetml/2009/9/main" objectType="Button" lockText="1"/>
</file>

<file path=xl/ctrlProps/ctrlProp488.xml><?xml version="1.0" encoding="utf-8"?>
<formControlPr xmlns="http://schemas.microsoft.com/office/spreadsheetml/2009/9/main" objectType="Button" lockText="1"/>
</file>

<file path=xl/ctrlProps/ctrlProp489.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490.xml><?xml version="1.0" encoding="utf-8"?>
<formControlPr xmlns="http://schemas.microsoft.com/office/spreadsheetml/2009/9/main" objectType="Button" lockText="1"/>
</file>

<file path=xl/ctrlProps/ctrlProp491.xml><?xml version="1.0" encoding="utf-8"?>
<formControlPr xmlns="http://schemas.microsoft.com/office/spreadsheetml/2009/9/main" objectType="Button" lockText="1"/>
</file>

<file path=xl/ctrlProps/ctrlProp492.xml><?xml version="1.0" encoding="utf-8"?>
<formControlPr xmlns="http://schemas.microsoft.com/office/spreadsheetml/2009/9/main" objectType="Button" lockText="1"/>
</file>

<file path=xl/ctrlProps/ctrlProp493.xml><?xml version="1.0" encoding="utf-8"?>
<formControlPr xmlns="http://schemas.microsoft.com/office/spreadsheetml/2009/9/main" objectType="Button" lockText="1"/>
</file>

<file path=xl/ctrlProps/ctrlProp494.xml><?xml version="1.0" encoding="utf-8"?>
<formControlPr xmlns="http://schemas.microsoft.com/office/spreadsheetml/2009/9/main" objectType="Button" lockText="1"/>
</file>

<file path=xl/ctrlProps/ctrlProp495.xml><?xml version="1.0" encoding="utf-8"?>
<formControlPr xmlns="http://schemas.microsoft.com/office/spreadsheetml/2009/9/main" objectType="Button" lockText="1"/>
</file>

<file path=xl/ctrlProps/ctrlProp496.xml><?xml version="1.0" encoding="utf-8"?>
<formControlPr xmlns="http://schemas.microsoft.com/office/spreadsheetml/2009/9/main" objectType="Button" lockText="1"/>
</file>

<file path=xl/ctrlProps/ctrlProp497.xml><?xml version="1.0" encoding="utf-8"?>
<formControlPr xmlns="http://schemas.microsoft.com/office/spreadsheetml/2009/9/main" objectType="Button" lockText="1"/>
</file>

<file path=xl/ctrlProps/ctrlProp498.xml><?xml version="1.0" encoding="utf-8"?>
<formControlPr xmlns="http://schemas.microsoft.com/office/spreadsheetml/2009/9/main" objectType="Button" lockText="1"/>
</file>

<file path=xl/ctrlProps/ctrlProp499.xml><?xml version="1.0" encoding="utf-8"?>
<formControlPr xmlns="http://schemas.microsoft.com/office/spreadsheetml/2009/9/main" objectType="Button"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Button" lockText="1"/>
</file>

<file path=xl/ctrlProps/ctrlProp500.xml><?xml version="1.0" encoding="utf-8"?>
<formControlPr xmlns="http://schemas.microsoft.com/office/spreadsheetml/2009/9/main" objectType="Button" lockText="1"/>
</file>

<file path=xl/ctrlProps/ctrlProp501.xml><?xml version="1.0" encoding="utf-8"?>
<formControlPr xmlns="http://schemas.microsoft.com/office/spreadsheetml/2009/9/main" objectType="Button" lockText="1"/>
</file>

<file path=xl/ctrlProps/ctrlProp502.xml><?xml version="1.0" encoding="utf-8"?>
<formControlPr xmlns="http://schemas.microsoft.com/office/spreadsheetml/2009/9/main" objectType="Button" lockText="1"/>
</file>

<file path=xl/ctrlProps/ctrlProp503.xml><?xml version="1.0" encoding="utf-8"?>
<formControlPr xmlns="http://schemas.microsoft.com/office/spreadsheetml/2009/9/main" objectType="Button" lockText="1"/>
</file>

<file path=xl/ctrlProps/ctrlProp504.xml><?xml version="1.0" encoding="utf-8"?>
<formControlPr xmlns="http://schemas.microsoft.com/office/spreadsheetml/2009/9/main" objectType="Button" lockText="1"/>
</file>

<file path=xl/ctrlProps/ctrlProp505.xml><?xml version="1.0" encoding="utf-8"?>
<formControlPr xmlns="http://schemas.microsoft.com/office/spreadsheetml/2009/9/main" objectType="Button" lockText="1"/>
</file>

<file path=xl/ctrlProps/ctrlProp506.xml><?xml version="1.0" encoding="utf-8"?>
<formControlPr xmlns="http://schemas.microsoft.com/office/spreadsheetml/2009/9/main" objectType="Button" lockText="1"/>
</file>

<file path=xl/ctrlProps/ctrlProp507.xml><?xml version="1.0" encoding="utf-8"?>
<formControlPr xmlns="http://schemas.microsoft.com/office/spreadsheetml/2009/9/main" objectType="Button" lockText="1"/>
</file>

<file path=xl/ctrlProps/ctrlProp508.xml><?xml version="1.0" encoding="utf-8"?>
<formControlPr xmlns="http://schemas.microsoft.com/office/spreadsheetml/2009/9/main" objectType="Button" lockText="1"/>
</file>

<file path=xl/ctrlProps/ctrlProp509.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10.xml><?xml version="1.0" encoding="utf-8"?>
<formControlPr xmlns="http://schemas.microsoft.com/office/spreadsheetml/2009/9/main" objectType="Button" lockText="1"/>
</file>

<file path=xl/ctrlProps/ctrlProp511.xml><?xml version="1.0" encoding="utf-8"?>
<formControlPr xmlns="http://schemas.microsoft.com/office/spreadsheetml/2009/9/main" objectType="Button" lockText="1"/>
</file>

<file path=xl/ctrlProps/ctrlProp512.xml><?xml version="1.0" encoding="utf-8"?>
<formControlPr xmlns="http://schemas.microsoft.com/office/spreadsheetml/2009/9/main" objectType="Button" lockText="1"/>
</file>

<file path=xl/ctrlProps/ctrlProp513.xml><?xml version="1.0" encoding="utf-8"?>
<formControlPr xmlns="http://schemas.microsoft.com/office/spreadsheetml/2009/9/main" objectType="Button" lockText="1"/>
</file>

<file path=xl/ctrlProps/ctrlProp514.xml><?xml version="1.0" encoding="utf-8"?>
<formControlPr xmlns="http://schemas.microsoft.com/office/spreadsheetml/2009/9/main" objectType="Button" lockText="1"/>
</file>

<file path=xl/ctrlProps/ctrlProp515.xml><?xml version="1.0" encoding="utf-8"?>
<formControlPr xmlns="http://schemas.microsoft.com/office/spreadsheetml/2009/9/main" objectType="Button" lockText="1"/>
</file>

<file path=xl/ctrlProps/ctrlProp516.xml><?xml version="1.0" encoding="utf-8"?>
<formControlPr xmlns="http://schemas.microsoft.com/office/spreadsheetml/2009/9/main" objectType="Button" lockText="1"/>
</file>

<file path=xl/ctrlProps/ctrlProp517.xml><?xml version="1.0" encoding="utf-8"?>
<formControlPr xmlns="http://schemas.microsoft.com/office/spreadsheetml/2009/9/main" objectType="Button" lockText="1"/>
</file>

<file path=xl/ctrlProps/ctrlProp518.xml><?xml version="1.0" encoding="utf-8"?>
<formControlPr xmlns="http://schemas.microsoft.com/office/spreadsheetml/2009/9/main" objectType="Button" lockText="1"/>
</file>

<file path=xl/ctrlProps/ctrlProp519.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20.xml><?xml version="1.0" encoding="utf-8"?>
<formControlPr xmlns="http://schemas.microsoft.com/office/spreadsheetml/2009/9/main" objectType="Button" lockText="1"/>
</file>

<file path=xl/ctrlProps/ctrlProp521.xml><?xml version="1.0" encoding="utf-8"?>
<formControlPr xmlns="http://schemas.microsoft.com/office/spreadsheetml/2009/9/main" objectType="Button" lockText="1"/>
</file>

<file path=xl/ctrlProps/ctrlProp522.xml><?xml version="1.0" encoding="utf-8"?>
<formControlPr xmlns="http://schemas.microsoft.com/office/spreadsheetml/2009/9/main" objectType="Button" lockText="1"/>
</file>

<file path=xl/ctrlProps/ctrlProp523.xml><?xml version="1.0" encoding="utf-8"?>
<formControlPr xmlns="http://schemas.microsoft.com/office/spreadsheetml/2009/9/main" objectType="Button" lockText="1"/>
</file>

<file path=xl/ctrlProps/ctrlProp524.xml><?xml version="1.0" encoding="utf-8"?>
<formControlPr xmlns="http://schemas.microsoft.com/office/spreadsheetml/2009/9/main" objectType="Button" lockText="1"/>
</file>

<file path=xl/ctrlProps/ctrlProp525.xml><?xml version="1.0" encoding="utf-8"?>
<formControlPr xmlns="http://schemas.microsoft.com/office/spreadsheetml/2009/9/main" objectType="Button" lockText="1"/>
</file>

<file path=xl/ctrlProps/ctrlProp526.xml><?xml version="1.0" encoding="utf-8"?>
<formControlPr xmlns="http://schemas.microsoft.com/office/spreadsheetml/2009/9/main" objectType="CheckBox" checked="Checked" fmlaLink="E4" lockText="1" noThreeD="1"/>
</file>

<file path=xl/ctrlProps/ctrlProp527.xml><?xml version="1.0" encoding="utf-8"?>
<formControlPr xmlns="http://schemas.microsoft.com/office/spreadsheetml/2009/9/main" objectType="CheckBox" checked="Checked" fmlaLink="E5" lockText="1" noThreeD="1"/>
</file>

<file path=xl/ctrlProps/ctrlProp528.xml><?xml version="1.0" encoding="utf-8"?>
<formControlPr xmlns="http://schemas.microsoft.com/office/spreadsheetml/2009/9/main" objectType="CheckBox" checked="Checked" fmlaLink="E7" lockText="1" noThreeD="1"/>
</file>

<file path=xl/ctrlProps/ctrlProp529.xml><?xml version="1.0" encoding="utf-8"?>
<formControlPr xmlns="http://schemas.microsoft.com/office/spreadsheetml/2009/9/main" objectType="CheckBox" checked="Checked" fmlaLink="E8" lockText="1" noThreeD="1"/>
</file>

<file path=xl/ctrlProps/ctrlProp53.xml><?xml version="1.0" encoding="utf-8"?>
<formControlPr xmlns="http://schemas.microsoft.com/office/spreadsheetml/2009/9/main" objectType="Button" lockText="1"/>
</file>

<file path=xl/ctrlProps/ctrlProp530.xml><?xml version="1.0" encoding="utf-8"?>
<formControlPr xmlns="http://schemas.microsoft.com/office/spreadsheetml/2009/9/main" objectType="CheckBox" checked="Checked" fmlaLink="E11" lockText="1" noThreeD="1"/>
</file>

<file path=xl/ctrlProps/ctrlProp531.xml><?xml version="1.0" encoding="utf-8"?>
<formControlPr xmlns="http://schemas.microsoft.com/office/spreadsheetml/2009/9/main" objectType="CheckBox" checked="Checked" fmlaLink="E12" lockText="1" noThreeD="1"/>
</file>

<file path=xl/ctrlProps/ctrlProp532.xml><?xml version="1.0" encoding="utf-8"?>
<formControlPr xmlns="http://schemas.microsoft.com/office/spreadsheetml/2009/9/main" objectType="CheckBox" checked="Checked" fmlaLink="E13" lockText="1" noThreeD="1"/>
</file>

<file path=xl/ctrlProps/ctrlProp533.xml><?xml version="1.0" encoding="utf-8"?>
<formControlPr xmlns="http://schemas.microsoft.com/office/spreadsheetml/2009/9/main" objectType="CheckBox" checked="Checked" fmlaLink="E14" lockText="1" noThreeD="1"/>
</file>

<file path=xl/ctrlProps/ctrlProp534.xml><?xml version="1.0" encoding="utf-8"?>
<formControlPr xmlns="http://schemas.microsoft.com/office/spreadsheetml/2009/9/main" objectType="CheckBox" checked="Checked" fmlaLink="E15" lockText="1" noThreeD="1"/>
</file>

<file path=xl/ctrlProps/ctrlProp535.xml><?xml version="1.0" encoding="utf-8"?>
<formControlPr xmlns="http://schemas.microsoft.com/office/spreadsheetml/2009/9/main" objectType="CheckBox" checked="Checked" fmlaLink="E16" lockText="1" noThreeD="1"/>
</file>

<file path=xl/ctrlProps/ctrlProp536.xml><?xml version="1.0" encoding="utf-8"?>
<formControlPr xmlns="http://schemas.microsoft.com/office/spreadsheetml/2009/9/main" objectType="CheckBox" checked="Checked" fmlaLink="E17" lockText="1" noThreeD="1"/>
</file>

<file path=xl/ctrlProps/ctrlProp537.xml><?xml version="1.0" encoding="utf-8"?>
<formControlPr xmlns="http://schemas.microsoft.com/office/spreadsheetml/2009/9/main" objectType="CheckBox" checked="Checked" fmlaLink="E18" lockText="1" noThreeD="1"/>
</file>

<file path=xl/ctrlProps/ctrlProp538.xml><?xml version="1.0" encoding="utf-8"?>
<formControlPr xmlns="http://schemas.microsoft.com/office/spreadsheetml/2009/9/main" objectType="CheckBox" checked="Checked" fmlaLink="E19" lockText="1" noThreeD="1"/>
</file>

<file path=xl/ctrlProps/ctrlProp539.xml><?xml version="1.0" encoding="utf-8"?>
<formControlPr xmlns="http://schemas.microsoft.com/office/spreadsheetml/2009/9/main" objectType="CheckBox" checked="Checked" fmlaLink="E20" lockText="1" noThreeD="1"/>
</file>

<file path=xl/ctrlProps/ctrlProp54.xml><?xml version="1.0" encoding="utf-8"?>
<formControlPr xmlns="http://schemas.microsoft.com/office/spreadsheetml/2009/9/main" objectType="Button" lockText="1"/>
</file>

<file path=xl/ctrlProps/ctrlProp540.xml><?xml version="1.0" encoding="utf-8"?>
<formControlPr xmlns="http://schemas.microsoft.com/office/spreadsheetml/2009/9/main" objectType="CheckBox" checked="Checked" fmlaLink="E21" lockText="1" noThreeD="1"/>
</file>

<file path=xl/ctrlProps/ctrlProp541.xml><?xml version="1.0" encoding="utf-8"?>
<formControlPr xmlns="http://schemas.microsoft.com/office/spreadsheetml/2009/9/main" objectType="CheckBox" checked="Checked" fmlaLink="E22" lockText="1" noThreeD="1"/>
</file>

<file path=xl/ctrlProps/ctrlProp542.xml><?xml version="1.0" encoding="utf-8"?>
<formControlPr xmlns="http://schemas.microsoft.com/office/spreadsheetml/2009/9/main" objectType="CheckBox" checked="Checked" fmlaLink="E23" lockText="1" noThreeD="1"/>
</file>

<file path=xl/ctrlProps/ctrlProp543.xml><?xml version="1.0" encoding="utf-8"?>
<formControlPr xmlns="http://schemas.microsoft.com/office/spreadsheetml/2009/9/main" objectType="CheckBox" checked="Checked" fmlaLink="E24" lockText="1" noThreeD="1"/>
</file>

<file path=xl/ctrlProps/ctrlProp544.xml><?xml version="1.0" encoding="utf-8"?>
<formControlPr xmlns="http://schemas.microsoft.com/office/spreadsheetml/2009/9/main" objectType="CheckBox" checked="Checked" fmlaLink="E25" lockText="1" noThreeD="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fmlaLink="$C$33"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C$34"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30</xdr:row>
          <xdr:rowOff>142875</xdr:rowOff>
        </xdr:from>
        <xdr:to>
          <xdr:col>1</xdr:col>
          <xdr:colOff>685800</xdr:colOff>
          <xdr:row>32</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1009650</xdr:colOff>
          <xdr:row>14</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Same as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38100</xdr:rowOff>
        </xdr:from>
        <xdr:to>
          <xdr:col>5</xdr:col>
          <xdr:colOff>1009650</xdr:colOff>
          <xdr:row>15</xdr:row>
          <xdr:rowOff>95250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Higher than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95250</xdr:rowOff>
        </xdr:from>
        <xdr:to>
          <xdr:col>5</xdr:col>
          <xdr:colOff>1009650</xdr:colOff>
          <xdr:row>16</xdr:row>
          <xdr:rowOff>152400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Lower than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76200</xdr:rowOff>
        </xdr:from>
        <xdr:to>
          <xdr:col>5</xdr:col>
          <xdr:colOff>1009650</xdr:colOff>
          <xdr:row>16</xdr:row>
          <xdr:rowOff>152400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Metered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104775</xdr:rowOff>
        </xdr:from>
        <xdr:to>
          <xdr:col>2</xdr:col>
          <xdr:colOff>161925</xdr:colOff>
          <xdr:row>33</xdr:row>
          <xdr:rowOff>66675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123825</xdr:rowOff>
        </xdr:from>
        <xdr:to>
          <xdr:col>1</xdr:col>
          <xdr:colOff>904875</xdr:colOff>
          <xdr:row>34</xdr:row>
          <xdr:rowOff>19050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0</xdr:col>
          <xdr:colOff>571500</xdr:colOff>
          <xdr:row>0</xdr:row>
          <xdr:rowOff>247650</xdr:rowOff>
        </xdr:to>
        <xdr:sp macro="" textlink="">
          <xdr:nvSpPr>
            <xdr:cNvPr id="128001" name="Button 1" hidden="1">
              <a:extLst>
                <a:ext uri="{63B3BB69-23CF-44E3-9099-C40C66FF867C}">
                  <a14:compatExt spid="_x0000_s128001"/>
                </a:ext>
                <a:ext uri="{FF2B5EF4-FFF2-40B4-BE49-F238E27FC236}">
                  <a16:creationId xmlns:a16="http://schemas.microsoft.com/office/drawing/2014/main" id="{00000000-0008-0000-0A00-000001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73</xdr:row>
          <xdr:rowOff>76200</xdr:rowOff>
        </xdr:from>
        <xdr:to>
          <xdr:col>15</xdr:col>
          <xdr:colOff>809625</xdr:colOff>
          <xdr:row>74</xdr:row>
          <xdr:rowOff>152400</xdr:rowOff>
        </xdr:to>
        <xdr:sp macro="" textlink="">
          <xdr:nvSpPr>
            <xdr:cNvPr id="128002" name="Button 2" hidden="1">
              <a:extLst>
                <a:ext uri="{63B3BB69-23CF-44E3-9099-C40C66FF867C}">
                  <a14:compatExt spid="_x0000_s128002"/>
                </a:ext>
                <a:ext uri="{FF2B5EF4-FFF2-40B4-BE49-F238E27FC236}">
                  <a16:creationId xmlns:a16="http://schemas.microsoft.com/office/drawing/2014/main" id="{00000000-0008-0000-0A00-000002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8003" name="Button 3" hidden="1">
              <a:extLst>
                <a:ext uri="{63B3BB69-23CF-44E3-9099-C40C66FF867C}">
                  <a14:compatExt spid="_x0000_s128003"/>
                </a:ext>
                <a:ext uri="{FF2B5EF4-FFF2-40B4-BE49-F238E27FC236}">
                  <a16:creationId xmlns:a16="http://schemas.microsoft.com/office/drawing/2014/main" id="{00000000-0008-0000-0A00-000003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8004" name="Button 4" hidden="1">
              <a:extLst>
                <a:ext uri="{63B3BB69-23CF-44E3-9099-C40C66FF867C}">
                  <a14:compatExt spid="_x0000_s128004"/>
                </a:ext>
                <a:ext uri="{FF2B5EF4-FFF2-40B4-BE49-F238E27FC236}">
                  <a16:creationId xmlns:a16="http://schemas.microsoft.com/office/drawing/2014/main" id="{00000000-0008-0000-0A00-000004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8005" name="Button 5" hidden="1">
              <a:extLst>
                <a:ext uri="{63B3BB69-23CF-44E3-9099-C40C66FF867C}">
                  <a14:compatExt spid="_x0000_s128005"/>
                </a:ext>
                <a:ext uri="{FF2B5EF4-FFF2-40B4-BE49-F238E27FC236}">
                  <a16:creationId xmlns:a16="http://schemas.microsoft.com/office/drawing/2014/main" id="{00000000-0008-0000-0A00-000005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8006" name="Button 6" hidden="1">
              <a:extLst>
                <a:ext uri="{63B3BB69-23CF-44E3-9099-C40C66FF867C}">
                  <a14:compatExt spid="_x0000_s128006"/>
                </a:ext>
                <a:ext uri="{FF2B5EF4-FFF2-40B4-BE49-F238E27FC236}">
                  <a16:creationId xmlns:a16="http://schemas.microsoft.com/office/drawing/2014/main" id="{00000000-0008-0000-0A00-000006F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93185" name="Button 1" hidden="1">
              <a:extLst>
                <a:ext uri="{63B3BB69-23CF-44E3-9099-C40C66FF867C}">
                  <a14:compatExt spid="_x0000_s93185"/>
                </a:ext>
                <a:ext uri="{FF2B5EF4-FFF2-40B4-BE49-F238E27FC236}">
                  <a16:creationId xmlns:a16="http://schemas.microsoft.com/office/drawing/2014/main" id="{00000000-0008-0000-0B00-000001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82</xdr:row>
          <xdr:rowOff>76200</xdr:rowOff>
        </xdr:from>
        <xdr:to>
          <xdr:col>16</xdr:col>
          <xdr:colOff>38100</xdr:colOff>
          <xdr:row>83</xdr:row>
          <xdr:rowOff>133350</xdr:rowOff>
        </xdr:to>
        <xdr:sp macro="" textlink="">
          <xdr:nvSpPr>
            <xdr:cNvPr id="93186" name="Button 2" hidden="1">
              <a:extLst>
                <a:ext uri="{63B3BB69-23CF-44E3-9099-C40C66FF867C}">
                  <a14:compatExt spid="_x0000_s93186"/>
                </a:ext>
                <a:ext uri="{FF2B5EF4-FFF2-40B4-BE49-F238E27FC236}">
                  <a16:creationId xmlns:a16="http://schemas.microsoft.com/office/drawing/2014/main" id="{00000000-0008-0000-0B00-000002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3187" name="Button 3" hidden="1">
              <a:extLst>
                <a:ext uri="{63B3BB69-23CF-44E3-9099-C40C66FF867C}">
                  <a14:compatExt spid="_x0000_s93187"/>
                </a:ext>
                <a:ext uri="{FF2B5EF4-FFF2-40B4-BE49-F238E27FC236}">
                  <a16:creationId xmlns:a16="http://schemas.microsoft.com/office/drawing/2014/main" id="{00000000-0008-0000-0B00-000003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3188" name="Button 4" hidden="1">
              <a:extLst>
                <a:ext uri="{63B3BB69-23CF-44E3-9099-C40C66FF867C}">
                  <a14:compatExt spid="_x0000_s93188"/>
                </a:ext>
                <a:ext uri="{FF2B5EF4-FFF2-40B4-BE49-F238E27FC236}">
                  <a16:creationId xmlns:a16="http://schemas.microsoft.com/office/drawing/2014/main" id="{00000000-0008-0000-0B00-000004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3189" name="Button 5" hidden="1">
              <a:extLst>
                <a:ext uri="{63B3BB69-23CF-44E3-9099-C40C66FF867C}">
                  <a14:compatExt spid="_x0000_s93189"/>
                </a:ext>
                <a:ext uri="{FF2B5EF4-FFF2-40B4-BE49-F238E27FC236}">
                  <a16:creationId xmlns:a16="http://schemas.microsoft.com/office/drawing/2014/main" id="{00000000-0008-0000-0B00-000005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3190" name="Button 6" hidden="1">
              <a:extLst>
                <a:ext uri="{63B3BB69-23CF-44E3-9099-C40C66FF867C}">
                  <a14:compatExt spid="_x0000_s93190"/>
                </a:ext>
                <a:ext uri="{FF2B5EF4-FFF2-40B4-BE49-F238E27FC236}">
                  <a16:creationId xmlns:a16="http://schemas.microsoft.com/office/drawing/2014/main" id="{00000000-0008-0000-0B00-000006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3191" name="Button 7" hidden="1">
              <a:extLst>
                <a:ext uri="{63B3BB69-23CF-44E3-9099-C40C66FF867C}">
                  <a14:compatExt spid="_x0000_s93191"/>
                </a:ext>
                <a:ext uri="{FF2B5EF4-FFF2-40B4-BE49-F238E27FC236}">
                  <a16:creationId xmlns:a16="http://schemas.microsoft.com/office/drawing/2014/main" id="{00000000-0008-0000-0B00-000007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3192" name="Button 8" hidden="1">
              <a:extLst>
                <a:ext uri="{63B3BB69-23CF-44E3-9099-C40C66FF867C}">
                  <a14:compatExt spid="_x0000_s93192"/>
                </a:ext>
                <a:ext uri="{FF2B5EF4-FFF2-40B4-BE49-F238E27FC236}">
                  <a16:creationId xmlns:a16="http://schemas.microsoft.com/office/drawing/2014/main" id="{00000000-0008-0000-0B00-000008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3193" name="Button 9" hidden="1">
              <a:extLst>
                <a:ext uri="{63B3BB69-23CF-44E3-9099-C40C66FF867C}">
                  <a14:compatExt spid="_x0000_s93193"/>
                </a:ext>
                <a:ext uri="{FF2B5EF4-FFF2-40B4-BE49-F238E27FC236}">
                  <a16:creationId xmlns:a16="http://schemas.microsoft.com/office/drawing/2014/main" id="{00000000-0008-0000-0B00-000009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3194" name="Button 10" hidden="1">
              <a:extLst>
                <a:ext uri="{63B3BB69-23CF-44E3-9099-C40C66FF867C}">
                  <a14:compatExt spid="_x0000_s93194"/>
                </a:ext>
                <a:ext uri="{FF2B5EF4-FFF2-40B4-BE49-F238E27FC236}">
                  <a16:creationId xmlns:a16="http://schemas.microsoft.com/office/drawing/2014/main" id="{00000000-0008-0000-0B00-00000A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3195" name="Button 11" hidden="1">
              <a:extLst>
                <a:ext uri="{63B3BB69-23CF-44E3-9099-C40C66FF867C}">
                  <a14:compatExt spid="_x0000_s93195"/>
                </a:ext>
                <a:ext uri="{FF2B5EF4-FFF2-40B4-BE49-F238E27FC236}">
                  <a16:creationId xmlns:a16="http://schemas.microsoft.com/office/drawing/2014/main" id="{00000000-0008-0000-0B00-00000B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3196" name="Button 12" hidden="1">
              <a:extLst>
                <a:ext uri="{63B3BB69-23CF-44E3-9099-C40C66FF867C}">
                  <a14:compatExt spid="_x0000_s93196"/>
                </a:ext>
                <a:ext uri="{FF2B5EF4-FFF2-40B4-BE49-F238E27FC236}">
                  <a16:creationId xmlns:a16="http://schemas.microsoft.com/office/drawing/2014/main" id="{00000000-0008-0000-0B00-00000C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3197" name="Button 13" hidden="1">
              <a:extLst>
                <a:ext uri="{63B3BB69-23CF-44E3-9099-C40C66FF867C}">
                  <a14:compatExt spid="_x0000_s93197"/>
                </a:ext>
                <a:ext uri="{FF2B5EF4-FFF2-40B4-BE49-F238E27FC236}">
                  <a16:creationId xmlns:a16="http://schemas.microsoft.com/office/drawing/2014/main" id="{00000000-0008-0000-0B00-00000D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3198" name="Button 14" hidden="1">
              <a:extLst>
                <a:ext uri="{63B3BB69-23CF-44E3-9099-C40C66FF867C}">
                  <a14:compatExt spid="_x0000_s93198"/>
                </a:ext>
                <a:ext uri="{FF2B5EF4-FFF2-40B4-BE49-F238E27FC236}">
                  <a16:creationId xmlns:a16="http://schemas.microsoft.com/office/drawing/2014/main" id="{00000000-0008-0000-0B00-00000E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3199" name="Button 15" hidden="1">
              <a:extLst>
                <a:ext uri="{63B3BB69-23CF-44E3-9099-C40C66FF867C}">
                  <a14:compatExt spid="_x0000_s93199"/>
                </a:ext>
                <a:ext uri="{FF2B5EF4-FFF2-40B4-BE49-F238E27FC236}">
                  <a16:creationId xmlns:a16="http://schemas.microsoft.com/office/drawing/2014/main" id="{00000000-0008-0000-0B00-00000F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3200" name="Button 16" hidden="1">
              <a:extLst>
                <a:ext uri="{63B3BB69-23CF-44E3-9099-C40C66FF867C}">
                  <a14:compatExt spid="_x0000_s93200"/>
                </a:ext>
                <a:ext uri="{FF2B5EF4-FFF2-40B4-BE49-F238E27FC236}">
                  <a16:creationId xmlns:a16="http://schemas.microsoft.com/office/drawing/2014/main" id="{00000000-0008-0000-0B00-000010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3201" name="Button 17" hidden="1">
              <a:extLst>
                <a:ext uri="{63B3BB69-23CF-44E3-9099-C40C66FF867C}">
                  <a14:compatExt spid="_x0000_s93201"/>
                </a:ext>
                <a:ext uri="{FF2B5EF4-FFF2-40B4-BE49-F238E27FC236}">
                  <a16:creationId xmlns:a16="http://schemas.microsoft.com/office/drawing/2014/main" id="{00000000-0008-0000-0B00-000011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3202" name="Button 18" hidden="1">
              <a:extLst>
                <a:ext uri="{63B3BB69-23CF-44E3-9099-C40C66FF867C}">
                  <a14:compatExt spid="_x0000_s93202"/>
                </a:ext>
                <a:ext uri="{FF2B5EF4-FFF2-40B4-BE49-F238E27FC236}">
                  <a16:creationId xmlns:a16="http://schemas.microsoft.com/office/drawing/2014/main" id="{00000000-0008-0000-0B00-000012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3203" name="Button 19" hidden="1">
              <a:extLst>
                <a:ext uri="{63B3BB69-23CF-44E3-9099-C40C66FF867C}">
                  <a14:compatExt spid="_x0000_s93203"/>
                </a:ext>
                <a:ext uri="{FF2B5EF4-FFF2-40B4-BE49-F238E27FC236}">
                  <a16:creationId xmlns:a16="http://schemas.microsoft.com/office/drawing/2014/main" id="{00000000-0008-0000-0B00-000013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3204" name="Button 20" hidden="1">
              <a:extLst>
                <a:ext uri="{63B3BB69-23CF-44E3-9099-C40C66FF867C}">
                  <a14:compatExt spid="_x0000_s93204"/>
                </a:ext>
                <a:ext uri="{FF2B5EF4-FFF2-40B4-BE49-F238E27FC236}">
                  <a16:creationId xmlns:a16="http://schemas.microsoft.com/office/drawing/2014/main" id="{00000000-0008-0000-0B00-000014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3205" name="Button 21" hidden="1">
              <a:extLst>
                <a:ext uri="{63B3BB69-23CF-44E3-9099-C40C66FF867C}">
                  <a14:compatExt spid="_x0000_s93205"/>
                </a:ext>
                <a:ext uri="{FF2B5EF4-FFF2-40B4-BE49-F238E27FC236}">
                  <a16:creationId xmlns:a16="http://schemas.microsoft.com/office/drawing/2014/main" id="{00000000-0008-0000-0B00-000015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3206" name="Button 22" hidden="1">
              <a:extLst>
                <a:ext uri="{63B3BB69-23CF-44E3-9099-C40C66FF867C}">
                  <a14:compatExt spid="_x0000_s93206"/>
                </a:ext>
                <a:ext uri="{FF2B5EF4-FFF2-40B4-BE49-F238E27FC236}">
                  <a16:creationId xmlns:a16="http://schemas.microsoft.com/office/drawing/2014/main" id="{00000000-0008-0000-0B00-000016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3207" name="Button 23" hidden="1">
              <a:extLst>
                <a:ext uri="{63B3BB69-23CF-44E3-9099-C40C66FF867C}">
                  <a14:compatExt spid="_x0000_s93207"/>
                </a:ext>
                <a:ext uri="{FF2B5EF4-FFF2-40B4-BE49-F238E27FC236}">
                  <a16:creationId xmlns:a16="http://schemas.microsoft.com/office/drawing/2014/main" id="{00000000-0008-0000-0B00-000017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3208" name="Button 24" hidden="1">
              <a:extLst>
                <a:ext uri="{63B3BB69-23CF-44E3-9099-C40C66FF867C}">
                  <a14:compatExt spid="_x0000_s93208"/>
                </a:ext>
                <a:ext uri="{FF2B5EF4-FFF2-40B4-BE49-F238E27FC236}">
                  <a16:creationId xmlns:a16="http://schemas.microsoft.com/office/drawing/2014/main" id="{00000000-0008-0000-0B00-000018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3209" name="Button 25" hidden="1">
              <a:extLst>
                <a:ext uri="{63B3BB69-23CF-44E3-9099-C40C66FF867C}">
                  <a14:compatExt spid="_x0000_s93209"/>
                </a:ext>
                <a:ext uri="{FF2B5EF4-FFF2-40B4-BE49-F238E27FC236}">
                  <a16:creationId xmlns:a16="http://schemas.microsoft.com/office/drawing/2014/main" id="{00000000-0008-0000-0B00-000019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3210" name="Button 26" hidden="1">
              <a:extLst>
                <a:ext uri="{63B3BB69-23CF-44E3-9099-C40C66FF867C}">
                  <a14:compatExt spid="_x0000_s93210"/>
                </a:ext>
                <a:ext uri="{FF2B5EF4-FFF2-40B4-BE49-F238E27FC236}">
                  <a16:creationId xmlns:a16="http://schemas.microsoft.com/office/drawing/2014/main" id="{00000000-0008-0000-0B00-00001A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3211" name="Button 27" hidden="1">
              <a:extLst>
                <a:ext uri="{63B3BB69-23CF-44E3-9099-C40C66FF867C}">
                  <a14:compatExt spid="_x0000_s93211"/>
                </a:ext>
                <a:ext uri="{FF2B5EF4-FFF2-40B4-BE49-F238E27FC236}">
                  <a16:creationId xmlns:a16="http://schemas.microsoft.com/office/drawing/2014/main" id="{00000000-0008-0000-0B00-00001B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3212" name="Button 28" hidden="1">
              <a:extLst>
                <a:ext uri="{63B3BB69-23CF-44E3-9099-C40C66FF867C}">
                  <a14:compatExt spid="_x0000_s93212"/>
                </a:ext>
                <a:ext uri="{FF2B5EF4-FFF2-40B4-BE49-F238E27FC236}">
                  <a16:creationId xmlns:a16="http://schemas.microsoft.com/office/drawing/2014/main" id="{00000000-0008-0000-0B00-00001C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3213" name="Button 29" hidden="1">
              <a:extLst>
                <a:ext uri="{63B3BB69-23CF-44E3-9099-C40C66FF867C}">
                  <a14:compatExt spid="_x0000_s93213"/>
                </a:ext>
                <a:ext uri="{FF2B5EF4-FFF2-40B4-BE49-F238E27FC236}">
                  <a16:creationId xmlns:a16="http://schemas.microsoft.com/office/drawing/2014/main" id="{00000000-0008-0000-0B00-00001D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3214" name="Button 30" hidden="1">
              <a:extLst>
                <a:ext uri="{63B3BB69-23CF-44E3-9099-C40C66FF867C}">
                  <a14:compatExt spid="_x0000_s93214"/>
                </a:ext>
                <a:ext uri="{FF2B5EF4-FFF2-40B4-BE49-F238E27FC236}">
                  <a16:creationId xmlns:a16="http://schemas.microsoft.com/office/drawing/2014/main" id="{00000000-0008-0000-0B00-00001E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3215" name="Button 31" hidden="1">
              <a:extLst>
                <a:ext uri="{63B3BB69-23CF-44E3-9099-C40C66FF867C}">
                  <a14:compatExt spid="_x0000_s93215"/>
                </a:ext>
                <a:ext uri="{FF2B5EF4-FFF2-40B4-BE49-F238E27FC236}">
                  <a16:creationId xmlns:a16="http://schemas.microsoft.com/office/drawing/2014/main" id="{00000000-0008-0000-0B00-00001F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3216" name="Button 32" hidden="1">
              <a:extLst>
                <a:ext uri="{63B3BB69-23CF-44E3-9099-C40C66FF867C}">
                  <a14:compatExt spid="_x0000_s93216"/>
                </a:ext>
                <a:ext uri="{FF2B5EF4-FFF2-40B4-BE49-F238E27FC236}">
                  <a16:creationId xmlns:a16="http://schemas.microsoft.com/office/drawing/2014/main" id="{00000000-0008-0000-0B00-000020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3217" name="Button 33" hidden="1">
              <a:extLst>
                <a:ext uri="{63B3BB69-23CF-44E3-9099-C40C66FF867C}">
                  <a14:compatExt spid="_x0000_s93217"/>
                </a:ext>
                <a:ext uri="{FF2B5EF4-FFF2-40B4-BE49-F238E27FC236}">
                  <a16:creationId xmlns:a16="http://schemas.microsoft.com/office/drawing/2014/main" id="{00000000-0008-0000-0B00-000021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3218" name="Button 34" hidden="1">
              <a:extLst>
                <a:ext uri="{63B3BB69-23CF-44E3-9099-C40C66FF867C}">
                  <a14:compatExt spid="_x0000_s93218"/>
                </a:ext>
                <a:ext uri="{FF2B5EF4-FFF2-40B4-BE49-F238E27FC236}">
                  <a16:creationId xmlns:a16="http://schemas.microsoft.com/office/drawing/2014/main" id="{00000000-0008-0000-0B00-000022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3219" name="Button 35" hidden="1">
              <a:extLst>
                <a:ext uri="{63B3BB69-23CF-44E3-9099-C40C66FF867C}">
                  <a14:compatExt spid="_x0000_s93219"/>
                </a:ext>
                <a:ext uri="{FF2B5EF4-FFF2-40B4-BE49-F238E27FC236}">
                  <a16:creationId xmlns:a16="http://schemas.microsoft.com/office/drawing/2014/main" id="{00000000-0008-0000-0B00-000023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3220" name="Button 36" hidden="1">
              <a:extLst>
                <a:ext uri="{63B3BB69-23CF-44E3-9099-C40C66FF867C}">
                  <a14:compatExt spid="_x0000_s93220"/>
                </a:ext>
                <a:ext uri="{FF2B5EF4-FFF2-40B4-BE49-F238E27FC236}">
                  <a16:creationId xmlns:a16="http://schemas.microsoft.com/office/drawing/2014/main" id="{00000000-0008-0000-0B00-000024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3221" name="Button 37" hidden="1">
              <a:extLst>
                <a:ext uri="{63B3BB69-23CF-44E3-9099-C40C66FF867C}">
                  <a14:compatExt spid="_x0000_s93221"/>
                </a:ext>
                <a:ext uri="{FF2B5EF4-FFF2-40B4-BE49-F238E27FC236}">
                  <a16:creationId xmlns:a16="http://schemas.microsoft.com/office/drawing/2014/main" id="{00000000-0008-0000-0B00-000025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3222" name="Button 38" hidden="1">
              <a:extLst>
                <a:ext uri="{63B3BB69-23CF-44E3-9099-C40C66FF867C}">
                  <a14:compatExt spid="_x0000_s93222"/>
                </a:ext>
                <a:ext uri="{FF2B5EF4-FFF2-40B4-BE49-F238E27FC236}">
                  <a16:creationId xmlns:a16="http://schemas.microsoft.com/office/drawing/2014/main" id="{00000000-0008-0000-0B00-000026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3223" name="Button 39" hidden="1">
              <a:extLst>
                <a:ext uri="{63B3BB69-23CF-44E3-9099-C40C66FF867C}">
                  <a14:compatExt spid="_x0000_s93223"/>
                </a:ext>
                <a:ext uri="{FF2B5EF4-FFF2-40B4-BE49-F238E27FC236}">
                  <a16:creationId xmlns:a16="http://schemas.microsoft.com/office/drawing/2014/main" id="{00000000-0008-0000-0B00-000027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3224" name="Button 40" hidden="1">
              <a:extLst>
                <a:ext uri="{63B3BB69-23CF-44E3-9099-C40C66FF867C}">
                  <a14:compatExt spid="_x0000_s93224"/>
                </a:ext>
                <a:ext uri="{FF2B5EF4-FFF2-40B4-BE49-F238E27FC236}">
                  <a16:creationId xmlns:a16="http://schemas.microsoft.com/office/drawing/2014/main" id="{00000000-0008-0000-0B00-000028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3225" name="Button 41" hidden="1">
              <a:extLst>
                <a:ext uri="{63B3BB69-23CF-44E3-9099-C40C66FF867C}">
                  <a14:compatExt spid="_x0000_s93225"/>
                </a:ext>
                <a:ext uri="{FF2B5EF4-FFF2-40B4-BE49-F238E27FC236}">
                  <a16:creationId xmlns:a16="http://schemas.microsoft.com/office/drawing/2014/main" id="{00000000-0008-0000-0B00-000029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3226" name="Button 42" hidden="1">
              <a:extLst>
                <a:ext uri="{63B3BB69-23CF-44E3-9099-C40C66FF867C}">
                  <a14:compatExt spid="_x0000_s93226"/>
                </a:ext>
                <a:ext uri="{FF2B5EF4-FFF2-40B4-BE49-F238E27FC236}">
                  <a16:creationId xmlns:a16="http://schemas.microsoft.com/office/drawing/2014/main" id="{00000000-0008-0000-0B00-00002A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3227" name="Button 43" hidden="1">
              <a:extLst>
                <a:ext uri="{63B3BB69-23CF-44E3-9099-C40C66FF867C}">
                  <a14:compatExt spid="_x0000_s93227"/>
                </a:ext>
                <a:ext uri="{FF2B5EF4-FFF2-40B4-BE49-F238E27FC236}">
                  <a16:creationId xmlns:a16="http://schemas.microsoft.com/office/drawing/2014/main" id="{00000000-0008-0000-0B00-00002B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3228" name="Button 44" hidden="1">
              <a:extLst>
                <a:ext uri="{63B3BB69-23CF-44E3-9099-C40C66FF867C}">
                  <a14:compatExt spid="_x0000_s93228"/>
                </a:ext>
                <a:ext uri="{FF2B5EF4-FFF2-40B4-BE49-F238E27FC236}">
                  <a16:creationId xmlns:a16="http://schemas.microsoft.com/office/drawing/2014/main" id="{00000000-0008-0000-0B00-00002C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3229" name="Button 45" hidden="1">
              <a:extLst>
                <a:ext uri="{63B3BB69-23CF-44E3-9099-C40C66FF867C}">
                  <a14:compatExt spid="_x0000_s93229"/>
                </a:ext>
                <a:ext uri="{FF2B5EF4-FFF2-40B4-BE49-F238E27FC236}">
                  <a16:creationId xmlns:a16="http://schemas.microsoft.com/office/drawing/2014/main" id="{00000000-0008-0000-0B00-00002D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3230" name="Button 46" hidden="1">
              <a:extLst>
                <a:ext uri="{63B3BB69-23CF-44E3-9099-C40C66FF867C}">
                  <a14:compatExt spid="_x0000_s93230"/>
                </a:ext>
                <a:ext uri="{FF2B5EF4-FFF2-40B4-BE49-F238E27FC236}">
                  <a16:creationId xmlns:a16="http://schemas.microsoft.com/office/drawing/2014/main" id="{00000000-0008-0000-0B00-00002E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3231" name="Button 47" hidden="1">
              <a:extLst>
                <a:ext uri="{63B3BB69-23CF-44E3-9099-C40C66FF867C}">
                  <a14:compatExt spid="_x0000_s93231"/>
                </a:ext>
                <a:ext uri="{FF2B5EF4-FFF2-40B4-BE49-F238E27FC236}">
                  <a16:creationId xmlns:a16="http://schemas.microsoft.com/office/drawing/2014/main" id="{00000000-0008-0000-0B00-00002F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3232" name="Button 48" hidden="1">
              <a:extLst>
                <a:ext uri="{63B3BB69-23CF-44E3-9099-C40C66FF867C}">
                  <a14:compatExt spid="_x0000_s93232"/>
                </a:ext>
                <a:ext uri="{FF2B5EF4-FFF2-40B4-BE49-F238E27FC236}">
                  <a16:creationId xmlns:a16="http://schemas.microsoft.com/office/drawing/2014/main" id="{00000000-0008-0000-0B00-000030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3233" name="Button 49" hidden="1">
              <a:extLst>
                <a:ext uri="{63B3BB69-23CF-44E3-9099-C40C66FF867C}">
                  <a14:compatExt spid="_x0000_s93233"/>
                </a:ext>
                <a:ext uri="{FF2B5EF4-FFF2-40B4-BE49-F238E27FC236}">
                  <a16:creationId xmlns:a16="http://schemas.microsoft.com/office/drawing/2014/main" id="{00000000-0008-0000-0B00-000031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3234" name="Button 50" hidden="1">
              <a:extLst>
                <a:ext uri="{63B3BB69-23CF-44E3-9099-C40C66FF867C}">
                  <a14:compatExt spid="_x0000_s93234"/>
                </a:ext>
                <a:ext uri="{FF2B5EF4-FFF2-40B4-BE49-F238E27FC236}">
                  <a16:creationId xmlns:a16="http://schemas.microsoft.com/office/drawing/2014/main" id="{00000000-0008-0000-0B00-000032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3235" name="Button 51" hidden="1">
              <a:extLst>
                <a:ext uri="{63B3BB69-23CF-44E3-9099-C40C66FF867C}">
                  <a14:compatExt spid="_x0000_s93235"/>
                </a:ext>
                <a:ext uri="{FF2B5EF4-FFF2-40B4-BE49-F238E27FC236}">
                  <a16:creationId xmlns:a16="http://schemas.microsoft.com/office/drawing/2014/main" id="{00000000-0008-0000-0B00-000033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3236" name="Button 52" hidden="1">
              <a:extLst>
                <a:ext uri="{63B3BB69-23CF-44E3-9099-C40C66FF867C}">
                  <a14:compatExt spid="_x0000_s93236"/>
                </a:ext>
                <a:ext uri="{FF2B5EF4-FFF2-40B4-BE49-F238E27FC236}">
                  <a16:creationId xmlns:a16="http://schemas.microsoft.com/office/drawing/2014/main" id="{00000000-0008-0000-0B00-000034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3237" name="Button 53" hidden="1">
              <a:extLst>
                <a:ext uri="{63B3BB69-23CF-44E3-9099-C40C66FF867C}">
                  <a14:compatExt spid="_x0000_s93237"/>
                </a:ext>
                <a:ext uri="{FF2B5EF4-FFF2-40B4-BE49-F238E27FC236}">
                  <a16:creationId xmlns:a16="http://schemas.microsoft.com/office/drawing/2014/main" id="{00000000-0008-0000-0B00-000035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3238" name="Button 54" hidden="1">
              <a:extLst>
                <a:ext uri="{63B3BB69-23CF-44E3-9099-C40C66FF867C}">
                  <a14:compatExt spid="_x0000_s93238"/>
                </a:ext>
                <a:ext uri="{FF2B5EF4-FFF2-40B4-BE49-F238E27FC236}">
                  <a16:creationId xmlns:a16="http://schemas.microsoft.com/office/drawing/2014/main" id="{00000000-0008-0000-0B00-000036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3239" name="Button 55" hidden="1">
              <a:extLst>
                <a:ext uri="{63B3BB69-23CF-44E3-9099-C40C66FF867C}">
                  <a14:compatExt spid="_x0000_s93239"/>
                </a:ext>
                <a:ext uri="{FF2B5EF4-FFF2-40B4-BE49-F238E27FC236}">
                  <a16:creationId xmlns:a16="http://schemas.microsoft.com/office/drawing/2014/main" id="{00000000-0008-0000-0B00-000037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3240" name="Button 56" hidden="1">
              <a:extLst>
                <a:ext uri="{63B3BB69-23CF-44E3-9099-C40C66FF867C}">
                  <a14:compatExt spid="_x0000_s93240"/>
                </a:ext>
                <a:ext uri="{FF2B5EF4-FFF2-40B4-BE49-F238E27FC236}">
                  <a16:creationId xmlns:a16="http://schemas.microsoft.com/office/drawing/2014/main" id="{00000000-0008-0000-0B00-000038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3241" name="Button 57" hidden="1">
              <a:extLst>
                <a:ext uri="{63B3BB69-23CF-44E3-9099-C40C66FF867C}">
                  <a14:compatExt spid="_x0000_s93241"/>
                </a:ext>
                <a:ext uri="{FF2B5EF4-FFF2-40B4-BE49-F238E27FC236}">
                  <a16:creationId xmlns:a16="http://schemas.microsoft.com/office/drawing/2014/main" id="{00000000-0008-0000-0B00-000039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3242" name="Button 58" hidden="1">
              <a:extLst>
                <a:ext uri="{63B3BB69-23CF-44E3-9099-C40C66FF867C}">
                  <a14:compatExt spid="_x0000_s93242"/>
                </a:ext>
                <a:ext uri="{FF2B5EF4-FFF2-40B4-BE49-F238E27FC236}">
                  <a16:creationId xmlns:a16="http://schemas.microsoft.com/office/drawing/2014/main" id="{00000000-0008-0000-0B00-00003A6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94209" name="Button 1" hidden="1">
              <a:extLst>
                <a:ext uri="{63B3BB69-23CF-44E3-9099-C40C66FF867C}">
                  <a14:compatExt spid="_x0000_s94209"/>
                </a:ext>
                <a:ext uri="{FF2B5EF4-FFF2-40B4-BE49-F238E27FC236}">
                  <a16:creationId xmlns:a16="http://schemas.microsoft.com/office/drawing/2014/main" id="{00000000-0008-0000-0C00-000001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82</xdr:row>
          <xdr:rowOff>76200</xdr:rowOff>
        </xdr:from>
        <xdr:to>
          <xdr:col>16</xdr:col>
          <xdr:colOff>38100</xdr:colOff>
          <xdr:row>83</xdr:row>
          <xdr:rowOff>133350</xdr:rowOff>
        </xdr:to>
        <xdr:sp macro="" textlink="">
          <xdr:nvSpPr>
            <xdr:cNvPr id="94210" name="Button 2" hidden="1">
              <a:extLst>
                <a:ext uri="{63B3BB69-23CF-44E3-9099-C40C66FF867C}">
                  <a14:compatExt spid="_x0000_s94210"/>
                </a:ext>
                <a:ext uri="{FF2B5EF4-FFF2-40B4-BE49-F238E27FC236}">
                  <a16:creationId xmlns:a16="http://schemas.microsoft.com/office/drawing/2014/main" id="{00000000-0008-0000-0C00-000002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4211" name="Button 3" hidden="1">
              <a:extLst>
                <a:ext uri="{63B3BB69-23CF-44E3-9099-C40C66FF867C}">
                  <a14:compatExt spid="_x0000_s94211"/>
                </a:ext>
                <a:ext uri="{FF2B5EF4-FFF2-40B4-BE49-F238E27FC236}">
                  <a16:creationId xmlns:a16="http://schemas.microsoft.com/office/drawing/2014/main" id="{00000000-0008-0000-0C00-000003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4212" name="Button 4" hidden="1">
              <a:extLst>
                <a:ext uri="{63B3BB69-23CF-44E3-9099-C40C66FF867C}">
                  <a14:compatExt spid="_x0000_s94212"/>
                </a:ext>
                <a:ext uri="{FF2B5EF4-FFF2-40B4-BE49-F238E27FC236}">
                  <a16:creationId xmlns:a16="http://schemas.microsoft.com/office/drawing/2014/main" id="{00000000-0008-0000-0C00-000004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4213" name="Button 5" hidden="1">
              <a:extLst>
                <a:ext uri="{63B3BB69-23CF-44E3-9099-C40C66FF867C}">
                  <a14:compatExt spid="_x0000_s94213"/>
                </a:ext>
                <a:ext uri="{FF2B5EF4-FFF2-40B4-BE49-F238E27FC236}">
                  <a16:creationId xmlns:a16="http://schemas.microsoft.com/office/drawing/2014/main" id="{00000000-0008-0000-0C00-000005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94214" name="Button 6" hidden="1">
              <a:extLst>
                <a:ext uri="{63B3BB69-23CF-44E3-9099-C40C66FF867C}">
                  <a14:compatExt spid="_x0000_s94214"/>
                </a:ext>
                <a:ext uri="{FF2B5EF4-FFF2-40B4-BE49-F238E27FC236}">
                  <a16:creationId xmlns:a16="http://schemas.microsoft.com/office/drawing/2014/main" id="{00000000-0008-0000-0C00-000006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4215" name="Button 7" hidden="1">
              <a:extLst>
                <a:ext uri="{63B3BB69-23CF-44E3-9099-C40C66FF867C}">
                  <a14:compatExt spid="_x0000_s94215"/>
                </a:ext>
                <a:ext uri="{FF2B5EF4-FFF2-40B4-BE49-F238E27FC236}">
                  <a16:creationId xmlns:a16="http://schemas.microsoft.com/office/drawing/2014/main" id="{00000000-0008-0000-0C00-000007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4216" name="Button 8" hidden="1">
              <a:extLst>
                <a:ext uri="{63B3BB69-23CF-44E3-9099-C40C66FF867C}">
                  <a14:compatExt spid="_x0000_s94216"/>
                </a:ext>
                <a:ext uri="{FF2B5EF4-FFF2-40B4-BE49-F238E27FC236}">
                  <a16:creationId xmlns:a16="http://schemas.microsoft.com/office/drawing/2014/main" id="{00000000-0008-0000-0C00-000008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4217" name="Button 9" hidden="1">
              <a:extLst>
                <a:ext uri="{63B3BB69-23CF-44E3-9099-C40C66FF867C}">
                  <a14:compatExt spid="_x0000_s94217"/>
                </a:ext>
                <a:ext uri="{FF2B5EF4-FFF2-40B4-BE49-F238E27FC236}">
                  <a16:creationId xmlns:a16="http://schemas.microsoft.com/office/drawing/2014/main" id="{00000000-0008-0000-0C00-000009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94218" name="Button 10" hidden="1">
              <a:extLst>
                <a:ext uri="{63B3BB69-23CF-44E3-9099-C40C66FF867C}">
                  <a14:compatExt spid="_x0000_s94218"/>
                </a:ext>
                <a:ext uri="{FF2B5EF4-FFF2-40B4-BE49-F238E27FC236}">
                  <a16:creationId xmlns:a16="http://schemas.microsoft.com/office/drawing/2014/main" id="{00000000-0008-0000-0C00-00000A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4219" name="Button 11" hidden="1">
              <a:extLst>
                <a:ext uri="{63B3BB69-23CF-44E3-9099-C40C66FF867C}">
                  <a14:compatExt spid="_x0000_s94219"/>
                </a:ext>
                <a:ext uri="{FF2B5EF4-FFF2-40B4-BE49-F238E27FC236}">
                  <a16:creationId xmlns:a16="http://schemas.microsoft.com/office/drawing/2014/main" id="{00000000-0008-0000-0C00-00000B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4220" name="Button 12" hidden="1">
              <a:extLst>
                <a:ext uri="{63B3BB69-23CF-44E3-9099-C40C66FF867C}">
                  <a14:compatExt spid="_x0000_s94220"/>
                </a:ext>
                <a:ext uri="{FF2B5EF4-FFF2-40B4-BE49-F238E27FC236}">
                  <a16:creationId xmlns:a16="http://schemas.microsoft.com/office/drawing/2014/main" id="{00000000-0008-0000-0C00-00000C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4221" name="Button 13" hidden="1">
              <a:extLst>
                <a:ext uri="{63B3BB69-23CF-44E3-9099-C40C66FF867C}">
                  <a14:compatExt spid="_x0000_s94221"/>
                </a:ext>
                <a:ext uri="{FF2B5EF4-FFF2-40B4-BE49-F238E27FC236}">
                  <a16:creationId xmlns:a16="http://schemas.microsoft.com/office/drawing/2014/main" id="{00000000-0008-0000-0C00-00000D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94222" name="Button 14" hidden="1">
              <a:extLst>
                <a:ext uri="{63B3BB69-23CF-44E3-9099-C40C66FF867C}">
                  <a14:compatExt spid="_x0000_s94222"/>
                </a:ext>
                <a:ext uri="{FF2B5EF4-FFF2-40B4-BE49-F238E27FC236}">
                  <a16:creationId xmlns:a16="http://schemas.microsoft.com/office/drawing/2014/main" id="{00000000-0008-0000-0C00-00000E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4223" name="Button 15" hidden="1">
              <a:extLst>
                <a:ext uri="{63B3BB69-23CF-44E3-9099-C40C66FF867C}">
                  <a14:compatExt spid="_x0000_s94223"/>
                </a:ext>
                <a:ext uri="{FF2B5EF4-FFF2-40B4-BE49-F238E27FC236}">
                  <a16:creationId xmlns:a16="http://schemas.microsoft.com/office/drawing/2014/main" id="{00000000-0008-0000-0C00-00000F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4224" name="Button 16" hidden="1">
              <a:extLst>
                <a:ext uri="{63B3BB69-23CF-44E3-9099-C40C66FF867C}">
                  <a14:compatExt spid="_x0000_s94224"/>
                </a:ext>
                <a:ext uri="{FF2B5EF4-FFF2-40B4-BE49-F238E27FC236}">
                  <a16:creationId xmlns:a16="http://schemas.microsoft.com/office/drawing/2014/main" id="{00000000-0008-0000-0C00-000010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4225" name="Button 17" hidden="1">
              <a:extLst>
                <a:ext uri="{63B3BB69-23CF-44E3-9099-C40C66FF867C}">
                  <a14:compatExt spid="_x0000_s94225"/>
                </a:ext>
                <a:ext uri="{FF2B5EF4-FFF2-40B4-BE49-F238E27FC236}">
                  <a16:creationId xmlns:a16="http://schemas.microsoft.com/office/drawing/2014/main" id="{00000000-0008-0000-0C00-000011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94226" name="Button 18" hidden="1">
              <a:extLst>
                <a:ext uri="{63B3BB69-23CF-44E3-9099-C40C66FF867C}">
                  <a14:compatExt spid="_x0000_s94226"/>
                </a:ext>
                <a:ext uri="{FF2B5EF4-FFF2-40B4-BE49-F238E27FC236}">
                  <a16:creationId xmlns:a16="http://schemas.microsoft.com/office/drawing/2014/main" id="{00000000-0008-0000-0C00-000012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4227" name="Button 19" hidden="1">
              <a:extLst>
                <a:ext uri="{63B3BB69-23CF-44E3-9099-C40C66FF867C}">
                  <a14:compatExt spid="_x0000_s94227"/>
                </a:ext>
                <a:ext uri="{FF2B5EF4-FFF2-40B4-BE49-F238E27FC236}">
                  <a16:creationId xmlns:a16="http://schemas.microsoft.com/office/drawing/2014/main" id="{00000000-0008-0000-0C00-000013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4228" name="Button 20" hidden="1">
              <a:extLst>
                <a:ext uri="{63B3BB69-23CF-44E3-9099-C40C66FF867C}">
                  <a14:compatExt spid="_x0000_s94228"/>
                </a:ext>
                <a:ext uri="{FF2B5EF4-FFF2-40B4-BE49-F238E27FC236}">
                  <a16:creationId xmlns:a16="http://schemas.microsoft.com/office/drawing/2014/main" id="{00000000-0008-0000-0C00-000014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4229" name="Button 21" hidden="1">
              <a:extLst>
                <a:ext uri="{63B3BB69-23CF-44E3-9099-C40C66FF867C}">
                  <a14:compatExt spid="_x0000_s94229"/>
                </a:ext>
                <a:ext uri="{FF2B5EF4-FFF2-40B4-BE49-F238E27FC236}">
                  <a16:creationId xmlns:a16="http://schemas.microsoft.com/office/drawing/2014/main" id="{00000000-0008-0000-0C00-000015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94230" name="Button 22" hidden="1">
              <a:extLst>
                <a:ext uri="{63B3BB69-23CF-44E3-9099-C40C66FF867C}">
                  <a14:compatExt spid="_x0000_s94230"/>
                </a:ext>
                <a:ext uri="{FF2B5EF4-FFF2-40B4-BE49-F238E27FC236}">
                  <a16:creationId xmlns:a16="http://schemas.microsoft.com/office/drawing/2014/main" id="{00000000-0008-0000-0C00-000016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4231" name="Button 23" hidden="1">
              <a:extLst>
                <a:ext uri="{63B3BB69-23CF-44E3-9099-C40C66FF867C}">
                  <a14:compatExt spid="_x0000_s94231"/>
                </a:ext>
                <a:ext uri="{FF2B5EF4-FFF2-40B4-BE49-F238E27FC236}">
                  <a16:creationId xmlns:a16="http://schemas.microsoft.com/office/drawing/2014/main" id="{00000000-0008-0000-0C00-000017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4232" name="Button 24" hidden="1">
              <a:extLst>
                <a:ext uri="{63B3BB69-23CF-44E3-9099-C40C66FF867C}">
                  <a14:compatExt spid="_x0000_s94232"/>
                </a:ext>
                <a:ext uri="{FF2B5EF4-FFF2-40B4-BE49-F238E27FC236}">
                  <a16:creationId xmlns:a16="http://schemas.microsoft.com/office/drawing/2014/main" id="{00000000-0008-0000-0C00-000018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4233" name="Button 25" hidden="1">
              <a:extLst>
                <a:ext uri="{63B3BB69-23CF-44E3-9099-C40C66FF867C}">
                  <a14:compatExt spid="_x0000_s94233"/>
                </a:ext>
                <a:ext uri="{FF2B5EF4-FFF2-40B4-BE49-F238E27FC236}">
                  <a16:creationId xmlns:a16="http://schemas.microsoft.com/office/drawing/2014/main" id="{00000000-0008-0000-0C00-000019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94234" name="Button 26" hidden="1">
              <a:extLst>
                <a:ext uri="{63B3BB69-23CF-44E3-9099-C40C66FF867C}">
                  <a14:compatExt spid="_x0000_s94234"/>
                </a:ext>
                <a:ext uri="{FF2B5EF4-FFF2-40B4-BE49-F238E27FC236}">
                  <a16:creationId xmlns:a16="http://schemas.microsoft.com/office/drawing/2014/main" id="{00000000-0008-0000-0C00-00001A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4235" name="Button 27" hidden="1">
              <a:extLst>
                <a:ext uri="{63B3BB69-23CF-44E3-9099-C40C66FF867C}">
                  <a14:compatExt spid="_x0000_s94235"/>
                </a:ext>
                <a:ext uri="{FF2B5EF4-FFF2-40B4-BE49-F238E27FC236}">
                  <a16:creationId xmlns:a16="http://schemas.microsoft.com/office/drawing/2014/main" id="{00000000-0008-0000-0C00-00001B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4236" name="Button 28" hidden="1">
              <a:extLst>
                <a:ext uri="{63B3BB69-23CF-44E3-9099-C40C66FF867C}">
                  <a14:compatExt spid="_x0000_s94236"/>
                </a:ext>
                <a:ext uri="{FF2B5EF4-FFF2-40B4-BE49-F238E27FC236}">
                  <a16:creationId xmlns:a16="http://schemas.microsoft.com/office/drawing/2014/main" id="{00000000-0008-0000-0C00-00001C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4237" name="Button 29" hidden="1">
              <a:extLst>
                <a:ext uri="{63B3BB69-23CF-44E3-9099-C40C66FF867C}">
                  <a14:compatExt spid="_x0000_s94237"/>
                </a:ext>
                <a:ext uri="{FF2B5EF4-FFF2-40B4-BE49-F238E27FC236}">
                  <a16:creationId xmlns:a16="http://schemas.microsoft.com/office/drawing/2014/main" id="{00000000-0008-0000-0C00-00001D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94238" name="Button 30" hidden="1">
              <a:extLst>
                <a:ext uri="{63B3BB69-23CF-44E3-9099-C40C66FF867C}">
                  <a14:compatExt spid="_x0000_s94238"/>
                </a:ext>
                <a:ext uri="{FF2B5EF4-FFF2-40B4-BE49-F238E27FC236}">
                  <a16:creationId xmlns:a16="http://schemas.microsoft.com/office/drawing/2014/main" id="{00000000-0008-0000-0C00-00001E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4239" name="Button 31" hidden="1">
              <a:extLst>
                <a:ext uri="{63B3BB69-23CF-44E3-9099-C40C66FF867C}">
                  <a14:compatExt spid="_x0000_s94239"/>
                </a:ext>
                <a:ext uri="{FF2B5EF4-FFF2-40B4-BE49-F238E27FC236}">
                  <a16:creationId xmlns:a16="http://schemas.microsoft.com/office/drawing/2014/main" id="{00000000-0008-0000-0C00-00001F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4240" name="Button 32" hidden="1">
              <a:extLst>
                <a:ext uri="{63B3BB69-23CF-44E3-9099-C40C66FF867C}">
                  <a14:compatExt spid="_x0000_s94240"/>
                </a:ext>
                <a:ext uri="{FF2B5EF4-FFF2-40B4-BE49-F238E27FC236}">
                  <a16:creationId xmlns:a16="http://schemas.microsoft.com/office/drawing/2014/main" id="{00000000-0008-0000-0C00-000020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4241" name="Button 33" hidden="1">
              <a:extLst>
                <a:ext uri="{63B3BB69-23CF-44E3-9099-C40C66FF867C}">
                  <a14:compatExt spid="_x0000_s94241"/>
                </a:ext>
                <a:ext uri="{FF2B5EF4-FFF2-40B4-BE49-F238E27FC236}">
                  <a16:creationId xmlns:a16="http://schemas.microsoft.com/office/drawing/2014/main" id="{00000000-0008-0000-0C00-000021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94242" name="Button 34" hidden="1">
              <a:extLst>
                <a:ext uri="{63B3BB69-23CF-44E3-9099-C40C66FF867C}">
                  <a14:compatExt spid="_x0000_s94242"/>
                </a:ext>
                <a:ext uri="{FF2B5EF4-FFF2-40B4-BE49-F238E27FC236}">
                  <a16:creationId xmlns:a16="http://schemas.microsoft.com/office/drawing/2014/main" id="{00000000-0008-0000-0C00-000022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4243" name="Button 35" hidden="1">
              <a:extLst>
                <a:ext uri="{63B3BB69-23CF-44E3-9099-C40C66FF867C}">
                  <a14:compatExt spid="_x0000_s94243"/>
                </a:ext>
                <a:ext uri="{FF2B5EF4-FFF2-40B4-BE49-F238E27FC236}">
                  <a16:creationId xmlns:a16="http://schemas.microsoft.com/office/drawing/2014/main" id="{00000000-0008-0000-0C00-000023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4244" name="Button 36" hidden="1">
              <a:extLst>
                <a:ext uri="{63B3BB69-23CF-44E3-9099-C40C66FF867C}">
                  <a14:compatExt spid="_x0000_s94244"/>
                </a:ext>
                <a:ext uri="{FF2B5EF4-FFF2-40B4-BE49-F238E27FC236}">
                  <a16:creationId xmlns:a16="http://schemas.microsoft.com/office/drawing/2014/main" id="{00000000-0008-0000-0C00-000024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4245" name="Button 37" hidden="1">
              <a:extLst>
                <a:ext uri="{63B3BB69-23CF-44E3-9099-C40C66FF867C}">
                  <a14:compatExt spid="_x0000_s94245"/>
                </a:ext>
                <a:ext uri="{FF2B5EF4-FFF2-40B4-BE49-F238E27FC236}">
                  <a16:creationId xmlns:a16="http://schemas.microsoft.com/office/drawing/2014/main" id="{00000000-0008-0000-0C00-000025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94246" name="Button 38" hidden="1">
              <a:extLst>
                <a:ext uri="{63B3BB69-23CF-44E3-9099-C40C66FF867C}">
                  <a14:compatExt spid="_x0000_s94246"/>
                </a:ext>
                <a:ext uri="{FF2B5EF4-FFF2-40B4-BE49-F238E27FC236}">
                  <a16:creationId xmlns:a16="http://schemas.microsoft.com/office/drawing/2014/main" id="{00000000-0008-0000-0C00-000026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4247" name="Button 39" hidden="1">
              <a:extLst>
                <a:ext uri="{63B3BB69-23CF-44E3-9099-C40C66FF867C}">
                  <a14:compatExt spid="_x0000_s94247"/>
                </a:ext>
                <a:ext uri="{FF2B5EF4-FFF2-40B4-BE49-F238E27FC236}">
                  <a16:creationId xmlns:a16="http://schemas.microsoft.com/office/drawing/2014/main" id="{00000000-0008-0000-0C00-000027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4248" name="Button 40" hidden="1">
              <a:extLst>
                <a:ext uri="{63B3BB69-23CF-44E3-9099-C40C66FF867C}">
                  <a14:compatExt spid="_x0000_s94248"/>
                </a:ext>
                <a:ext uri="{FF2B5EF4-FFF2-40B4-BE49-F238E27FC236}">
                  <a16:creationId xmlns:a16="http://schemas.microsoft.com/office/drawing/2014/main" id="{00000000-0008-0000-0C00-000028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4249" name="Button 41" hidden="1">
              <a:extLst>
                <a:ext uri="{63B3BB69-23CF-44E3-9099-C40C66FF867C}">
                  <a14:compatExt spid="_x0000_s94249"/>
                </a:ext>
                <a:ext uri="{FF2B5EF4-FFF2-40B4-BE49-F238E27FC236}">
                  <a16:creationId xmlns:a16="http://schemas.microsoft.com/office/drawing/2014/main" id="{00000000-0008-0000-0C00-000029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94250" name="Button 42" hidden="1">
              <a:extLst>
                <a:ext uri="{63B3BB69-23CF-44E3-9099-C40C66FF867C}">
                  <a14:compatExt spid="_x0000_s94250"/>
                </a:ext>
                <a:ext uri="{FF2B5EF4-FFF2-40B4-BE49-F238E27FC236}">
                  <a16:creationId xmlns:a16="http://schemas.microsoft.com/office/drawing/2014/main" id="{00000000-0008-0000-0C00-00002A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4251" name="Button 43" hidden="1">
              <a:extLst>
                <a:ext uri="{63B3BB69-23CF-44E3-9099-C40C66FF867C}">
                  <a14:compatExt spid="_x0000_s94251"/>
                </a:ext>
                <a:ext uri="{FF2B5EF4-FFF2-40B4-BE49-F238E27FC236}">
                  <a16:creationId xmlns:a16="http://schemas.microsoft.com/office/drawing/2014/main" id="{00000000-0008-0000-0C00-00002B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4252" name="Button 44" hidden="1">
              <a:extLst>
                <a:ext uri="{63B3BB69-23CF-44E3-9099-C40C66FF867C}">
                  <a14:compatExt spid="_x0000_s94252"/>
                </a:ext>
                <a:ext uri="{FF2B5EF4-FFF2-40B4-BE49-F238E27FC236}">
                  <a16:creationId xmlns:a16="http://schemas.microsoft.com/office/drawing/2014/main" id="{00000000-0008-0000-0C00-00002C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4253" name="Button 45" hidden="1">
              <a:extLst>
                <a:ext uri="{63B3BB69-23CF-44E3-9099-C40C66FF867C}">
                  <a14:compatExt spid="_x0000_s94253"/>
                </a:ext>
                <a:ext uri="{FF2B5EF4-FFF2-40B4-BE49-F238E27FC236}">
                  <a16:creationId xmlns:a16="http://schemas.microsoft.com/office/drawing/2014/main" id="{00000000-0008-0000-0C00-00002D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94254" name="Button 46" hidden="1">
              <a:extLst>
                <a:ext uri="{63B3BB69-23CF-44E3-9099-C40C66FF867C}">
                  <a14:compatExt spid="_x0000_s94254"/>
                </a:ext>
                <a:ext uri="{FF2B5EF4-FFF2-40B4-BE49-F238E27FC236}">
                  <a16:creationId xmlns:a16="http://schemas.microsoft.com/office/drawing/2014/main" id="{00000000-0008-0000-0C00-00002E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4255" name="Button 47" hidden="1">
              <a:extLst>
                <a:ext uri="{63B3BB69-23CF-44E3-9099-C40C66FF867C}">
                  <a14:compatExt spid="_x0000_s94255"/>
                </a:ext>
                <a:ext uri="{FF2B5EF4-FFF2-40B4-BE49-F238E27FC236}">
                  <a16:creationId xmlns:a16="http://schemas.microsoft.com/office/drawing/2014/main" id="{00000000-0008-0000-0C00-00002F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4256" name="Button 48" hidden="1">
              <a:extLst>
                <a:ext uri="{63B3BB69-23CF-44E3-9099-C40C66FF867C}">
                  <a14:compatExt spid="_x0000_s94256"/>
                </a:ext>
                <a:ext uri="{FF2B5EF4-FFF2-40B4-BE49-F238E27FC236}">
                  <a16:creationId xmlns:a16="http://schemas.microsoft.com/office/drawing/2014/main" id="{00000000-0008-0000-0C00-000030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4257" name="Button 49" hidden="1">
              <a:extLst>
                <a:ext uri="{63B3BB69-23CF-44E3-9099-C40C66FF867C}">
                  <a14:compatExt spid="_x0000_s94257"/>
                </a:ext>
                <a:ext uri="{FF2B5EF4-FFF2-40B4-BE49-F238E27FC236}">
                  <a16:creationId xmlns:a16="http://schemas.microsoft.com/office/drawing/2014/main" id="{00000000-0008-0000-0C00-000031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94258" name="Button 50" hidden="1">
              <a:extLst>
                <a:ext uri="{63B3BB69-23CF-44E3-9099-C40C66FF867C}">
                  <a14:compatExt spid="_x0000_s94258"/>
                </a:ext>
                <a:ext uri="{FF2B5EF4-FFF2-40B4-BE49-F238E27FC236}">
                  <a16:creationId xmlns:a16="http://schemas.microsoft.com/office/drawing/2014/main" id="{00000000-0008-0000-0C00-000032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4259" name="Button 51" hidden="1">
              <a:extLst>
                <a:ext uri="{63B3BB69-23CF-44E3-9099-C40C66FF867C}">
                  <a14:compatExt spid="_x0000_s94259"/>
                </a:ext>
                <a:ext uri="{FF2B5EF4-FFF2-40B4-BE49-F238E27FC236}">
                  <a16:creationId xmlns:a16="http://schemas.microsoft.com/office/drawing/2014/main" id="{00000000-0008-0000-0C00-000033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4260" name="Button 52" hidden="1">
              <a:extLst>
                <a:ext uri="{63B3BB69-23CF-44E3-9099-C40C66FF867C}">
                  <a14:compatExt spid="_x0000_s94260"/>
                </a:ext>
                <a:ext uri="{FF2B5EF4-FFF2-40B4-BE49-F238E27FC236}">
                  <a16:creationId xmlns:a16="http://schemas.microsoft.com/office/drawing/2014/main" id="{00000000-0008-0000-0C00-000034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4261" name="Button 53" hidden="1">
              <a:extLst>
                <a:ext uri="{63B3BB69-23CF-44E3-9099-C40C66FF867C}">
                  <a14:compatExt spid="_x0000_s94261"/>
                </a:ext>
                <a:ext uri="{FF2B5EF4-FFF2-40B4-BE49-F238E27FC236}">
                  <a16:creationId xmlns:a16="http://schemas.microsoft.com/office/drawing/2014/main" id="{00000000-0008-0000-0C00-000035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94262" name="Button 54" hidden="1">
              <a:extLst>
                <a:ext uri="{63B3BB69-23CF-44E3-9099-C40C66FF867C}">
                  <a14:compatExt spid="_x0000_s94262"/>
                </a:ext>
                <a:ext uri="{FF2B5EF4-FFF2-40B4-BE49-F238E27FC236}">
                  <a16:creationId xmlns:a16="http://schemas.microsoft.com/office/drawing/2014/main" id="{00000000-0008-0000-0C00-000036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4263" name="Button 55" hidden="1">
              <a:extLst>
                <a:ext uri="{63B3BB69-23CF-44E3-9099-C40C66FF867C}">
                  <a14:compatExt spid="_x0000_s94263"/>
                </a:ext>
                <a:ext uri="{FF2B5EF4-FFF2-40B4-BE49-F238E27FC236}">
                  <a16:creationId xmlns:a16="http://schemas.microsoft.com/office/drawing/2014/main" id="{00000000-0008-0000-0C00-000037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4264" name="Button 56" hidden="1">
              <a:extLst>
                <a:ext uri="{63B3BB69-23CF-44E3-9099-C40C66FF867C}">
                  <a14:compatExt spid="_x0000_s94264"/>
                </a:ext>
                <a:ext uri="{FF2B5EF4-FFF2-40B4-BE49-F238E27FC236}">
                  <a16:creationId xmlns:a16="http://schemas.microsoft.com/office/drawing/2014/main" id="{00000000-0008-0000-0C00-000038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4265" name="Button 57" hidden="1">
              <a:extLst>
                <a:ext uri="{63B3BB69-23CF-44E3-9099-C40C66FF867C}">
                  <a14:compatExt spid="_x0000_s94265"/>
                </a:ext>
                <a:ext uri="{FF2B5EF4-FFF2-40B4-BE49-F238E27FC236}">
                  <a16:creationId xmlns:a16="http://schemas.microsoft.com/office/drawing/2014/main" id="{00000000-0008-0000-0C00-000039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94266" name="Button 58" hidden="1">
              <a:extLst>
                <a:ext uri="{63B3BB69-23CF-44E3-9099-C40C66FF867C}">
                  <a14:compatExt spid="_x0000_s94266"/>
                </a:ext>
                <a:ext uri="{FF2B5EF4-FFF2-40B4-BE49-F238E27FC236}">
                  <a16:creationId xmlns:a16="http://schemas.microsoft.com/office/drawing/2014/main" id="{00000000-0008-0000-0C00-00003A7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0D00-000001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89</xdr:row>
          <xdr:rowOff>76200</xdr:rowOff>
        </xdr:from>
        <xdr:to>
          <xdr:col>16</xdr:col>
          <xdr:colOff>38100</xdr:colOff>
          <xdr:row>90</xdr:row>
          <xdr:rowOff>133350</xdr:rowOff>
        </xdr:to>
        <xdr:sp macro="" textlink="">
          <xdr:nvSpPr>
            <xdr:cNvPr id="27666" name="Button 18" hidden="1">
              <a:extLst>
                <a:ext uri="{63B3BB69-23CF-44E3-9099-C40C66FF867C}">
                  <a14:compatExt spid="_x0000_s27666"/>
                </a:ext>
                <a:ext uri="{FF2B5EF4-FFF2-40B4-BE49-F238E27FC236}">
                  <a16:creationId xmlns:a16="http://schemas.microsoft.com/office/drawing/2014/main" id="{00000000-0008-0000-0D00-000012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27667" name="Button 19" hidden="1">
              <a:extLst>
                <a:ext uri="{63B3BB69-23CF-44E3-9099-C40C66FF867C}">
                  <a14:compatExt spid="_x0000_s27667"/>
                </a:ext>
                <a:ext uri="{FF2B5EF4-FFF2-40B4-BE49-F238E27FC236}">
                  <a16:creationId xmlns:a16="http://schemas.microsoft.com/office/drawing/2014/main" id="{00000000-0008-0000-0D00-000013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27668" name="Button 20" hidden="1">
              <a:extLst>
                <a:ext uri="{63B3BB69-23CF-44E3-9099-C40C66FF867C}">
                  <a14:compatExt spid="_x0000_s27668"/>
                </a:ext>
                <a:ext uri="{FF2B5EF4-FFF2-40B4-BE49-F238E27FC236}">
                  <a16:creationId xmlns:a16="http://schemas.microsoft.com/office/drawing/2014/main" id="{00000000-0008-0000-0D00-000014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27669" name="Button 21" hidden="1">
              <a:extLst>
                <a:ext uri="{63B3BB69-23CF-44E3-9099-C40C66FF867C}">
                  <a14:compatExt spid="_x0000_s27669"/>
                </a:ext>
                <a:ext uri="{FF2B5EF4-FFF2-40B4-BE49-F238E27FC236}">
                  <a16:creationId xmlns:a16="http://schemas.microsoft.com/office/drawing/2014/main" id="{00000000-0008-0000-0D00-000015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27670" name="Button 22" hidden="1">
              <a:extLst>
                <a:ext uri="{63B3BB69-23CF-44E3-9099-C40C66FF867C}">
                  <a14:compatExt spid="_x0000_s27670"/>
                </a:ext>
                <a:ext uri="{FF2B5EF4-FFF2-40B4-BE49-F238E27FC236}">
                  <a16:creationId xmlns:a16="http://schemas.microsoft.com/office/drawing/2014/main" id="{00000000-0008-0000-0D00-000016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27679" name="Button 31" hidden="1">
              <a:extLst>
                <a:ext uri="{63B3BB69-23CF-44E3-9099-C40C66FF867C}">
                  <a14:compatExt spid="_x0000_s27679"/>
                </a:ext>
                <a:ext uri="{FF2B5EF4-FFF2-40B4-BE49-F238E27FC236}">
                  <a16:creationId xmlns:a16="http://schemas.microsoft.com/office/drawing/2014/main" id="{00000000-0008-0000-0D00-00001F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27680" name="Button 32" hidden="1">
              <a:extLst>
                <a:ext uri="{63B3BB69-23CF-44E3-9099-C40C66FF867C}">
                  <a14:compatExt spid="_x0000_s27680"/>
                </a:ext>
                <a:ext uri="{FF2B5EF4-FFF2-40B4-BE49-F238E27FC236}">
                  <a16:creationId xmlns:a16="http://schemas.microsoft.com/office/drawing/2014/main" id="{00000000-0008-0000-0D00-000020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27681" name="Button 33" hidden="1">
              <a:extLst>
                <a:ext uri="{63B3BB69-23CF-44E3-9099-C40C66FF867C}">
                  <a14:compatExt spid="_x0000_s27681"/>
                </a:ext>
                <a:ext uri="{FF2B5EF4-FFF2-40B4-BE49-F238E27FC236}">
                  <a16:creationId xmlns:a16="http://schemas.microsoft.com/office/drawing/2014/main" id="{00000000-0008-0000-0D00-000021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27682" name="Button 34" hidden="1">
              <a:extLst>
                <a:ext uri="{63B3BB69-23CF-44E3-9099-C40C66FF867C}">
                  <a14:compatExt spid="_x0000_s27682"/>
                </a:ext>
                <a:ext uri="{FF2B5EF4-FFF2-40B4-BE49-F238E27FC236}">
                  <a16:creationId xmlns:a16="http://schemas.microsoft.com/office/drawing/2014/main" id="{00000000-0008-0000-0D00-000022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27683" name="Button 35" hidden="1">
              <a:extLst>
                <a:ext uri="{63B3BB69-23CF-44E3-9099-C40C66FF867C}">
                  <a14:compatExt spid="_x0000_s27683"/>
                </a:ext>
                <a:ext uri="{FF2B5EF4-FFF2-40B4-BE49-F238E27FC236}">
                  <a16:creationId xmlns:a16="http://schemas.microsoft.com/office/drawing/2014/main" id="{00000000-0008-0000-0D00-000023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27684" name="Button 36" hidden="1">
              <a:extLst>
                <a:ext uri="{63B3BB69-23CF-44E3-9099-C40C66FF867C}">
                  <a14:compatExt spid="_x0000_s27684"/>
                </a:ext>
                <a:ext uri="{FF2B5EF4-FFF2-40B4-BE49-F238E27FC236}">
                  <a16:creationId xmlns:a16="http://schemas.microsoft.com/office/drawing/2014/main" id="{00000000-0008-0000-0D00-000024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27685" name="Button 37" hidden="1">
              <a:extLst>
                <a:ext uri="{63B3BB69-23CF-44E3-9099-C40C66FF867C}">
                  <a14:compatExt spid="_x0000_s27685"/>
                </a:ext>
                <a:ext uri="{FF2B5EF4-FFF2-40B4-BE49-F238E27FC236}">
                  <a16:creationId xmlns:a16="http://schemas.microsoft.com/office/drawing/2014/main" id="{00000000-0008-0000-0D00-000025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27686" name="Button 38" hidden="1">
              <a:extLst>
                <a:ext uri="{63B3BB69-23CF-44E3-9099-C40C66FF867C}">
                  <a14:compatExt spid="_x0000_s27686"/>
                </a:ext>
                <a:ext uri="{FF2B5EF4-FFF2-40B4-BE49-F238E27FC236}">
                  <a16:creationId xmlns:a16="http://schemas.microsoft.com/office/drawing/2014/main" id="{00000000-0008-0000-0D00-000026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27687" name="Button 39" hidden="1">
              <a:extLst>
                <a:ext uri="{63B3BB69-23CF-44E3-9099-C40C66FF867C}">
                  <a14:compatExt spid="_x0000_s27687"/>
                </a:ext>
                <a:ext uri="{FF2B5EF4-FFF2-40B4-BE49-F238E27FC236}">
                  <a16:creationId xmlns:a16="http://schemas.microsoft.com/office/drawing/2014/main" id="{00000000-0008-0000-0D00-000027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27688" name="Button 40" hidden="1">
              <a:extLst>
                <a:ext uri="{63B3BB69-23CF-44E3-9099-C40C66FF867C}">
                  <a14:compatExt spid="_x0000_s27688"/>
                </a:ext>
                <a:ext uri="{FF2B5EF4-FFF2-40B4-BE49-F238E27FC236}">
                  <a16:creationId xmlns:a16="http://schemas.microsoft.com/office/drawing/2014/main" id="{00000000-0008-0000-0D00-000028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27689" name="Button 41" hidden="1">
              <a:extLst>
                <a:ext uri="{63B3BB69-23CF-44E3-9099-C40C66FF867C}">
                  <a14:compatExt spid="_x0000_s27689"/>
                </a:ext>
                <a:ext uri="{FF2B5EF4-FFF2-40B4-BE49-F238E27FC236}">
                  <a16:creationId xmlns:a16="http://schemas.microsoft.com/office/drawing/2014/main" id="{00000000-0008-0000-0D00-000029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27690" name="Button 42" hidden="1">
              <a:extLst>
                <a:ext uri="{63B3BB69-23CF-44E3-9099-C40C66FF867C}">
                  <a14:compatExt spid="_x0000_s27690"/>
                </a:ext>
                <a:ext uri="{FF2B5EF4-FFF2-40B4-BE49-F238E27FC236}">
                  <a16:creationId xmlns:a16="http://schemas.microsoft.com/office/drawing/2014/main" id="{00000000-0008-0000-0D00-00002A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27691" name="Button 43" hidden="1">
              <a:extLst>
                <a:ext uri="{63B3BB69-23CF-44E3-9099-C40C66FF867C}">
                  <a14:compatExt spid="_x0000_s27691"/>
                </a:ext>
                <a:ext uri="{FF2B5EF4-FFF2-40B4-BE49-F238E27FC236}">
                  <a16:creationId xmlns:a16="http://schemas.microsoft.com/office/drawing/2014/main" id="{00000000-0008-0000-0D00-00002B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27692" name="Button 44" hidden="1">
              <a:extLst>
                <a:ext uri="{63B3BB69-23CF-44E3-9099-C40C66FF867C}">
                  <a14:compatExt spid="_x0000_s27692"/>
                </a:ext>
                <a:ext uri="{FF2B5EF4-FFF2-40B4-BE49-F238E27FC236}">
                  <a16:creationId xmlns:a16="http://schemas.microsoft.com/office/drawing/2014/main" id="{00000000-0008-0000-0D00-00002C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27693" name="Button 45" hidden="1">
              <a:extLst>
                <a:ext uri="{63B3BB69-23CF-44E3-9099-C40C66FF867C}">
                  <a14:compatExt spid="_x0000_s27693"/>
                </a:ext>
                <a:ext uri="{FF2B5EF4-FFF2-40B4-BE49-F238E27FC236}">
                  <a16:creationId xmlns:a16="http://schemas.microsoft.com/office/drawing/2014/main" id="{00000000-0008-0000-0D00-00002D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27694" name="Button 46" hidden="1">
              <a:extLst>
                <a:ext uri="{63B3BB69-23CF-44E3-9099-C40C66FF867C}">
                  <a14:compatExt spid="_x0000_s27694"/>
                </a:ext>
                <a:ext uri="{FF2B5EF4-FFF2-40B4-BE49-F238E27FC236}">
                  <a16:creationId xmlns:a16="http://schemas.microsoft.com/office/drawing/2014/main" id="{00000000-0008-0000-0D00-00002E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27695" name="Button 47" hidden="1">
              <a:extLst>
                <a:ext uri="{63B3BB69-23CF-44E3-9099-C40C66FF867C}">
                  <a14:compatExt spid="_x0000_s27695"/>
                </a:ext>
                <a:ext uri="{FF2B5EF4-FFF2-40B4-BE49-F238E27FC236}">
                  <a16:creationId xmlns:a16="http://schemas.microsoft.com/office/drawing/2014/main" id="{00000000-0008-0000-0D00-00002F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27696" name="Button 48" hidden="1">
              <a:extLst>
                <a:ext uri="{63B3BB69-23CF-44E3-9099-C40C66FF867C}">
                  <a14:compatExt spid="_x0000_s27696"/>
                </a:ext>
                <a:ext uri="{FF2B5EF4-FFF2-40B4-BE49-F238E27FC236}">
                  <a16:creationId xmlns:a16="http://schemas.microsoft.com/office/drawing/2014/main" id="{00000000-0008-0000-0D00-000030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27697" name="Button 49" hidden="1">
              <a:extLst>
                <a:ext uri="{63B3BB69-23CF-44E3-9099-C40C66FF867C}">
                  <a14:compatExt spid="_x0000_s27697"/>
                </a:ext>
                <a:ext uri="{FF2B5EF4-FFF2-40B4-BE49-F238E27FC236}">
                  <a16:creationId xmlns:a16="http://schemas.microsoft.com/office/drawing/2014/main" id="{00000000-0008-0000-0D00-000031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27698" name="Button 50" hidden="1">
              <a:extLst>
                <a:ext uri="{63B3BB69-23CF-44E3-9099-C40C66FF867C}">
                  <a14:compatExt spid="_x0000_s27698"/>
                </a:ext>
                <a:ext uri="{FF2B5EF4-FFF2-40B4-BE49-F238E27FC236}">
                  <a16:creationId xmlns:a16="http://schemas.microsoft.com/office/drawing/2014/main" id="{00000000-0008-0000-0D00-000032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27699" name="Button 51" hidden="1">
              <a:extLst>
                <a:ext uri="{63B3BB69-23CF-44E3-9099-C40C66FF867C}">
                  <a14:compatExt spid="_x0000_s27699"/>
                </a:ext>
                <a:ext uri="{FF2B5EF4-FFF2-40B4-BE49-F238E27FC236}">
                  <a16:creationId xmlns:a16="http://schemas.microsoft.com/office/drawing/2014/main" id="{00000000-0008-0000-0D00-000033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27700" name="Button 52" hidden="1">
              <a:extLst>
                <a:ext uri="{63B3BB69-23CF-44E3-9099-C40C66FF867C}">
                  <a14:compatExt spid="_x0000_s27700"/>
                </a:ext>
                <a:ext uri="{FF2B5EF4-FFF2-40B4-BE49-F238E27FC236}">
                  <a16:creationId xmlns:a16="http://schemas.microsoft.com/office/drawing/2014/main" id="{00000000-0008-0000-0D00-000034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27701" name="Button 53" hidden="1">
              <a:extLst>
                <a:ext uri="{63B3BB69-23CF-44E3-9099-C40C66FF867C}">
                  <a14:compatExt spid="_x0000_s27701"/>
                </a:ext>
                <a:ext uri="{FF2B5EF4-FFF2-40B4-BE49-F238E27FC236}">
                  <a16:creationId xmlns:a16="http://schemas.microsoft.com/office/drawing/2014/main" id="{00000000-0008-0000-0D00-000035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27702" name="Button 54" hidden="1">
              <a:extLst>
                <a:ext uri="{63B3BB69-23CF-44E3-9099-C40C66FF867C}">
                  <a14:compatExt spid="_x0000_s27702"/>
                </a:ext>
                <a:ext uri="{FF2B5EF4-FFF2-40B4-BE49-F238E27FC236}">
                  <a16:creationId xmlns:a16="http://schemas.microsoft.com/office/drawing/2014/main" id="{00000000-0008-0000-0D00-000036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27703" name="Button 55" hidden="1">
              <a:extLst>
                <a:ext uri="{63B3BB69-23CF-44E3-9099-C40C66FF867C}">
                  <a14:compatExt spid="_x0000_s27703"/>
                </a:ext>
                <a:ext uri="{FF2B5EF4-FFF2-40B4-BE49-F238E27FC236}">
                  <a16:creationId xmlns:a16="http://schemas.microsoft.com/office/drawing/2014/main" id="{00000000-0008-0000-0D00-000037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27704" name="Button 56" hidden="1">
              <a:extLst>
                <a:ext uri="{63B3BB69-23CF-44E3-9099-C40C66FF867C}">
                  <a14:compatExt spid="_x0000_s27704"/>
                </a:ext>
                <a:ext uri="{FF2B5EF4-FFF2-40B4-BE49-F238E27FC236}">
                  <a16:creationId xmlns:a16="http://schemas.microsoft.com/office/drawing/2014/main" id="{00000000-0008-0000-0D00-000038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27705" name="Button 57" hidden="1">
              <a:extLst>
                <a:ext uri="{63B3BB69-23CF-44E3-9099-C40C66FF867C}">
                  <a14:compatExt spid="_x0000_s27705"/>
                </a:ext>
                <a:ext uri="{FF2B5EF4-FFF2-40B4-BE49-F238E27FC236}">
                  <a16:creationId xmlns:a16="http://schemas.microsoft.com/office/drawing/2014/main" id="{00000000-0008-0000-0D00-000039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27706" name="Button 58" hidden="1">
              <a:extLst>
                <a:ext uri="{63B3BB69-23CF-44E3-9099-C40C66FF867C}">
                  <a14:compatExt spid="_x0000_s27706"/>
                </a:ext>
                <a:ext uri="{FF2B5EF4-FFF2-40B4-BE49-F238E27FC236}">
                  <a16:creationId xmlns:a16="http://schemas.microsoft.com/office/drawing/2014/main" id="{00000000-0008-0000-0D00-00003A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27707" name="Button 59" hidden="1">
              <a:extLst>
                <a:ext uri="{63B3BB69-23CF-44E3-9099-C40C66FF867C}">
                  <a14:compatExt spid="_x0000_s27707"/>
                </a:ext>
                <a:ext uri="{FF2B5EF4-FFF2-40B4-BE49-F238E27FC236}">
                  <a16:creationId xmlns:a16="http://schemas.microsoft.com/office/drawing/2014/main" id="{00000000-0008-0000-0D00-00003B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27708" name="Button 60" hidden="1">
              <a:extLst>
                <a:ext uri="{63B3BB69-23CF-44E3-9099-C40C66FF867C}">
                  <a14:compatExt spid="_x0000_s27708"/>
                </a:ext>
                <a:ext uri="{FF2B5EF4-FFF2-40B4-BE49-F238E27FC236}">
                  <a16:creationId xmlns:a16="http://schemas.microsoft.com/office/drawing/2014/main" id="{00000000-0008-0000-0D00-00003C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27709" name="Button 61" hidden="1">
              <a:extLst>
                <a:ext uri="{63B3BB69-23CF-44E3-9099-C40C66FF867C}">
                  <a14:compatExt spid="_x0000_s27709"/>
                </a:ext>
                <a:ext uri="{FF2B5EF4-FFF2-40B4-BE49-F238E27FC236}">
                  <a16:creationId xmlns:a16="http://schemas.microsoft.com/office/drawing/2014/main" id="{00000000-0008-0000-0D00-00003D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27710" name="Button 62" hidden="1">
              <a:extLst>
                <a:ext uri="{63B3BB69-23CF-44E3-9099-C40C66FF867C}">
                  <a14:compatExt spid="_x0000_s27710"/>
                </a:ext>
                <a:ext uri="{FF2B5EF4-FFF2-40B4-BE49-F238E27FC236}">
                  <a16:creationId xmlns:a16="http://schemas.microsoft.com/office/drawing/2014/main" id="{00000000-0008-0000-0D00-00003E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27711" name="Button 63" hidden="1">
              <a:extLst>
                <a:ext uri="{63B3BB69-23CF-44E3-9099-C40C66FF867C}">
                  <a14:compatExt spid="_x0000_s27711"/>
                </a:ext>
                <a:ext uri="{FF2B5EF4-FFF2-40B4-BE49-F238E27FC236}">
                  <a16:creationId xmlns:a16="http://schemas.microsoft.com/office/drawing/2014/main" id="{00000000-0008-0000-0D00-00003F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27712" name="Button 64" hidden="1">
              <a:extLst>
                <a:ext uri="{63B3BB69-23CF-44E3-9099-C40C66FF867C}">
                  <a14:compatExt spid="_x0000_s27712"/>
                </a:ext>
                <a:ext uri="{FF2B5EF4-FFF2-40B4-BE49-F238E27FC236}">
                  <a16:creationId xmlns:a16="http://schemas.microsoft.com/office/drawing/2014/main" id="{00000000-0008-0000-0D00-000040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27713" name="Button 65" hidden="1">
              <a:extLst>
                <a:ext uri="{63B3BB69-23CF-44E3-9099-C40C66FF867C}">
                  <a14:compatExt spid="_x0000_s27713"/>
                </a:ext>
                <a:ext uri="{FF2B5EF4-FFF2-40B4-BE49-F238E27FC236}">
                  <a16:creationId xmlns:a16="http://schemas.microsoft.com/office/drawing/2014/main" id="{00000000-0008-0000-0D00-000041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27714" name="Button 66" hidden="1">
              <a:extLst>
                <a:ext uri="{63B3BB69-23CF-44E3-9099-C40C66FF867C}">
                  <a14:compatExt spid="_x0000_s27714"/>
                </a:ext>
                <a:ext uri="{FF2B5EF4-FFF2-40B4-BE49-F238E27FC236}">
                  <a16:creationId xmlns:a16="http://schemas.microsoft.com/office/drawing/2014/main" id="{00000000-0008-0000-0D00-000042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27715" name="Button 67" hidden="1">
              <a:extLst>
                <a:ext uri="{63B3BB69-23CF-44E3-9099-C40C66FF867C}">
                  <a14:compatExt spid="_x0000_s27715"/>
                </a:ext>
                <a:ext uri="{FF2B5EF4-FFF2-40B4-BE49-F238E27FC236}">
                  <a16:creationId xmlns:a16="http://schemas.microsoft.com/office/drawing/2014/main" id="{00000000-0008-0000-0D00-000043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27716" name="Button 68" hidden="1">
              <a:extLst>
                <a:ext uri="{63B3BB69-23CF-44E3-9099-C40C66FF867C}">
                  <a14:compatExt spid="_x0000_s27716"/>
                </a:ext>
                <a:ext uri="{FF2B5EF4-FFF2-40B4-BE49-F238E27FC236}">
                  <a16:creationId xmlns:a16="http://schemas.microsoft.com/office/drawing/2014/main" id="{00000000-0008-0000-0D00-000044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27717" name="Button 69" hidden="1">
              <a:extLst>
                <a:ext uri="{63B3BB69-23CF-44E3-9099-C40C66FF867C}">
                  <a14:compatExt spid="_x0000_s27717"/>
                </a:ext>
                <a:ext uri="{FF2B5EF4-FFF2-40B4-BE49-F238E27FC236}">
                  <a16:creationId xmlns:a16="http://schemas.microsoft.com/office/drawing/2014/main" id="{00000000-0008-0000-0D00-000045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27718" name="Button 70" hidden="1">
              <a:extLst>
                <a:ext uri="{63B3BB69-23CF-44E3-9099-C40C66FF867C}">
                  <a14:compatExt spid="_x0000_s27718"/>
                </a:ext>
                <a:ext uri="{FF2B5EF4-FFF2-40B4-BE49-F238E27FC236}">
                  <a16:creationId xmlns:a16="http://schemas.microsoft.com/office/drawing/2014/main" id="{00000000-0008-0000-0D00-000046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27719" name="Button 71" hidden="1">
              <a:extLst>
                <a:ext uri="{63B3BB69-23CF-44E3-9099-C40C66FF867C}">
                  <a14:compatExt spid="_x0000_s27719"/>
                </a:ext>
                <a:ext uri="{FF2B5EF4-FFF2-40B4-BE49-F238E27FC236}">
                  <a16:creationId xmlns:a16="http://schemas.microsoft.com/office/drawing/2014/main" id="{00000000-0008-0000-0D00-000047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27720" name="Button 72" hidden="1">
              <a:extLst>
                <a:ext uri="{63B3BB69-23CF-44E3-9099-C40C66FF867C}">
                  <a14:compatExt spid="_x0000_s27720"/>
                </a:ext>
                <a:ext uri="{FF2B5EF4-FFF2-40B4-BE49-F238E27FC236}">
                  <a16:creationId xmlns:a16="http://schemas.microsoft.com/office/drawing/2014/main" id="{00000000-0008-0000-0D00-000048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27721" name="Button 73" hidden="1">
              <a:extLst>
                <a:ext uri="{63B3BB69-23CF-44E3-9099-C40C66FF867C}">
                  <a14:compatExt spid="_x0000_s27721"/>
                </a:ext>
                <a:ext uri="{FF2B5EF4-FFF2-40B4-BE49-F238E27FC236}">
                  <a16:creationId xmlns:a16="http://schemas.microsoft.com/office/drawing/2014/main" id="{00000000-0008-0000-0D00-000049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27722" name="Button 74" hidden="1">
              <a:extLst>
                <a:ext uri="{63B3BB69-23CF-44E3-9099-C40C66FF867C}">
                  <a14:compatExt spid="_x0000_s27722"/>
                </a:ext>
                <a:ext uri="{FF2B5EF4-FFF2-40B4-BE49-F238E27FC236}">
                  <a16:creationId xmlns:a16="http://schemas.microsoft.com/office/drawing/2014/main" id="{00000000-0008-0000-0D00-00004A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27723" name="Button 75" hidden="1">
              <a:extLst>
                <a:ext uri="{63B3BB69-23CF-44E3-9099-C40C66FF867C}">
                  <a14:compatExt spid="_x0000_s27723"/>
                </a:ext>
                <a:ext uri="{FF2B5EF4-FFF2-40B4-BE49-F238E27FC236}">
                  <a16:creationId xmlns:a16="http://schemas.microsoft.com/office/drawing/2014/main" id="{00000000-0008-0000-0D00-00004B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27724" name="Button 76" hidden="1">
              <a:extLst>
                <a:ext uri="{63B3BB69-23CF-44E3-9099-C40C66FF867C}">
                  <a14:compatExt spid="_x0000_s27724"/>
                </a:ext>
                <a:ext uri="{FF2B5EF4-FFF2-40B4-BE49-F238E27FC236}">
                  <a16:creationId xmlns:a16="http://schemas.microsoft.com/office/drawing/2014/main" id="{00000000-0008-0000-0D00-00004C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27725" name="Button 77" hidden="1">
              <a:extLst>
                <a:ext uri="{63B3BB69-23CF-44E3-9099-C40C66FF867C}">
                  <a14:compatExt spid="_x0000_s27725"/>
                </a:ext>
                <a:ext uri="{FF2B5EF4-FFF2-40B4-BE49-F238E27FC236}">
                  <a16:creationId xmlns:a16="http://schemas.microsoft.com/office/drawing/2014/main" id="{00000000-0008-0000-0D00-00004D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27726" name="Button 78" hidden="1">
              <a:extLst>
                <a:ext uri="{63B3BB69-23CF-44E3-9099-C40C66FF867C}">
                  <a14:compatExt spid="_x0000_s27726"/>
                </a:ext>
                <a:ext uri="{FF2B5EF4-FFF2-40B4-BE49-F238E27FC236}">
                  <a16:creationId xmlns:a16="http://schemas.microsoft.com/office/drawing/2014/main" id="{00000000-0008-0000-0D00-00004E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27727" name="Button 79" hidden="1">
              <a:extLst>
                <a:ext uri="{63B3BB69-23CF-44E3-9099-C40C66FF867C}">
                  <a14:compatExt spid="_x0000_s27727"/>
                </a:ext>
                <a:ext uri="{FF2B5EF4-FFF2-40B4-BE49-F238E27FC236}">
                  <a16:creationId xmlns:a16="http://schemas.microsoft.com/office/drawing/2014/main" id="{00000000-0008-0000-0D00-00004F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27728" name="Button 80" hidden="1">
              <a:extLst>
                <a:ext uri="{63B3BB69-23CF-44E3-9099-C40C66FF867C}">
                  <a14:compatExt spid="_x0000_s27728"/>
                </a:ext>
                <a:ext uri="{FF2B5EF4-FFF2-40B4-BE49-F238E27FC236}">
                  <a16:creationId xmlns:a16="http://schemas.microsoft.com/office/drawing/2014/main" id="{00000000-0008-0000-0D00-000050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27729" name="Button 81" hidden="1">
              <a:extLst>
                <a:ext uri="{63B3BB69-23CF-44E3-9099-C40C66FF867C}">
                  <a14:compatExt spid="_x0000_s27729"/>
                </a:ext>
                <a:ext uri="{FF2B5EF4-FFF2-40B4-BE49-F238E27FC236}">
                  <a16:creationId xmlns:a16="http://schemas.microsoft.com/office/drawing/2014/main" id="{00000000-0008-0000-0D00-000051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27730" name="Button 82" hidden="1">
              <a:extLst>
                <a:ext uri="{63B3BB69-23CF-44E3-9099-C40C66FF867C}">
                  <a14:compatExt spid="_x0000_s27730"/>
                </a:ext>
                <a:ext uri="{FF2B5EF4-FFF2-40B4-BE49-F238E27FC236}">
                  <a16:creationId xmlns:a16="http://schemas.microsoft.com/office/drawing/2014/main" id="{00000000-0008-0000-0D00-0000526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76801" name="Button 1" hidden="1">
              <a:extLst>
                <a:ext uri="{63B3BB69-23CF-44E3-9099-C40C66FF867C}">
                  <a14:compatExt spid="_x0000_s76801"/>
                </a:ext>
                <a:ext uri="{FF2B5EF4-FFF2-40B4-BE49-F238E27FC236}">
                  <a16:creationId xmlns:a16="http://schemas.microsoft.com/office/drawing/2014/main" id="{00000000-0008-0000-0E00-000001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89</xdr:row>
          <xdr:rowOff>76200</xdr:rowOff>
        </xdr:from>
        <xdr:to>
          <xdr:col>16</xdr:col>
          <xdr:colOff>38100</xdr:colOff>
          <xdr:row>90</xdr:row>
          <xdr:rowOff>133350</xdr:rowOff>
        </xdr:to>
        <xdr:sp macro="" textlink="">
          <xdr:nvSpPr>
            <xdr:cNvPr id="76802" name="Button 2" hidden="1">
              <a:extLst>
                <a:ext uri="{63B3BB69-23CF-44E3-9099-C40C66FF867C}">
                  <a14:compatExt spid="_x0000_s76802"/>
                </a:ext>
                <a:ext uri="{FF2B5EF4-FFF2-40B4-BE49-F238E27FC236}">
                  <a16:creationId xmlns:a16="http://schemas.microsoft.com/office/drawing/2014/main" id="{00000000-0008-0000-0E00-000002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6803" name="Button 3" hidden="1">
              <a:extLst>
                <a:ext uri="{63B3BB69-23CF-44E3-9099-C40C66FF867C}">
                  <a14:compatExt spid="_x0000_s76803"/>
                </a:ext>
                <a:ext uri="{FF2B5EF4-FFF2-40B4-BE49-F238E27FC236}">
                  <a16:creationId xmlns:a16="http://schemas.microsoft.com/office/drawing/2014/main" id="{00000000-0008-0000-0E00-000003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6804" name="Button 4" hidden="1">
              <a:extLst>
                <a:ext uri="{63B3BB69-23CF-44E3-9099-C40C66FF867C}">
                  <a14:compatExt spid="_x0000_s76804"/>
                </a:ext>
                <a:ext uri="{FF2B5EF4-FFF2-40B4-BE49-F238E27FC236}">
                  <a16:creationId xmlns:a16="http://schemas.microsoft.com/office/drawing/2014/main" id="{00000000-0008-0000-0E00-000004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6805" name="Button 5" hidden="1">
              <a:extLst>
                <a:ext uri="{63B3BB69-23CF-44E3-9099-C40C66FF867C}">
                  <a14:compatExt spid="_x0000_s76805"/>
                </a:ext>
                <a:ext uri="{FF2B5EF4-FFF2-40B4-BE49-F238E27FC236}">
                  <a16:creationId xmlns:a16="http://schemas.microsoft.com/office/drawing/2014/main" id="{00000000-0008-0000-0E00-000005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6806" name="Button 6" hidden="1">
              <a:extLst>
                <a:ext uri="{63B3BB69-23CF-44E3-9099-C40C66FF867C}">
                  <a14:compatExt spid="_x0000_s76806"/>
                </a:ext>
                <a:ext uri="{FF2B5EF4-FFF2-40B4-BE49-F238E27FC236}">
                  <a16:creationId xmlns:a16="http://schemas.microsoft.com/office/drawing/2014/main" id="{00000000-0008-0000-0E00-000006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6807" name="Button 7" hidden="1">
              <a:extLst>
                <a:ext uri="{63B3BB69-23CF-44E3-9099-C40C66FF867C}">
                  <a14:compatExt spid="_x0000_s76807"/>
                </a:ext>
                <a:ext uri="{FF2B5EF4-FFF2-40B4-BE49-F238E27FC236}">
                  <a16:creationId xmlns:a16="http://schemas.microsoft.com/office/drawing/2014/main" id="{00000000-0008-0000-0E00-000007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6808" name="Button 8" hidden="1">
              <a:extLst>
                <a:ext uri="{63B3BB69-23CF-44E3-9099-C40C66FF867C}">
                  <a14:compatExt spid="_x0000_s76808"/>
                </a:ext>
                <a:ext uri="{FF2B5EF4-FFF2-40B4-BE49-F238E27FC236}">
                  <a16:creationId xmlns:a16="http://schemas.microsoft.com/office/drawing/2014/main" id="{00000000-0008-0000-0E00-000008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6809" name="Button 9" hidden="1">
              <a:extLst>
                <a:ext uri="{63B3BB69-23CF-44E3-9099-C40C66FF867C}">
                  <a14:compatExt spid="_x0000_s76809"/>
                </a:ext>
                <a:ext uri="{FF2B5EF4-FFF2-40B4-BE49-F238E27FC236}">
                  <a16:creationId xmlns:a16="http://schemas.microsoft.com/office/drawing/2014/main" id="{00000000-0008-0000-0E00-000009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6810" name="Button 10" hidden="1">
              <a:extLst>
                <a:ext uri="{63B3BB69-23CF-44E3-9099-C40C66FF867C}">
                  <a14:compatExt spid="_x0000_s76810"/>
                </a:ext>
                <a:ext uri="{FF2B5EF4-FFF2-40B4-BE49-F238E27FC236}">
                  <a16:creationId xmlns:a16="http://schemas.microsoft.com/office/drawing/2014/main" id="{00000000-0008-0000-0E00-00000A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6811" name="Button 11" hidden="1">
              <a:extLst>
                <a:ext uri="{63B3BB69-23CF-44E3-9099-C40C66FF867C}">
                  <a14:compatExt spid="_x0000_s76811"/>
                </a:ext>
                <a:ext uri="{FF2B5EF4-FFF2-40B4-BE49-F238E27FC236}">
                  <a16:creationId xmlns:a16="http://schemas.microsoft.com/office/drawing/2014/main" id="{00000000-0008-0000-0E00-00000B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6812" name="Button 12" hidden="1">
              <a:extLst>
                <a:ext uri="{63B3BB69-23CF-44E3-9099-C40C66FF867C}">
                  <a14:compatExt spid="_x0000_s76812"/>
                </a:ext>
                <a:ext uri="{FF2B5EF4-FFF2-40B4-BE49-F238E27FC236}">
                  <a16:creationId xmlns:a16="http://schemas.microsoft.com/office/drawing/2014/main" id="{00000000-0008-0000-0E00-00000C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6813" name="Button 13" hidden="1">
              <a:extLst>
                <a:ext uri="{63B3BB69-23CF-44E3-9099-C40C66FF867C}">
                  <a14:compatExt spid="_x0000_s76813"/>
                </a:ext>
                <a:ext uri="{FF2B5EF4-FFF2-40B4-BE49-F238E27FC236}">
                  <a16:creationId xmlns:a16="http://schemas.microsoft.com/office/drawing/2014/main" id="{00000000-0008-0000-0E00-00000D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6814" name="Button 14" hidden="1">
              <a:extLst>
                <a:ext uri="{63B3BB69-23CF-44E3-9099-C40C66FF867C}">
                  <a14:compatExt spid="_x0000_s76814"/>
                </a:ext>
                <a:ext uri="{FF2B5EF4-FFF2-40B4-BE49-F238E27FC236}">
                  <a16:creationId xmlns:a16="http://schemas.microsoft.com/office/drawing/2014/main" id="{00000000-0008-0000-0E00-00000E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6815" name="Button 15" hidden="1">
              <a:extLst>
                <a:ext uri="{63B3BB69-23CF-44E3-9099-C40C66FF867C}">
                  <a14:compatExt spid="_x0000_s76815"/>
                </a:ext>
                <a:ext uri="{FF2B5EF4-FFF2-40B4-BE49-F238E27FC236}">
                  <a16:creationId xmlns:a16="http://schemas.microsoft.com/office/drawing/2014/main" id="{00000000-0008-0000-0E00-00000F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6816" name="Button 16" hidden="1">
              <a:extLst>
                <a:ext uri="{63B3BB69-23CF-44E3-9099-C40C66FF867C}">
                  <a14:compatExt spid="_x0000_s76816"/>
                </a:ext>
                <a:ext uri="{FF2B5EF4-FFF2-40B4-BE49-F238E27FC236}">
                  <a16:creationId xmlns:a16="http://schemas.microsoft.com/office/drawing/2014/main" id="{00000000-0008-0000-0E00-000010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6817" name="Button 17" hidden="1">
              <a:extLst>
                <a:ext uri="{63B3BB69-23CF-44E3-9099-C40C66FF867C}">
                  <a14:compatExt spid="_x0000_s76817"/>
                </a:ext>
                <a:ext uri="{FF2B5EF4-FFF2-40B4-BE49-F238E27FC236}">
                  <a16:creationId xmlns:a16="http://schemas.microsoft.com/office/drawing/2014/main" id="{00000000-0008-0000-0E00-000011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6818" name="Button 18" hidden="1">
              <a:extLst>
                <a:ext uri="{63B3BB69-23CF-44E3-9099-C40C66FF867C}">
                  <a14:compatExt spid="_x0000_s76818"/>
                </a:ext>
                <a:ext uri="{FF2B5EF4-FFF2-40B4-BE49-F238E27FC236}">
                  <a16:creationId xmlns:a16="http://schemas.microsoft.com/office/drawing/2014/main" id="{00000000-0008-0000-0E00-000012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6819" name="Button 19" hidden="1">
              <a:extLst>
                <a:ext uri="{63B3BB69-23CF-44E3-9099-C40C66FF867C}">
                  <a14:compatExt spid="_x0000_s76819"/>
                </a:ext>
                <a:ext uri="{FF2B5EF4-FFF2-40B4-BE49-F238E27FC236}">
                  <a16:creationId xmlns:a16="http://schemas.microsoft.com/office/drawing/2014/main" id="{00000000-0008-0000-0E00-000013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6820" name="Button 20" hidden="1">
              <a:extLst>
                <a:ext uri="{63B3BB69-23CF-44E3-9099-C40C66FF867C}">
                  <a14:compatExt spid="_x0000_s76820"/>
                </a:ext>
                <a:ext uri="{FF2B5EF4-FFF2-40B4-BE49-F238E27FC236}">
                  <a16:creationId xmlns:a16="http://schemas.microsoft.com/office/drawing/2014/main" id="{00000000-0008-0000-0E00-000014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6821" name="Button 21" hidden="1">
              <a:extLst>
                <a:ext uri="{63B3BB69-23CF-44E3-9099-C40C66FF867C}">
                  <a14:compatExt spid="_x0000_s76821"/>
                </a:ext>
                <a:ext uri="{FF2B5EF4-FFF2-40B4-BE49-F238E27FC236}">
                  <a16:creationId xmlns:a16="http://schemas.microsoft.com/office/drawing/2014/main" id="{00000000-0008-0000-0E00-000015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6822" name="Button 22" hidden="1">
              <a:extLst>
                <a:ext uri="{63B3BB69-23CF-44E3-9099-C40C66FF867C}">
                  <a14:compatExt spid="_x0000_s76822"/>
                </a:ext>
                <a:ext uri="{FF2B5EF4-FFF2-40B4-BE49-F238E27FC236}">
                  <a16:creationId xmlns:a16="http://schemas.microsoft.com/office/drawing/2014/main" id="{00000000-0008-0000-0E00-000016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6823" name="Button 23" hidden="1">
              <a:extLst>
                <a:ext uri="{63B3BB69-23CF-44E3-9099-C40C66FF867C}">
                  <a14:compatExt spid="_x0000_s76823"/>
                </a:ext>
                <a:ext uri="{FF2B5EF4-FFF2-40B4-BE49-F238E27FC236}">
                  <a16:creationId xmlns:a16="http://schemas.microsoft.com/office/drawing/2014/main" id="{00000000-0008-0000-0E00-000017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6824" name="Button 24" hidden="1">
              <a:extLst>
                <a:ext uri="{63B3BB69-23CF-44E3-9099-C40C66FF867C}">
                  <a14:compatExt spid="_x0000_s76824"/>
                </a:ext>
                <a:ext uri="{FF2B5EF4-FFF2-40B4-BE49-F238E27FC236}">
                  <a16:creationId xmlns:a16="http://schemas.microsoft.com/office/drawing/2014/main" id="{00000000-0008-0000-0E00-000018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6825" name="Button 25" hidden="1">
              <a:extLst>
                <a:ext uri="{63B3BB69-23CF-44E3-9099-C40C66FF867C}">
                  <a14:compatExt spid="_x0000_s76825"/>
                </a:ext>
                <a:ext uri="{FF2B5EF4-FFF2-40B4-BE49-F238E27FC236}">
                  <a16:creationId xmlns:a16="http://schemas.microsoft.com/office/drawing/2014/main" id="{00000000-0008-0000-0E00-000019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6826" name="Button 26" hidden="1">
              <a:extLst>
                <a:ext uri="{63B3BB69-23CF-44E3-9099-C40C66FF867C}">
                  <a14:compatExt spid="_x0000_s76826"/>
                </a:ext>
                <a:ext uri="{FF2B5EF4-FFF2-40B4-BE49-F238E27FC236}">
                  <a16:creationId xmlns:a16="http://schemas.microsoft.com/office/drawing/2014/main" id="{00000000-0008-0000-0E00-00001A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6827" name="Button 27" hidden="1">
              <a:extLst>
                <a:ext uri="{63B3BB69-23CF-44E3-9099-C40C66FF867C}">
                  <a14:compatExt spid="_x0000_s76827"/>
                </a:ext>
                <a:ext uri="{FF2B5EF4-FFF2-40B4-BE49-F238E27FC236}">
                  <a16:creationId xmlns:a16="http://schemas.microsoft.com/office/drawing/2014/main" id="{00000000-0008-0000-0E00-00001B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6828" name="Button 28" hidden="1">
              <a:extLst>
                <a:ext uri="{63B3BB69-23CF-44E3-9099-C40C66FF867C}">
                  <a14:compatExt spid="_x0000_s76828"/>
                </a:ext>
                <a:ext uri="{FF2B5EF4-FFF2-40B4-BE49-F238E27FC236}">
                  <a16:creationId xmlns:a16="http://schemas.microsoft.com/office/drawing/2014/main" id="{00000000-0008-0000-0E00-00001C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6829" name="Button 29" hidden="1">
              <a:extLst>
                <a:ext uri="{63B3BB69-23CF-44E3-9099-C40C66FF867C}">
                  <a14:compatExt spid="_x0000_s76829"/>
                </a:ext>
                <a:ext uri="{FF2B5EF4-FFF2-40B4-BE49-F238E27FC236}">
                  <a16:creationId xmlns:a16="http://schemas.microsoft.com/office/drawing/2014/main" id="{00000000-0008-0000-0E00-00001D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6830" name="Button 30" hidden="1">
              <a:extLst>
                <a:ext uri="{63B3BB69-23CF-44E3-9099-C40C66FF867C}">
                  <a14:compatExt spid="_x0000_s76830"/>
                </a:ext>
                <a:ext uri="{FF2B5EF4-FFF2-40B4-BE49-F238E27FC236}">
                  <a16:creationId xmlns:a16="http://schemas.microsoft.com/office/drawing/2014/main" id="{00000000-0008-0000-0E00-00001E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6831" name="Button 31" hidden="1">
              <a:extLst>
                <a:ext uri="{63B3BB69-23CF-44E3-9099-C40C66FF867C}">
                  <a14:compatExt spid="_x0000_s76831"/>
                </a:ext>
                <a:ext uri="{FF2B5EF4-FFF2-40B4-BE49-F238E27FC236}">
                  <a16:creationId xmlns:a16="http://schemas.microsoft.com/office/drawing/2014/main" id="{00000000-0008-0000-0E00-00001F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6832" name="Button 32" hidden="1">
              <a:extLst>
                <a:ext uri="{63B3BB69-23CF-44E3-9099-C40C66FF867C}">
                  <a14:compatExt spid="_x0000_s76832"/>
                </a:ext>
                <a:ext uri="{FF2B5EF4-FFF2-40B4-BE49-F238E27FC236}">
                  <a16:creationId xmlns:a16="http://schemas.microsoft.com/office/drawing/2014/main" id="{00000000-0008-0000-0E00-000020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6833" name="Button 33" hidden="1">
              <a:extLst>
                <a:ext uri="{63B3BB69-23CF-44E3-9099-C40C66FF867C}">
                  <a14:compatExt spid="_x0000_s76833"/>
                </a:ext>
                <a:ext uri="{FF2B5EF4-FFF2-40B4-BE49-F238E27FC236}">
                  <a16:creationId xmlns:a16="http://schemas.microsoft.com/office/drawing/2014/main" id="{00000000-0008-0000-0E00-000021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6834" name="Button 34" hidden="1">
              <a:extLst>
                <a:ext uri="{63B3BB69-23CF-44E3-9099-C40C66FF867C}">
                  <a14:compatExt spid="_x0000_s76834"/>
                </a:ext>
                <a:ext uri="{FF2B5EF4-FFF2-40B4-BE49-F238E27FC236}">
                  <a16:creationId xmlns:a16="http://schemas.microsoft.com/office/drawing/2014/main" id="{00000000-0008-0000-0E00-000022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6835" name="Button 35" hidden="1">
              <a:extLst>
                <a:ext uri="{63B3BB69-23CF-44E3-9099-C40C66FF867C}">
                  <a14:compatExt spid="_x0000_s76835"/>
                </a:ext>
                <a:ext uri="{FF2B5EF4-FFF2-40B4-BE49-F238E27FC236}">
                  <a16:creationId xmlns:a16="http://schemas.microsoft.com/office/drawing/2014/main" id="{00000000-0008-0000-0E00-000023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6836" name="Button 36" hidden="1">
              <a:extLst>
                <a:ext uri="{63B3BB69-23CF-44E3-9099-C40C66FF867C}">
                  <a14:compatExt spid="_x0000_s76836"/>
                </a:ext>
                <a:ext uri="{FF2B5EF4-FFF2-40B4-BE49-F238E27FC236}">
                  <a16:creationId xmlns:a16="http://schemas.microsoft.com/office/drawing/2014/main" id="{00000000-0008-0000-0E00-000024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6837" name="Button 37" hidden="1">
              <a:extLst>
                <a:ext uri="{63B3BB69-23CF-44E3-9099-C40C66FF867C}">
                  <a14:compatExt spid="_x0000_s76837"/>
                </a:ext>
                <a:ext uri="{FF2B5EF4-FFF2-40B4-BE49-F238E27FC236}">
                  <a16:creationId xmlns:a16="http://schemas.microsoft.com/office/drawing/2014/main" id="{00000000-0008-0000-0E00-000025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6838" name="Button 38" hidden="1">
              <a:extLst>
                <a:ext uri="{63B3BB69-23CF-44E3-9099-C40C66FF867C}">
                  <a14:compatExt spid="_x0000_s76838"/>
                </a:ext>
                <a:ext uri="{FF2B5EF4-FFF2-40B4-BE49-F238E27FC236}">
                  <a16:creationId xmlns:a16="http://schemas.microsoft.com/office/drawing/2014/main" id="{00000000-0008-0000-0E00-000026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6839" name="Button 39" hidden="1">
              <a:extLst>
                <a:ext uri="{63B3BB69-23CF-44E3-9099-C40C66FF867C}">
                  <a14:compatExt spid="_x0000_s76839"/>
                </a:ext>
                <a:ext uri="{FF2B5EF4-FFF2-40B4-BE49-F238E27FC236}">
                  <a16:creationId xmlns:a16="http://schemas.microsoft.com/office/drawing/2014/main" id="{00000000-0008-0000-0E00-000027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6840" name="Button 40" hidden="1">
              <a:extLst>
                <a:ext uri="{63B3BB69-23CF-44E3-9099-C40C66FF867C}">
                  <a14:compatExt spid="_x0000_s76840"/>
                </a:ext>
                <a:ext uri="{FF2B5EF4-FFF2-40B4-BE49-F238E27FC236}">
                  <a16:creationId xmlns:a16="http://schemas.microsoft.com/office/drawing/2014/main" id="{00000000-0008-0000-0E00-000028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6841" name="Button 41" hidden="1">
              <a:extLst>
                <a:ext uri="{63B3BB69-23CF-44E3-9099-C40C66FF867C}">
                  <a14:compatExt spid="_x0000_s76841"/>
                </a:ext>
                <a:ext uri="{FF2B5EF4-FFF2-40B4-BE49-F238E27FC236}">
                  <a16:creationId xmlns:a16="http://schemas.microsoft.com/office/drawing/2014/main" id="{00000000-0008-0000-0E00-000029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6842" name="Button 42" hidden="1">
              <a:extLst>
                <a:ext uri="{63B3BB69-23CF-44E3-9099-C40C66FF867C}">
                  <a14:compatExt spid="_x0000_s76842"/>
                </a:ext>
                <a:ext uri="{FF2B5EF4-FFF2-40B4-BE49-F238E27FC236}">
                  <a16:creationId xmlns:a16="http://schemas.microsoft.com/office/drawing/2014/main" id="{00000000-0008-0000-0E00-00002A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6843" name="Button 43" hidden="1">
              <a:extLst>
                <a:ext uri="{63B3BB69-23CF-44E3-9099-C40C66FF867C}">
                  <a14:compatExt spid="_x0000_s76843"/>
                </a:ext>
                <a:ext uri="{FF2B5EF4-FFF2-40B4-BE49-F238E27FC236}">
                  <a16:creationId xmlns:a16="http://schemas.microsoft.com/office/drawing/2014/main" id="{00000000-0008-0000-0E00-00002B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6844" name="Button 44" hidden="1">
              <a:extLst>
                <a:ext uri="{63B3BB69-23CF-44E3-9099-C40C66FF867C}">
                  <a14:compatExt spid="_x0000_s76844"/>
                </a:ext>
                <a:ext uri="{FF2B5EF4-FFF2-40B4-BE49-F238E27FC236}">
                  <a16:creationId xmlns:a16="http://schemas.microsoft.com/office/drawing/2014/main" id="{00000000-0008-0000-0E00-00002C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6845" name="Button 45" hidden="1">
              <a:extLst>
                <a:ext uri="{63B3BB69-23CF-44E3-9099-C40C66FF867C}">
                  <a14:compatExt spid="_x0000_s76845"/>
                </a:ext>
                <a:ext uri="{FF2B5EF4-FFF2-40B4-BE49-F238E27FC236}">
                  <a16:creationId xmlns:a16="http://schemas.microsoft.com/office/drawing/2014/main" id="{00000000-0008-0000-0E00-00002D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6846" name="Button 46" hidden="1">
              <a:extLst>
                <a:ext uri="{63B3BB69-23CF-44E3-9099-C40C66FF867C}">
                  <a14:compatExt spid="_x0000_s76846"/>
                </a:ext>
                <a:ext uri="{FF2B5EF4-FFF2-40B4-BE49-F238E27FC236}">
                  <a16:creationId xmlns:a16="http://schemas.microsoft.com/office/drawing/2014/main" id="{00000000-0008-0000-0E00-00002E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6847" name="Button 47" hidden="1">
              <a:extLst>
                <a:ext uri="{63B3BB69-23CF-44E3-9099-C40C66FF867C}">
                  <a14:compatExt spid="_x0000_s76847"/>
                </a:ext>
                <a:ext uri="{FF2B5EF4-FFF2-40B4-BE49-F238E27FC236}">
                  <a16:creationId xmlns:a16="http://schemas.microsoft.com/office/drawing/2014/main" id="{00000000-0008-0000-0E00-00002F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6848" name="Button 48" hidden="1">
              <a:extLst>
                <a:ext uri="{63B3BB69-23CF-44E3-9099-C40C66FF867C}">
                  <a14:compatExt spid="_x0000_s76848"/>
                </a:ext>
                <a:ext uri="{FF2B5EF4-FFF2-40B4-BE49-F238E27FC236}">
                  <a16:creationId xmlns:a16="http://schemas.microsoft.com/office/drawing/2014/main" id="{00000000-0008-0000-0E00-000030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6849" name="Button 49" hidden="1">
              <a:extLst>
                <a:ext uri="{63B3BB69-23CF-44E3-9099-C40C66FF867C}">
                  <a14:compatExt spid="_x0000_s76849"/>
                </a:ext>
                <a:ext uri="{FF2B5EF4-FFF2-40B4-BE49-F238E27FC236}">
                  <a16:creationId xmlns:a16="http://schemas.microsoft.com/office/drawing/2014/main" id="{00000000-0008-0000-0E00-000031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6850" name="Button 50" hidden="1">
              <a:extLst>
                <a:ext uri="{63B3BB69-23CF-44E3-9099-C40C66FF867C}">
                  <a14:compatExt spid="_x0000_s76850"/>
                </a:ext>
                <a:ext uri="{FF2B5EF4-FFF2-40B4-BE49-F238E27FC236}">
                  <a16:creationId xmlns:a16="http://schemas.microsoft.com/office/drawing/2014/main" id="{00000000-0008-0000-0E00-000032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6851" name="Button 51" hidden="1">
              <a:extLst>
                <a:ext uri="{63B3BB69-23CF-44E3-9099-C40C66FF867C}">
                  <a14:compatExt spid="_x0000_s76851"/>
                </a:ext>
                <a:ext uri="{FF2B5EF4-FFF2-40B4-BE49-F238E27FC236}">
                  <a16:creationId xmlns:a16="http://schemas.microsoft.com/office/drawing/2014/main" id="{00000000-0008-0000-0E00-000033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6852" name="Button 52" hidden="1">
              <a:extLst>
                <a:ext uri="{63B3BB69-23CF-44E3-9099-C40C66FF867C}">
                  <a14:compatExt spid="_x0000_s76852"/>
                </a:ext>
                <a:ext uri="{FF2B5EF4-FFF2-40B4-BE49-F238E27FC236}">
                  <a16:creationId xmlns:a16="http://schemas.microsoft.com/office/drawing/2014/main" id="{00000000-0008-0000-0E00-000034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6853" name="Button 53" hidden="1">
              <a:extLst>
                <a:ext uri="{63B3BB69-23CF-44E3-9099-C40C66FF867C}">
                  <a14:compatExt spid="_x0000_s76853"/>
                </a:ext>
                <a:ext uri="{FF2B5EF4-FFF2-40B4-BE49-F238E27FC236}">
                  <a16:creationId xmlns:a16="http://schemas.microsoft.com/office/drawing/2014/main" id="{00000000-0008-0000-0E00-000035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6854" name="Button 54" hidden="1">
              <a:extLst>
                <a:ext uri="{63B3BB69-23CF-44E3-9099-C40C66FF867C}">
                  <a14:compatExt spid="_x0000_s76854"/>
                </a:ext>
                <a:ext uri="{FF2B5EF4-FFF2-40B4-BE49-F238E27FC236}">
                  <a16:creationId xmlns:a16="http://schemas.microsoft.com/office/drawing/2014/main" id="{00000000-0008-0000-0E00-000036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6855" name="Button 55" hidden="1">
              <a:extLst>
                <a:ext uri="{63B3BB69-23CF-44E3-9099-C40C66FF867C}">
                  <a14:compatExt spid="_x0000_s76855"/>
                </a:ext>
                <a:ext uri="{FF2B5EF4-FFF2-40B4-BE49-F238E27FC236}">
                  <a16:creationId xmlns:a16="http://schemas.microsoft.com/office/drawing/2014/main" id="{00000000-0008-0000-0E00-000037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6856" name="Button 56" hidden="1">
              <a:extLst>
                <a:ext uri="{63B3BB69-23CF-44E3-9099-C40C66FF867C}">
                  <a14:compatExt spid="_x0000_s76856"/>
                </a:ext>
                <a:ext uri="{FF2B5EF4-FFF2-40B4-BE49-F238E27FC236}">
                  <a16:creationId xmlns:a16="http://schemas.microsoft.com/office/drawing/2014/main" id="{00000000-0008-0000-0E00-000038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6857" name="Button 57" hidden="1">
              <a:extLst>
                <a:ext uri="{63B3BB69-23CF-44E3-9099-C40C66FF867C}">
                  <a14:compatExt spid="_x0000_s76857"/>
                </a:ext>
                <a:ext uri="{FF2B5EF4-FFF2-40B4-BE49-F238E27FC236}">
                  <a16:creationId xmlns:a16="http://schemas.microsoft.com/office/drawing/2014/main" id="{00000000-0008-0000-0E00-000039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6858" name="Button 58" hidden="1">
              <a:extLst>
                <a:ext uri="{63B3BB69-23CF-44E3-9099-C40C66FF867C}">
                  <a14:compatExt spid="_x0000_s76858"/>
                </a:ext>
                <a:ext uri="{FF2B5EF4-FFF2-40B4-BE49-F238E27FC236}">
                  <a16:creationId xmlns:a16="http://schemas.microsoft.com/office/drawing/2014/main" id="{00000000-0008-0000-0E00-00003A2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77825" name="Button 1" hidden="1">
              <a:extLst>
                <a:ext uri="{63B3BB69-23CF-44E3-9099-C40C66FF867C}">
                  <a14:compatExt spid="_x0000_s77825"/>
                </a:ext>
                <a:ext uri="{FF2B5EF4-FFF2-40B4-BE49-F238E27FC236}">
                  <a16:creationId xmlns:a16="http://schemas.microsoft.com/office/drawing/2014/main" id="{00000000-0008-0000-0F00-000001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88</xdr:row>
          <xdr:rowOff>76200</xdr:rowOff>
        </xdr:from>
        <xdr:to>
          <xdr:col>16</xdr:col>
          <xdr:colOff>38100</xdr:colOff>
          <xdr:row>89</xdr:row>
          <xdr:rowOff>133350</xdr:rowOff>
        </xdr:to>
        <xdr:sp macro="" textlink="">
          <xdr:nvSpPr>
            <xdr:cNvPr id="77826" name="Button 2" hidden="1">
              <a:extLst>
                <a:ext uri="{63B3BB69-23CF-44E3-9099-C40C66FF867C}">
                  <a14:compatExt spid="_x0000_s77826"/>
                </a:ext>
                <a:ext uri="{FF2B5EF4-FFF2-40B4-BE49-F238E27FC236}">
                  <a16:creationId xmlns:a16="http://schemas.microsoft.com/office/drawing/2014/main" id="{00000000-0008-0000-0F00-000002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7827" name="Button 3" hidden="1">
              <a:extLst>
                <a:ext uri="{63B3BB69-23CF-44E3-9099-C40C66FF867C}">
                  <a14:compatExt spid="_x0000_s77827"/>
                </a:ext>
                <a:ext uri="{FF2B5EF4-FFF2-40B4-BE49-F238E27FC236}">
                  <a16:creationId xmlns:a16="http://schemas.microsoft.com/office/drawing/2014/main" id="{00000000-0008-0000-0F00-000003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7828" name="Button 4" hidden="1">
              <a:extLst>
                <a:ext uri="{63B3BB69-23CF-44E3-9099-C40C66FF867C}">
                  <a14:compatExt spid="_x0000_s77828"/>
                </a:ext>
                <a:ext uri="{FF2B5EF4-FFF2-40B4-BE49-F238E27FC236}">
                  <a16:creationId xmlns:a16="http://schemas.microsoft.com/office/drawing/2014/main" id="{00000000-0008-0000-0F00-000004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7829" name="Button 5" hidden="1">
              <a:extLst>
                <a:ext uri="{63B3BB69-23CF-44E3-9099-C40C66FF867C}">
                  <a14:compatExt spid="_x0000_s77829"/>
                </a:ext>
                <a:ext uri="{FF2B5EF4-FFF2-40B4-BE49-F238E27FC236}">
                  <a16:creationId xmlns:a16="http://schemas.microsoft.com/office/drawing/2014/main" id="{00000000-0008-0000-0F00-000005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7830" name="Button 6" hidden="1">
              <a:extLst>
                <a:ext uri="{63B3BB69-23CF-44E3-9099-C40C66FF867C}">
                  <a14:compatExt spid="_x0000_s77830"/>
                </a:ext>
                <a:ext uri="{FF2B5EF4-FFF2-40B4-BE49-F238E27FC236}">
                  <a16:creationId xmlns:a16="http://schemas.microsoft.com/office/drawing/2014/main" id="{00000000-0008-0000-0F00-000006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7831" name="Button 7" hidden="1">
              <a:extLst>
                <a:ext uri="{63B3BB69-23CF-44E3-9099-C40C66FF867C}">
                  <a14:compatExt spid="_x0000_s77831"/>
                </a:ext>
                <a:ext uri="{FF2B5EF4-FFF2-40B4-BE49-F238E27FC236}">
                  <a16:creationId xmlns:a16="http://schemas.microsoft.com/office/drawing/2014/main" id="{00000000-0008-0000-0F00-000007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7832" name="Button 8" hidden="1">
              <a:extLst>
                <a:ext uri="{63B3BB69-23CF-44E3-9099-C40C66FF867C}">
                  <a14:compatExt spid="_x0000_s77832"/>
                </a:ext>
                <a:ext uri="{FF2B5EF4-FFF2-40B4-BE49-F238E27FC236}">
                  <a16:creationId xmlns:a16="http://schemas.microsoft.com/office/drawing/2014/main" id="{00000000-0008-0000-0F00-000008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7833" name="Button 9" hidden="1">
              <a:extLst>
                <a:ext uri="{63B3BB69-23CF-44E3-9099-C40C66FF867C}">
                  <a14:compatExt spid="_x0000_s77833"/>
                </a:ext>
                <a:ext uri="{FF2B5EF4-FFF2-40B4-BE49-F238E27FC236}">
                  <a16:creationId xmlns:a16="http://schemas.microsoft.com/office/drawing/2014/main" id="{00000000-0008-0000-0F00-000009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77834" name="Button 10" hidden="1">
              <a:extLst>
                <a:ext uri="{63B3BB69-23CF-44E3-9099-C40C66FF867C}">
                  <a14:compatExt spid="_x0000_s77834"/>
                </a:ext>
                <a:ext uri="{FF2B5EF4-FFF2-40B4-BE49-F238E27FC236}">
                  <a16:creationId xmlns:a16="http://schemas.microsoft.com/office/drawing/2014/main" id="{00000000-0008-0000-0F00-00000A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7835" name="Button 11" hidden="1">
              <a:extLst>
                <a:ext uri="{63B3BB69-23CF-44E3-9099-C40C66FF867C}">
                  <a14:compatExt spid="_x0000_s77835"/>
                </a:ext>
                <a:ext uri="{FF2B5EF4-FFF2-40B4-BE49-F238E27FC236}">
                  <a16:creationId xmlns:a16="http://schemas.microsoft.com/office/drawing/2014/main" id="{00000000-0008-0000-0F00-00000B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7836" name="Button 12" hidden="1">
              <a:extLst>
                <a:ext uri="{63B3BB69-23CF-44E3-9099-C40C66FF867C}">
                  <a14:compatExt spid="_x0000_s77836"/>
                </a:ext>
                <a:ext uri="{FF2B5EF4-FFF2-40B4-BE49-F238E27FC236}">
                  <a16:creationId xmlns:a16="http://schemas.microsoft.com/office/drawing/2014/main" id="{00000000-0008-0000-0F00-00000C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7837" name="Button 13" hidden="1">
              <a:extLst>
                <a:ext uri="{63B3BB69-23CF-44E3-9099-C40C66FF867C}">
                  <a14:compatExt spid="_x0000_s77837"/>
                </a:ext>
                <a:ext uri="{FF2B5EF4-FFF2-40B4-BE49-F238E27FC236}">
                  <a16:creationId xmlns:a16="http://schemas.microsoft.com/office/drawing/2014/main" id="{00000000-0008-0000-0F00-00000D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77838" name="Button 14" hidden="1">
              <a:extLst>
                <a:ext uri="{63B3BB69-23CF-44E3-9099-C40C66FF867C}">
                  <a14:compatExt spid="_x0000_s77838"/>
                </a:ext>
                <a:ext uri="{FF2B5EF4-FFF2-40B4-BE49-F238E27FC236}">
                  <a16:creationId xmlns:a16="http://schemas.microsoft.com/office/drawing/2014/main" id="{00000000-0008-0000-0F00-00000E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7839" name="Button 15" hidden="1">
              <a:extLst>
                <a:ext uri="{63B3BB69-23CF-44E3-9099-C40C66FF867C}">
                  <a14:compatExt spid="_x0000_s77839"/>
                </a:ext>
                <a:ext uri="{FF2B5EF4-FFF2-40B4-BE49-F238E27FC236}">
                  <a16:creationId xmlns:a16="http://schemas.microsoft.com/office/drawing/2014/main" id="{00000000-0008-0000-0F00-00000F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7840" name="Button 16" hidden="1">
              <a:extLst>
                <a:ext uri="{63B3BB69-23CF-44E3-9099-C40C66FF867C}">
                  <a14:compatExt spid="_x0000_s77840"/>
                </a:ext>
                <a:ext uri="{FF2B5EF4-FFF2-40B4-BE49-F238E27FC236}">
                  <a16:creationId xmlns:a16="http://schemas.microsoft.com/office/drawing/2014/main" id="{00000000-0008-0000-0F00-000010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7841" name="Button 17" hidden="1">
              <a:extLst>
                <a:ext uri="{63B3BB69-23CF-44E3-9099-C40C66FF867C}">
                  <a14:compatExt spid="_x0000_s77841"/>
                </a:ext>
                <a:ext uri="{FF2B5EF4-FFF2-40B4-BE49-F238E27FC236}">
                  <a16:creationId xmlns:a16="http://schemas.microsoft.com/office/drawing/2014/main" id="{00000000-0008-0000-0F00-000011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77842" name="Button 18" hidden="1">
              <a:extLst>
                <a:ext uri="{63B3BB69-23CF-44E3-9099-C40C66FF867C}">
                  <a14:compatExt spid="_x0000_s77842"/>
                </a:ext>
                <a:ext uri="{FF2B5EF4-FFF2-40B4-BE49-F238E27FC236}">
                  <a16:creationId xmlns:a16="http://schemas.microsoft.com/office/drawing/2014/main" id="{00000000-0008-0000-0F00-000012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7843" name="Button 19" hidden="1">
              <a:extLst>
                <a:ext uri="{63B3BB69-23CF-44E3-9099-C40C66FF867C}">
                  <a14:compatExt spid="_x0000_s77843"/>
                </a:ext>
                <a:ext uri="{FF2B5EF4-FFF2-40B4-BE49-F238E27FC236}">
                  <a16:creationId xmlns:a16="http://schemas.microsoft.com/office/drawing/2014/main" id="{00000000-0008-0000-0F00-000013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7844" name="Button 20" hidden="1">
              <a:extLst>
                <a:ext uri="{63B3BB69-23CF-44E3-9099-C40C66FF867C}">
                  <a14:compatExt spid="_x0000_s77844"/>
                </a:ext>
                <a:ext uri="{FF2B5EF4-FFF2-40B4-BE49-F238E27FC236}">
                  <a16:creationId xmlns:a16="http://schemas.microsoft.com/office/drawing/2014/main" id="{00000000-0008-0000-0F00-000014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7845" name="Button 21" hidden="1">
              <a:extLst>
                <a:ext uri="{63B3BB69-23CF-44E3-9099-C40C66FF867C}">
                  <a14:compatExt spid="_x0000_s77845"/>
                </a:ext>
                <a:ext uri="{FF2B5EF4-FFF2-40B4-BE49-F238E27FC236}">
                  <a16:creationId xmlns:a16="http://schemas.microsoft.com/office/drawing/2014/main" id="{00000000-0008-0000-0F00-000015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77846" name="Button 22" hidden="1">
              <a:extLst>
                <a:ext uri="{63B3BB69-23CF-44E3-9099-C40C66FF867C}">
                  <a14:compatExt spid="_x0000_s77846"/>
                </a:ext>
                <a:ext uri="{FF2B5EF4-FFF2-40B4-BE49-F238E27FC236}">
                  <a16:creationId xmlns:a16="http://schemas.microsoft.com/office/drawing/2014/main" id="{00000000-0008-0000-0F00-000016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7847" name="Button 23" hidden="1">
              <a:extLst>
                <a:ext uri="{63B3BB69-23CF-44E3-9099-C40C66FF867C}">
                  <a14:compatExt spid="_x0000_s77847"/>
                </a:ext>
                <a:ext uri="{FF2B5EF4-FFF2-40B4-BE49-F238E27FC236}">
                  <a16:creationId xmlns:a16="http://schemas.microsoft.com/office/drawing/2014/main" id="{00000000-0008-0000-0F00-000017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7848" name="Button 24" hidden="1">
              <a:extLst>
                <a:ext uri="{63B3BB69-23CF-44E3-9099-C40C66FF867C}">
                  <a14:compatExt spid="_x0000_s77848"/>
                </a:ext>
                <a:ext uri="{FF2B5EF4-FFF2-40B4-BE49-F238E27FC236}">
                  <a16:creationId xmlns:a16="http://schemas.microsoft.com/office/drawing/2014/main" id="{00000000-0008-0000-0F00-000018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7849" name="Button 25" hidden="1">
              <a:extLst>
                <a:ext uri="{63B3BB69-23CF-44E3-9099-C40C66FF867C}">
                  <a14:compatExt spid="_x0000_s77849"/>
                </a:ext>
                <a:ext uri="{FF2B5EF4-FFF2-40B4-BE49-F238E27FC236}">
                  <a16:creationId xmlns:a16="http://schemas.microsoft.com/office/drawing/2014/main" id="{00000000-0008-0000-0F00-000019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77850" name="Button 26" hidden="1">
              <a:extLst>
                <a:ext uri="{63B3BB69-23CF-44E3-9099-C40C66FF867C}">
                  <a14:compatExt spid="_x0000_s77850"/>
                </a:ext>
                <a:ext uri="{FF2B5EF4-FFF2-40B4-BE49-F238E27FC236}">
                  <a16:creationId xmlns:a16="http://schemas.microsoft.com/office/drawing/2014/main" id="{00000000-0008-0000-0F00-00001A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7851" name="Button 27" hidden="1">
              <a:extLst>
                <a:ext uri="{63B3BB69-23CF-44E3-9099-C40C66FF867C}">
                  <a14:compatExt spid="_x0000_s77851"/>
                </a:ext>
                <a:ext uri="{FF2B5EF4-FFF2-40B4-BE49-F238E27FC236}">
                  <a16:creationId xmlns:a16="http://schemas.microsoft.com/office/drawing/2014/main" id="{00000000-0008-0000-0F00-00001B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7852" name="Button 28" hidden="1">
              <a:extLst>
                <a:ext uri="{63B3BB69-23CF-44E3-9099-C40C66FF867C}">
                  <a14:compatExt spid="_x0000_s77852"/>
                </a:ext>
                <a:ext uri="{FF2B5EF4-FFF2-40B4-BE49-F238E27FC236}">
                  <a16:creationId xmlns:a16="http://schemas.microsoft.com/office/drawing/2014/main" id="{00000000-0008-0000-0F00-00001C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7853" name="Button 29" hidden="1">
              <a:extLst>
                <a:ext uri="{63B3BB69-23CF-44E3-9099-C40C66FF867C}">
                  <a14:compatExt spid="_x0000_s77853"/>
                </a:ext>
                <a:ext uri="{FF2B5EF4-FFF2-40B4-BE49-F238E27FC236}">
                  <a16:creationId xmlns:a16="http://schemas.microsoft.com/office/drawing/2014/main" id="{00000000-0008-0000-0F00-00001D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77854" name="Button 30" hidden="1">
              <a:extLst>
                <a:ext uri="{63B3BB69-23CF-44E3-9099-C40C66FF867C}">
                  <a14:compatExt spid="_x0000_s77854"/>
                </a:ext>
                <a:ext uri="{FF2B5EF4-FFF2-40B4-BE49-F238E27FC236}">
                  <a16:creationId xmlns:a16="http://schemas.microsoft.com/office/drawing/2014/main" id="{00000000-0008-0000-0F00-00001E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7855" name="Button 31" hidden="1">
              <a:extLst>
                <a:ext uri="{63B3BB69-23CF-44E3-9099-C40C66FF867C}">
                  <a14:compatExt spid="_x0000_s77855"/>
                </a:ext>
                <a:ext uri="{FF2B5EF4-FFF2-40B4-BE49-F238E27FC236}">
                  <a16:creationId xmlns:a16="http://schemas.microsoft.com/office/drawing/2014/main" id="{00000000-0008-0000-0F00-00001F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7856" name="Button 32" hidden="1">
              <a:extLst>
                <a:ext uri="{63B3BB69-23CF-44E3-9099-C40C66FF867C}">
                  <a14:compatExt spid="_x0000_s77856"/>
                </a:ext>
                <a:ext uri="{FF2B5EF4-FFF2-40B4-BE49-F238E27FC236}">
                  <a16:creationId xmlns:a16="http://schemas.microsoft.com/office/drawing/2014/main" id="{00000000-0008-0000-0F00-000020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7857" name="Button 33" hidden="1">
              <a:extLst>
                <a:ext uri="{63B3BB69-23CF-44E3-9099-C40C66FF867C}">
                  <a14:compatExt spid="_x0000_s77857"/>
                </a:ext>
                <a:ext uri="{FF2B5EF4-FFF2-40B4-BE49-F238E27FC236}">
                  <a16:creationId xmlns:a16="http://schemas.microsoft.com/office/drawing/2014/main" id="{00000000-0008-0000-0F00-000021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77858" name="Button 34" hidden="1">
              <a:extLst>
                <a:ext uri="{63B3BB69-23CF-44E3-9099-C40C66FF867C}">
                  <a14:compatExt spid="_x0000_s77858"/>
                </a:ext>
                <a:ext uri="{FF2B5EF4-FFF2-40B4-BE49-F238E27FC236}">
                  <a16:creationId xmlns:a16="http://schemas.microsoft.com/office/drawing/2014/main" id="{00000000-0008-0000-0F00-000022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7859" name="Button 35" hidden="1">
              <a:extLst>
                <a:ext uri="{63B3BB69-23CF-44E3-9099-C40C66FF867C}">
                  <a14:compatExt spid="_x0000_s77859"/>
                </a:ext>
                <a:ext uri="{FF2B5EF4-FFF2-40B4-BE49-F238E27FC236}">
                  <a16:creationId xmlns:a16="http://schemas.microsoft.com/office/drawing/2014/main" id="{00000000-0008-0000-0F00-000023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7860" name="Button 36" hidden="1">
              <a:extLst>
                <a:ext uri="{63B3BB69-23CF-44E3-9099-C40C66FF867C}">
                  <a14:compatExt spid="_x0000_s77860"/>
                </a:ext>
                <a:ext uri="{FF2B5EF4-FFF2-40B4-BE49-F238E27FC236}">
                  <a16:creationId xmlns:a16="http://schemas.microsoft.com/office/drawing/2014/main" id="{00000000-0008-0000-0F00-000024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7861" name="Button 37" hidden="1">
              <a:extLst>
                <a:ext uri="{63B3BB69-23CF-44E3-9099-C40C66FF867C}">
                  <a14:compatExt spid="_x0000_s77861"/>
                </a:ext>
                <a:ext uri="{FF2B5EF4-FFF2-40B4-BE49-F238E27FC236}">
                  <a16:creationId xmlns:a16="http://schemas.microsoft.com/office/drawing/2014/main" id="{00000000-0008-0000-0F00-000025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77862" name="Button 38" hidden="1">
              <a:extLst>
                <a:ext uri="{63B3BB69-23CF-44E3-9099-C40C66FF867C}">
                  <a14:compatExt spid="_x0000_s77862"/>
                </a:ext>
                <a:ext uri="{FF2B5EF4-FFF2-40B4-BE49-F238E27FC236}">
                  <a16:creationId xmlns:a16="http://schemas.microsoft.com/office/drawing/2014/main" id="{00000000-0008-0000-0F00-000026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7863" name="Button 39" hidden="1">
              <a:extLst>
                <a:ext uri="{63B3BB69-23CF-44E3-9099-C40C66FF867C}">
                  <a14:compatExt spid="_x0000_s77863"/>
                </a:ext>
                <a:ext uri="{FF2B5EF4-FFF2-40B4-BE49-F238E27FC236}">
                  <a16:creationId xmlns:a16="http://schemas.microsoft.com/office/drawing/2014/main" id="{00000000-0008-0000-0F00-000027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7864" name="Button 40" hidden="1">
              <a:extLst>
                <a:ext uri="{63B3BB69-23CF-44E3-9099-C40C66FF867C}">
                  <a14:compatExt spid="_x0000_s77864"/>
                </a:ext>
                <a:ext uri="{FF2B5EF4-FFF2-40B4-BE49-F238E27FC236}">
                  <a16:creationId xmlns:a16="http://schemas.microsoft.com/office/drawing/2014/main" id="{00000000-0008-0000-0F00-000028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7865" name="Button 41" hidden="1">
              <a:extLst>
                <a:ext uri="{63B3BB69-23CF-44E3-9099-C40C66FF867C}">
                  <a14:compatExt spid="_x0000_s77865"/>
                </a:ext>
                <a:ext uri="{FF2B5EF4-FFF2-40B4-BE49-F238E27FC236}">
                  <a16:creationId xmlns:a16="http://schemas.microsoft.com/office/drawing/2014/main" id="{00000000-0008-0000-0F00-000029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77866" name="Button 42" hidden="1">
              <a:extLst>
                <a:ext uri="{63B3BB69-23CF-44E3-9099-C40C66FF867C}">
                  <a14:compatExt spid="_x0000_s77866"/>
                </a:ext>
                <a:ext uri="{FF2B5EF4-FFF2-40B4-BE49-F238E27FC236}">
                  <a16:creationId xmlns:a16="http://schemas.microsoft.com/office/drawing/2014/main" id="{00000000-0008-0000-0F00-00002A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7867" name="Button 43" hidden="1">
              <a:extLst>
                <a:ext uri="{63B3BB69-23CF-44E3-9099-C40C66FF867C}">
                  <a14:compatExt spid="_x0000_s77867"/>
                </a:ext>
                <a:ext uri="{FF2B5EF4-FFF2-40B4-BE49-F238E27FC236}">
                  <a16:creationId xmlns:a16="http://schemas.microsoft.com/office/drawing/2014/main" id="{00000000-0008-0000-0F00-00002B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7868" name="Button 44" hidden="1">
              <a:extLst>
                <a:ext uri="{63B3BB69-23CF-44E3-9099-C40C66FF867C}">
                  <a14:compatExt spid="_x0000_s77868"/>
                </a:ext>
                <a:ext uri="{FF2B5EF4-FFF2-40B4-BE49-F238E27FC236}">
                  <a16:creationId xmlns:a16="http://schemas.microsoft.com/office/drawing/2014/main" id="{00000000-0008-0000-0F00-00002C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7869" name="Button 45" hidden="1">
              <a:extLst>
                <a:ext uri="{63B3BB69-23CF-44E3-9099-C40C66FF867C}">
                  <a14:compatExt spid="_x0000_s77869"/>
                </a:ext>
                <a:ext uri="{FF2B5EF4-FFF2-40B4-BE49-F238E27FC236}">
                  <a16:creationId xmlns:a16="http://schemas.microsoft.com/office/drawing/2014/main" id="{00000000-0008-0000-0F00-00002D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77870" name="Button 46" hidden="1">
              <a:extLst>
                <a:ext uri="{63B3BB69-23CF-44E3-9099-C40C66FF867C}">
                  <a14:compatExt spid="_x0000_s77870"/>
                </a:ext>
                <a:ext uri="{FF2B5EF4-FFF2-40B4-BE49-F238E27FC236}">
                  <a16:creationId xmlns:a16="http://schemas.microsoft.com/office/drawing/2014/main" id="{00000000-0008-0000-0F00-00002E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7871" name="Button 47" hidden="1">
              <a:extLst>
                <a:ext uri="{63B3BB69-23CF-44E3-9099-C40C66FF867C}">
                  <a14:compatExt spid="_x0000_s77871"/>
                </a:ext>
                <a:ext uri="{FF2B5EF4-FFF2-40B4-BE49-F238E27FC236}">
                  <a16:creationId xmlns:a16="http://schemas.microsoft.com/office/drawing/2014/main" id="{00000000-0008-0000-0F00-00002F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7872" name="Button 48" hidden="1">
              <a:extLst>
                <a:ext uri="{63B3BB69-23CF-44E3-9099-C40C66FF867C}">
                  <a14:compatExt spid="_x0000_s77872"/>
                </a:ext>
                <a:ext uri="{FF2B5EF4-FFF2-40B4-BE49-F238E27FC236}">
                  <a16:creationId xmlns:a16="http://schemas.microsoft.com/office/drawing/2014/main" id="{00000000-0008-0000-0F00-000030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7873" name="Button 49" hidden="1">
              <a:extLst>
                <a:ext uri="{63B3BB69-23CF-44E3-9099-C40C66FF867C}">
                  <a14:compatExt spid="_x0000_s77873"/>
                </a:ext>
                <a:ext uri="{FF2B5EF4-FFF2-40B4-BE49-F238E27FC236}">
                  <a16:creationId xmlns:a16="http://schemas.microsoft.com/office/drawing/2014/main" id="{00000000-0008-0000-0F00-000031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77874" name="Button 50" hidden="1">
              <a:extLst>
                <a:ext uri="{63B3BB69-23CF-44E3-9099-C40C66FF867C}">
                  <a14:compatExt spid="_x0000_s77874"/>
                </a:ext>
                <a:ext uri="{FF2B5EF4-FFF2-40B4-BE49-F238E27FC236}">
                  <a16:creationId xmlns:a16="http://schemas.microsoft.com/office/drawing/2014/main" id="{00000000-0008-0000-0F00-000032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7875" name="Button 51" hidden="1">
              <a:extLst>
                <a:ext uri="{63B3BB69-23CF-44E3-9099-C40C66FF867C}">
                  <a14:compatExt spid="_x0000_s77875"/>
                </a:ext>
                <a:ext uri="{FF2B5EF4-FFF2-40B4-BE49-F238E27FC236}">
                  <a16:creationId xmlns:a16="http://schemas.microsoft.com/office/drawing/2014/main" id="{00000000-0008-0000-0F00-000033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7876" name="Button 52" hidden="1">
              <a:extLst>
                <a:ext uri="{63B3BB69-23CF-44E3-9099-C40C66FF867C}">
                  <a14:compatExt spid="_x0000_s77876"/>
                </a:ext>
                <a:ext uri="{FF2B5EF4-FFF2-40B4-BE49-F238E27FC236}">
                  <a16:creationId xmlns:a16="http://schemas.microsoft.com/office/drawing/2014/main" id="{00000000-0008-0000-0F00-000034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7877" name="Button 53" hidden="1">
              <a:extLst>
                <a:ext uri="{63B3BB69-23CF-44E3-9099-C40C66FF867C}">
                  <a14:compatExt spid="_x0000_s77877"/>
                </a:ext>
                <a:ext uri="{FF2B5EF4-FFF2-40B4-BE49-F238E27FC236}">
                  <a16:creationId xmlns:a16="http://schemas.microsoft.com/office/drawing/2014/main" id="{00000000-0008-0000-0F00-000035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77878" name="Button 54" hidden="1">
              <a:extLst>
                <a:ext uri="{63B3BB69-23CF-44E3-9099-C40C66FF867C}">
                  <a14:compatExt spid="_x0000_s77878"/>
                </a:ext>
                <a:ext uri="{FF2B5EF4-FFF2-40B4-BE49-F238E27FC236}">
                  <a16:creationId xmlns:a16="http://schemas.microsoft.com/office/drawing/2014/main" id="{00000000-0008-0000-0F00-000036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7879" name="Button 55" hidden="1">
              <a:extLst>
                <a:ext uri="{63B3BB69-23CF-44E3-9099-C40C66FF867C}">
                  <a14:compatExt spid="_x0000_s77879"/>
                </a:ext>
                <a:ext uri="{FF2B5EF4-FFF2-40B4-BE49-F238E27FC236}">
                  <a16:creationId xmlns:a16="http://schemas.microsoft.com/office/drawing/2014/main" id="{00000000-0008-0000-0F00-000037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7880" name="Button 56" hidden="1">
              <a:extLst>
                <a:ext uri="{63B3BB69-23CF-44E3-9099-C40C66FF867C}">
                  <a14:compatExt spid="_x0000_s77880"/>
                </a:ext>
                <a:ext uri="{FF2B5EF4-FFF2-40B4-BE49-F238E27FC236}">
                  <a16:creationId xmlns:a16="http://schemas.microsoft.com/office/drawing/2014/main" id="{00000000-0008-0000-0F00-000038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7881" name="Button 57" hidden="1">
              <a:extLst>
                <a:ext uri="{63B3BB69-23CF-44E3-9099-C40C66FF867C}">
                  <a14:compatExt spid="_x0000_s77881"/>
                </a:ext>
                <a:ext uri="{FF2B5EF4-FFF2-40B4-BE49-F238E27FC236}">
                  <a16:creationId xmlns:a16="http://schemas.microsoft.com/office/drawing/2014/main" id="{00000000-0008-0000-0F00-000039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77882" name="Button 58" hidden="1">
              <a:extLst>
                <a:ext uri="{63B3BB69-23CF-44E3-9099-C40C66FF867C}">
                  <a14:compatExt spid="_x0000_s77882"/>
                </a:ext>
                <a:ext uri="{FF2B5EF4-FFF2-40B4-BE49-F238E27FC236}">
                  <a16:creationId xmlns:a16="http://schemas.microsoft.com/office/drawing/2014/main" id="{00000000-0008-0000-0F00-00003A3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8849" name="Button 1" hidden="1">
              <a:extLst>
                <a:ext uri="{63B3BB69-23CF-44E3-9099-C40C66FF867C}">
                  <a14:compatExt spid="_x0000_s78849"/>
                </a:ext>
                <a:ext uri="{FF2B5EF4-FFF2-40B4-BE49-F238E27FC236}">
                  <a16:creationId xmlns:a16="http://schemas.microsoft.com/office/drawing/2014/main" id="{00000000-0008-0000-1000-0000013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581025</xdr:colOff>
          <xdr:row>81</xdr:row>
          <xdr:rowOff>57150</xdr:rowOff>
        </xdr:from>
        <xdr:to>
          <xdr:col>30</xdr:col>
          <xdr:colOff>238125</xdr:colOff>
          <xdr:row>82</xdr:row>
          <xdr:rowOff>133350</xdr:rowOff>
        </xdr:to>
        <xdr:sp macro="" textlink="">
          <xdr:nvSpPr>
            <xdr:cNvPr id="78850" name="Button 2" hidden="1">
              <a:extLst>
                <a:ext uri="{63B3BB69-23CF-44E3-9099-C40C66FF867C}">
                  <a14:compatExt spid="_x0000_s78850"/>
                </a:ext>
                <a:ext uri="{FF2B5EF4-FFF2-40B4-BE49-F238E27FC236}">
                  <a16:creationId xmlns:a16="http://schemas.microsoft.com/office/drawing/2014/main" id="{00000000-0008-0000-1000-0000023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9873" name="Button 1" hidden="1">
              <a:extLst>
                <a:ext uri="{63B3BB69-23CF-44E3-9099-C40C66FF867C}">
                  <a14:compatExt spid="_x0000_s79873"/>
                </a:ext>
                <a:ext uri="{FF2B5EF4-FFF2-40B4-BE49-F238E27FC236}">
                  <a16:creationId xmlns:a16="http://schemas.microsoft.com/office/drawing/2014/main" id="{00000000-0008-0000-1100-0000013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9874" name="Button 2" hidden="1">
              <a:extLst>
                <a:ext uri="{63B3BB69-23CF-44E3-9099-C40C66FF867C}">
                  <a14:compatExt spid="_x0000_s79874"/>
                </a:ext>
                <a:ext uri="{FF2B5EF4-FFF2-40B4-BE49-F238E27FC236}">
                  <a16:creationId xmlns:a16="http://schemas.microsoft.com/office/drawing/2014/main" id="{00000000-0008-0000-1100-0000023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9875" name="Button 3" hidden="1">
              <a:extLst>
                <a:ext uri="{63B3BB69-23CF-44E3-9099-C40C66FF867C}">
                  <a14:compatExt spid="_x0000_s79875"/>
                </a:ext>
                <a:ext uri="{FF2B5EF4-FFF2-40B4-BE49-F238E27FC236}">
                  <a16:creationId xmlns:a16="http://schemas.microsoft.com/office/drawing/2014/main" id="{00000000-0008-0000-1100-0000033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0</xdr:col>
          <xdr:colOff>571500</xdr:colOff>
          <xdr:row>0</xdr:row>
          <xdr:rowOff>247650</xdr:rowOff>
        </xdr:to>
        <xdr:sp macro="" textlink="">
          <xdr:nvSpPr>
            <xdr:cNvPr id="80897" name="Button 1" hidden="1">
              <a:extLst>
                <a:ext uri="{63B3BB69-23CF-44E3-9099-C40C66FF867C}">
                  <a14:compatExt spid="_x0000_s80897"/>
                </a:ext>
                <a:ext uri="{FF2B5EF4-FFF2-40B4-BE49-F238E27FC236}">
                  <a16:creationId xmlns:a16="http://schemas.microsoft.com/office/drawing/2014/main" id="{00000000-0008-0000-1200-000001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68</xdr:row>
          <xdr:rowOff>76200</xdr:rowOff>
        </xdr:from>
        <xdr:to>
          <xdr:col>15</xdr:col>
          <xdr:colOff>809625</xdr:colOff>
          <xdr:row>69</xdr:row>
          <xdr:rowOff>152400</xdr:rowOff>
        </xdr:to>
        <xdr:sp macro="" textlink="">
          <xdr:nvSpPr>
            <xdr:cNvPr id="80898" name="Button 2" hidden="1">
              <a:extLst>
                <a:ext uri="{63B3BB69-23CF-44E3-9099-C40C66FF867C}">
                  <a14:compatExt spid="_x0000_s80898"/>
                </a:ext>
                <a:ext uri="{FF2B5EF4-FFF2-40B4-BE49-F238E27FC236}">
                  <a16:creationId xmlns:a16="http://schemas.microsoft.com/office/drawing/2014/main" id="{00000000-0008-0000-1200-000002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80899" name="Button 3" hidden="1">
              <a:extLst>
                <a:ext uri="{63B3BB69-23CF-44E3-9099-C40C66FF867C}">
                  <a14:compatExt spid="_x0000_s80899"/>
                </a:ext>
                <a:ext uri="{FF2B5EF4-FFF2-40B4-BE49-F238E27FC236}">
                  <a16:creationId xmlns:a16="http://schemas.microsoft.com/office/drawing/2014/main" id="{00000000-0008-0000-1200-000003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80900" name="Button 4" hidden="1">
              <a:extLst>
                <a:ext uri="{63B3BB69-23CF-44E3-9099-C40C66FF867C}">
                  <a14:compatExt spid="_x0000_s80900"/>
                </a:ext>
                <a:ext uri="{FF2B5EF4-FFF2-40B4-BE49-F238E27FC236}">
                  <a16:creationId xmlns:a16="http://schemas.microsoft.com/office/drawing/2014/main" id="{00000000-0008-0000-1200-000004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80901" name="Button 5" hidden="1">
              <a:extLst>
                <a:ext uri="{63B3BB69-23CF-44E3-9099-C40C66FF867C}">
                  <a14:compatExt spid="_x0000_s80901"/>
                </a:ext>
                <a:ext uri="{FF2B5EF4-FFF2-40B4-BE49-F238E27FC236}">
                  <a16:creationId xmlns:a16="http://schemas.microsoft.com/office/drawing/2014/main" id="{00000000-0008-0000-1200-000005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80902" name="Button 6" hidden="1">
              <a:extLst>
                <a:ext uri="{63B3BB69-23CF-44E3-9099-C40C66FF867C}">
                  <a14:compatExt spid="_x0000_s80902"/>
                </a:ext>
                <a:ext uri="{FF2B5EF4-FFF2-40B4-BE49-F238E27FC236}">
                  <a16:creationId xmlns:a16="http://schemas.microsoft.com/office/drawing/2014/main" id="{00000000-0008-0000-1200-0000063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0</xdr:col>
          <xdr:colOff>571500</xdr:colOff>
          <xdr:row>0</xdr:row>
          <xdr:rowOff>247650</xdr:rowOff>
        </xdr:to>
        <xdr:sp macro="" textlink="">
          <xdr:nvSpPr>
            <xdr:cNvPr id="129025" name="Button 1" hidden="1">
              <a:extLst>
                <a:ext uri="{63B3BB69-23CF-44E3-9099-C40C66FF867C}">
                  <a14:compatExt spid="_x0000_s129025"/>
                </a:ext>
                <a:ext uri="{FF2B5EF4-FFF2-40B4-BE49-F238E27FC236}">
                  <a16:creationId xmlns:a16="http://schemas.microsoft.com/office/drawing/2014/main" id="{00000000-0008-0000-1300-000001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73</xdr:row>
          <xdr:rowOff>76200</xdr:rowOff>
        </xdr:from>
        <xdr:to>
          <xdr:col>15</xdr:col>
          <xdr:colOff>809625</xdr:colOff>
          <xdr:row>74</xdr:row>
          <xdr:rowOff>152400</xdr:rowOff>
        </xdr:to>
        <xdr:sp macro="" textlink="">
          <xdr:nvSpPr>
            <xdr:cNvPr id="129026" name="Button 2" hidden="1">
              <a:extLst>
                <a:ext uri="{63B3BB69-23CF-44E3-9099-C40C66FF867C}">
                  <a14:compatExt spid="_x0000_s129026"/>
                </a:ext>
                <a:ext uri="{FF2B5EF4-FFF2-40B4-BE49-F238E27FC236}">
                  <a16:creationId xmlns:a16="http://schemas.microsoft.com/office/drawing/2014/main" id="{00000000-0008-0000-1300-000002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9027" name="Button 3" hidden="1">
              <a:extLst>
                <a:ext uri="{63B3BB69-23CF-44E3-9099-C40C66FF867C}">
                  <a14:compatExt spid="_x0000_s129027"/>
                </a:ext>
                <a:ext uri="{FF2B5EF4-FFF2-40B4-BE49-F238E27FC236}">
                  <a16:creationId xmlns:a16="http://schemas.microsoft.com/office/drawing/2014/main" id="{00000000-0008-0000-1300-000003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9028" name="Button 4" hidden="1">
              <a:extLst>
                <a:ext uri="{63B3BB69-23CF-44E3-9099-C40C66FF867C}">
                  <a14:compatExt spid="_x0000_s129028"/>
                </a:ext>
                <a:ext uri="{FF2B5EF4-FFF2-40B4-BE49-F238E27FC236}">
                  <a16:creationId xmlns:a16="http://schemas.microsoft.com/office/drawing/2014/main" id="{00000000-0008-0000-1300-000004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9029" name="Button 5" hidden="1">
              <a:extLst>
                <a:ext uri="{63B3BB69-23CF-44E3-9099-C40C66FF867C}">
                  <a14:compatExt spid="_x0000_s129029"/>
                </a:ext>
                <a:ext uri="{FF2B5EF4-FFF2-40B4-BE49-F238E27FC236}">
                  <a16:creationId xmlns:a16="http://schemas.microsoft.com/office/drawing/2014/main" id="{00000000-0008-0000-1300-000005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129030" name="Button 6" hidden="1">
              <a:extLst>
                <a:ext uri="{63B3BB69-23CF-44E3-9099-C40C66FF867C}">
                  <a14:compatExt spid="_x0000_s129030"/>
                </a:ext>
                <a:ext uri="{FF2B5EF4-FFF2-40B4-BE49-F238E27FC236}">
                  <a16:creationId xmlns:a16="http://schemas.microsoft.com/office/drawing/2014/main" id="{00000000-0008-0000-1300-000006F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581025</xdr:colOff>
          <xdr:row>86</xdr:row>
          <xdr:rowOff>57150</xdr:rowOff>
        </xdr:from>
        <xdr:to>
          <xdr:col>30</xdr:col>
          <xdr:colOff>238125</xdr:colOff>
          <xdr:row>87</xdr:row>
          <xdr:rowOff>133350</xdr:rowOff>
        </xdr:to>
        <xdr:sp macro="" textlink="">
          <xdr:nvSpPr>
            <xdr:cNvPr id="21521" name="Button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121857" name="Button 1" hidden="1">
              <a:extLst>
                <a:ext uri="{63B3BB69-23CF-44E3-9099-C40C66FF867C}">
                  <a14:compatExt spid="_x0000_s121857"/>
                </a:ext>
                <a:ext uri="{FF2B5EF4-FFF2-40B4-BE49-F238E27FC236}">
                  <a16:creationId xmlns:a16="http://schemas.microsoft.com/office/drawing/2014/main" id="{00000000-0008-0000-1400-00000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83</xdr:row>
          <xdr:rowOff>76200</xdr:rowOff>
        </xdr:from>
        <xdr:to>
          <xdr:col>16</xdr:col>
          <xdr:colOff>38100</xdr:colOff>
          <xdr:row>84</xdr:row>
          <xdr:rowOff>133350</xdr:rowOff>
        </xdr:to>
        <xdr:sp macro="" textlink="">
          <xdr:nvSpPr>
            <xdr:cNvPr id="121858" name="Button 2" hidden="1">
              <a:extLst>
                <a:ext uri="{63B3BB69-23CF-44E3-9099-C40C66FF867C}">
                  <a14:compatExt spid="_x0000_s121858"/>
                </a:ext>
                <a:ext uri="{FF2B5EF4-FFF2-40B4-BE49-F238E27FC236}">
                  <a16:creationId xmlns:a16="http://schemas.microsoft.com/office/drawing/2014/main" id="{00000000-0008-0000-1400-000002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1859" name="Button 3" hidden="1">
              <a:extLst>
                <a:ext uri="{63B3BB69-23CF-44E3-9099-C40C66FF867C}">
                  <a14:compatExt spid="_x0000_s121859"/>
                </a:ext>
                <a:ext uri="{FF2B5EF4-FFF2-40B4-BE49-F238E27FC236}">
                  <a16:creationId xmlns:a16="http://schemas.microsoft.com/office/drawing/2014/main" id="{00000000-0008-0000-1400-000003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1860" name="Button 4" hidden="1">
              <a:extLst>
                <a:ext uri="{63B3BB69-23CF-44E3-9099-C40C66FF867C}">
                  <a14:compatExt spid="_x0000_s121860"/>
                </a:ext>
                <a:ext uri="{FF2B5EF4-FFF2-40B4-BE49-F238E27FC236}">
                  <a16:creationId xmlns:a16="http://schemas.microsoft.com/office/drawing/2014/main" id="{00000000-0008-0000-1400-000004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1861" name="Button 5" hidden="1">
              <a:extLst>
                <a:ext uri="{63B3BB69-23CF-44E3-9099-C40C66FF867C}">
                  <a14:compatExt spid="_x0000_s121861"/>
                </a:ext>
                <a:ext uri="{FF2B5EF4-FFF2-40B4-BE49-F238E27FC236}">
                  <a16:creationId xmlns:a16="http://schemas.microsoft.com/office/drawing/2014/main" id="{00000000-0008-0000-1400-000005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1862" name="Button 6" hidden="1">
              <a:extLst>
                <a:ext uri="{63B3BB69-23CF-44E3-9099-C40C66FF867C}">
                  <a14:compatExt spid="_x0000_s121862"/>
                </a:ext>
                <a:ext uri="{FF2B5EF4-FFF2-40B4-BE49-F238E27FC236}">
                  <a16:creationId xmlns:a16="http://schemas.microsoft.com/office/drawing/2014/main" id="{00000000-0008-0000-1400-000006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1863" name="Button 7" hidden="1">
              <a:extLst>
                <a:ext uri="{63B3BB69-23CF-44E3-9099-C40C66FF867C}">
                  <a14:compatExt spid="_x0000_s121863"/>
                </a:ext>
                <a:ext uri="{FF2B5EF4-FFF2-40B4-BE49-F238E27FC236}">
                  <a16:creationId xmlns:a16="http://schemas.microsoft.com/office/drawing/2014/main" id="{00000000-0008-0000-1400-000007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1864" name="Button 8" hidden="1">
              <a:extLst>
                <a:ext uri="{63B3BB69-23CF-44E3-9099-C40C66FF867C}">
                  <a14:compatExt spid="_x0000_s121864"/>
                </a:ext>
                <a:ext uri="{FF2B5EF4-FFF2-40B4-BE49-F238E27FC236}">
                  <a16:creationId xmlns:a16="http://schemas.microsoft.com/office/drawing/2014/main" id="{00000000-0008-0000-1400-000008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1865" name="Button 9" hidden="1">
              <a:extLst>
                <a:ext uri="{63B3BB69-23CF-44E3-9099-C40C66FF867C}">
                  <a14:compatExt spid="_x0000_s121865"/>
                </a:ext>
                <a:ext uri="{FF2B5EF4-FFF2-40B4-BE49-F238E27FC236}">
                  <a16:creationId xmlns:a16="http://schemas.microsoft.com/office/drawing/2014/main" id="{00000000-0008-0000-1400-000009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1866" name="Button 10" hidden="1">
              <a:extLst>
                <a:ext uri="{63B3BB69-23CF-44E3-9099-C40C66FF867C}">
                  <a14:compatExt spid="_x0000_s121866"/>
                </a:ext>
                <a:ext uri="{FF2B5EF4-FFF2-40B4-BE49-F238E27FC236}">
                  <a16:creationId xmlns:a16="http://schemas.microsoft.com/office/drawing/2014/main" id="{00000000-0008-0000-1400-00000A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1867" name="Button 11" hidden="1">
              <a:extLst>
                <a:ext uri="{63B3BB69-23CF-44E3-9099-C40C66FF867C}">
                  <a14:compatExt spid="_x0000_s121867"/>
                </a:ext>
                <a:ext uri="{FF2B5EF4-FFF2-40B4-BE49-F238E27FC236}">
                  <a16:creationId xmlns:a16="http://schemas.microsoft.com/office/drawing/2014/main" id="{00000000-0008-0000-1400-00000B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1868" name="Button 12" hidden="1">
              <a:extLst>
                <a:ext uri="{63B3BB69-23CF-44E3-9099-C40C66FF867C}">
                  <a14:compatExt spid="_x0000_s121868"/>
                </a:ext>
                <a:ext uri="{FF2B5EF4-FFF2-40B4-BE49-F238E27FC236}">
                  <a16:creationId xmlns:a16="http://schemas.microsoft.com/office/drawing/2014/main" id="{00000000-0008-0000-1400-00000C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1869" name="Button 13" hidden="1">
              <a:extLst>
                <a:ext uri="{63B3BB69-23CF-44E3-9099-C40C66FF867C}">
                  <a14:compatExt spid="_x0000_s121869"/>
                </a:ext>
                <a:ext uri="{FF2B5EF4-FFF2-40B4-BE49-F238E27FC236}">
                  <a16:creationId xmlns:a16="http://schemas.microsoft.com/office/drawing/2014/main" id="{00000000-0008-0000-1400-00000D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1870" name="Button 14" hidden="1">
              <a:extLst>
                <a:ext uri="{63B3BB69-23CF-44E3-9099-C40C66FF867C}">
                  <a14:compatExt spid="_x0000_s121870"/>
                </a:ext>
                <a:ext uri="{FF2B5EF4-FFF2-40B4-BE49-F238E27FC236}">
                  <a16:creationId xmlns:a16="http://schemas.microsoft.com/office/drawing/2014/main" id="{00000000-0008-0000-1400-00000E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1871" name="Button 15" hidden="1">
              <a:extLst>
                <a:ext uri="{63B3BB69-23CF-44E3-9099-C40C66FF867C}">
                  <a14:compatExt spid="_x0000_s121871"/>
                </a:ext>
                <a:ext uri="{FF2B5EF4-FFF2-40B4-BE49-F238E27FC236}">
                  <a16:creationId xmlns:a16="http://schemas.microsoft.com/office/drawing/2014/main" id="{00000000-0008-0000-1400-00000F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1872" name="Button 16" hidden="1">
              <a:extLst>
                <a:ext uri="{63B3BB69-23CF-44E3-9099-C40C66FF867C}">
                  <a14:compatExt spid="_x0000_s121872"/>
                </a:ext>
                <a:ext uri="{FF2B5EF4-FFF2-40B4-BE49-F238E27FC236}">
                  <a16:creationId xmlns:a16="http://schemas.microsoft.com/office/drawing/2014/main" id="{00000000-0008-0000-1400-000010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1873" name="Button 17" hidden="1">
              <a:extLst>
                <a:ext uri="{63B3BB69-23CF-44E3-9099-C40C66FF867C}">
                  <a14:compatExt spid="_x0000_s121873"/>
                </a:ext>
                <a:ext uri="{FF2B5EF4-FFF2-40B4-BE49-F238E27FC236}">
                  <a16:creationId xmlns:a16="http://schemas.microsoft.com/office/drawing/2014/main" id="{00000000-0008-0000-1400-00001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1874" name="Button 18" hidden="1">
              <a:extLst>
                <a:ext uri="{63B3BB69-23CF-44E3-9099-C40C66FF867C}">
                  <a14:compatExt spid="_x0000_s121874"/>
                </a:ext>
                <a:ext uri="{FF2B5EF4-FFF2-40B4-BE49-F238E27FC236}">
                  <a16:creationId xmlns:a16="http://schemas.microsoft.com/office/drawing/2014/main" id="{00000000-0008-0000-1400-000012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1875" name="Button 19" hidden="1">
              <a:extLst>
                <a:ext uri="{63B3BB69-23CF-44E3-9099-C40C66FF867C}">
                  <a14:compatExt spid="_x0000_s121875"/>
                </a:ext>
                <a:ext uri="{FF2B5EF4-FFF2-40B4-BE49-F238E27FC236}">
                  <a16:creationId xmlns:a16="http://schemas.microsoft.com/office/drawing/2014/main" id="{00000000-0008-0000-1400-000013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1876" name="Button 20" hidden="1">
              <a:extLst>
                <a:ext uri="{63B3BB69-23CF-44E3-9099-C40C66FF867C}">
                  <a14:compatExt spid="_x0000_s121876"/>
                </a:ext>
                <a:ext uri="{FF2B5EF4-FFF2-40B4-BE49-F238E27FC236}">
                  <a16:creationId xmlns:a16="http://schemas.microsoft.com/office/drawing/2014/main" id="{00000000-0008-0000-1400-000014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1877" name="Button 21" hidden="1">
              <a:extLst>
                <a:ext uri="{63B3BB69-23CF-44E3-9099-C40C66FF867C}">
                  <a14:compatExt spid="_x0000_s121877"/>
                </a:ext>
                <a:ext uri="{FF2B5EF4-FFF2-40B4-BE49-F238E27FC236}">
                  <a16:creationId xmlns:a16="http://schemas.microsoft.com/office/drawing/2014/main" id="{00000000-0008-0000-1400-000015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1878" name="Button 22" hidden="1">
              <a:extLst>
                <a:ext uri="{63B3BB69-23CF-44E3-9099-C40C66FF867C}">
                  <a14:compatExt spid="_x0000_s121878"/>
                </a:ext>
                <a:ext uri="{FF2B5EF4-FFF2-40B4-BE49-F238E27FC236}">
                  <a16:creationId xmlns:a16="http://schemas.microsoft.com/office/drawing/2014/main" id="{00000000-0008-0000-1400-000016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1879" name="Button 23" hidden="1">
              <a:extLst>
                <a:ext uri="{63B3BB69-23CF-44E3-9099-C40C66FF867C}">
                  <a14:compatExt spid="_x0000_s121879"/>
                </a:ext>
                <a:ext uri="{FF2B5EF4-FFF2-40B4-BE49-F238E27FC236}">
                  <a16:creationId xmlns:a16="http://schemas.microsoft.com/office/drawing/2014/main" id="{00000000-0008-0000-1400-000017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1880" name="Button 24" hidden="1">
              <a:extLst>
                <a:ext uri="{63B3BB69-23CF-44E3-9099-C40C66FF867C}">
                  <a14:compatExt spid="_x0000_s121880"/>
                </a:ext>
                <a:ext uri="{FF2B5EF4-FFF2-40B4-BE49-F238E27FC236}">
                  <a16:creationId xmlns:a16="http://schemas.microsoft.com/office/drawing/2014/main" id="{00000000-0008-0000-1400-000018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1881" name="Button 25" hidden="1">
              <a:extLst>
                <a:ext uri="{63B3BB69-23CF-44E3-9099-C40C66FF867C}">
                  <a14:compatExt spid="_x0000_s121881"/>
                </a:ext>
                <a:ext uri="{FF2B5EF4-FFF2-40B4-BE49-F238E27FC236}">
                  <a16:creationId xmlns:a16="http://schemas.microsoft.com/office/drawing/2014/main" id="{00000000-0008-0000-1400-000019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1882" name="Button 26" hidden="1">
              <a:extLst>
                <a:ext uri="{63B3BB69-23CF-44E3-9099-C40C66FF867C}">
                  <a14:compatExt spid="_x0000_s121882"/>
                </a:ext>
                <a:ext uri="{FF2B5EF4-FFF2-40B4-BE49-F238E27FC236}">
                  <a16:creationId xmlns:a16="http://schemas.microsoft.com/office/drawing/2014/main" id="{00000000-0008-0000-1400-00001A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1883" name="Button 27" hidden="1">
              <a:extLst>
                <a:ext uri="{63B3BB69-23CF-44E3-9099-C40C66FF867C}">
                  <a14:compatExt spid="_x0000_s121883"/>
                </a:ext>
                <a:ext uri="{FF2B5EF4-FFF2-40B4-BE49-F238E27FC236}">
                  <a16:creationId xmlns:a16="http://schemas.microsoft.com/office/drawing/2014/main" id="{00000000-0008-0000-1400-00001B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1884" name="Button 28" hidden="1">
              <a:extLst>
                <a:ext uri="{63B3BB69-23CF-44E3-9099-C40C66FF867C}">
                  <a14:compatExt spid="_x0000_s121884"/>
                </a:ext>
                <a:ext uri="{FF2B5EF4-FFF2-40B4-BE49-F238E27FC236}">
                  <a16:creationId xmlns:a16="http://schemas.microsoft.com/office/drawing/2014/main" id="{00000000-0008-0000-1400-00001C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1885" name="Button 29" hidden="1">
              <a:extLst>
                <a:ext uri="{63B3BB69-23CF-44E3-9099-C40C66FF867C}">
                  <a14:compatExt spid="_x0000_s121885"/>
                </a:ext>
                <a:ext uri="{FF2B5EF4-FFF2-40B4-BE49-F238E27FC236}">
                  <a16:creationId xmlns:a16="http://schemas.microsoft.com/office/drawing/2014/main" id="{00000000-0008-0000-1400-00001D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1886" name="Button 30" hidden="1">
              <a:extLst>
                <a:ext uri="{63B3BB69-23CF-44E3-9099-C40C66FF867C}">
                  <a14:compatExt spid="_x0000_s121886"/>
                </a:ext>
                <a:ext uri="{FF2B5EF4-FFF2-40B4-BE49-F238E27FC236}">
                  <a16:creationId xmlns:a16="http://schemas.microsoft.com/office/drawing/2014/main" id="{00000000-0008-0000-1400-00001E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1887" name="Button 31" hidden="1">
              <a:extLst>
                <a:ext uri="{63B3BB69-23CF-44E3-9099-C40C66FF867C}">
                  <a14:compatExt spid="_x0000_s121887"/>
                </a:ext>
                <a:ext uri="{FF2B5EF4-FFF2-40B4-BE49-F238E27FC236}">
                  <a16:creationId xmlns:a16="http://schemas.microsoft.com/office/drawing/2014/main" id="{00000000-0008-0000-1400-00001F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1888" name="Button 32" hidden="1">
              <a:extLst>
                <a:ext uri="{63B3BB69-23CF-44E3-9099-C40C66FF867C}">
                  <a14:compatExt spid="_x0000_s121888"/>
                </a:ext>
                <a:ext uri="{FF2B5EF4-FFF2-40B4-BE49-F238E27FC236}">
                  <a16:creationId xmlns:a16="http://schemas.microsoft.com/office/drawing/2014/main" id="{00000000-0008-0000-1400-000020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1889" name="Button 33" hidden="1">
              <a:extLst>
                <a:ext uri="{63B3BB69-23CF-44E3-9099-C40C66FF867C}">
                  <a14:compatExt spid="_x0000_s121889"/>
                </a:ext>
                <a:ext uri="{FF2B5EF4-FFF2-40B4-BE49-F238E27FC236}">
                  <a16:creationId xmlns:a16="http://schemas.microsoft.com/office/drawing/2014/main" id="{00000000-0008-0000-1400-00002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1890" name="Button 34" hidden="1">
              <a:extLst>
                <a:ext uri="{63B3BB69-23CF-44E3-9099-C40C66FF867C}">
                  <a14:compatExt spid="_x0000_s121890"/>
                </a:ext>
                <a:ext uri="{FF2B5EF4-FFF2-40B4-BE49-F238E27FC236}">
                  <a16:creationId xmlns:a16="http://schemas.microsoft.com/office/drawing/2014/main" id="{00000000-0008-0000-1400-000022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1891" name="Button 35" hidden="1">
              <a:extLst>
                <a:ext uri="{63B3BB69-23CF-44E3-9099-C40C66FF867C}">
                  <a14:compatExt spid="_x0000_s121891"/>
                </a:ext>
                <a:ext uri="{FF2B5EF4-FFF2-40B4-BE49-F238E27FC236}">
                  <a16:creationId xmlns:a16="http://schemas.microsoft.com/office/drawing/2014/main" id="{00000000-0008-0000-1400-000023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1892" name="Button 36" hidden="1">
              <a:extLst>
                <a:ext uri="{63B3BB69-23CF-44E3-9099-C40C66FF867C}">
                  <a14:compatExt spid="_x0000_s121892"/>
                </a:ext>
                <a:ext uri="{FF2B5EF4-FFF2-40B4-BE49-F238E27FC236}">
                  <a16:creationId xmlns:a16="http://schemas.microsoft.com/office/drawing/2014/main" id="{00000000-0008-0000-1400-000024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1893" name="Button 37" hidden="1">
              <a:extLst>
                <a:ext uri="{63B3BB69-23CF-44E3-9099-C40C66FF867C}">
                  <a14:compatExt spid="_x0000_s121893"/>
                </a:ext>
                <a:ext uri="{FF2B5EF4-FFF2-40B4-BE49-F238E27FC236}">
                  <a16:creationId xmlns:a16="http://schemas.microsoft.com/office/drawing/2014/main" id="{00000000-0008-0000-1400-000025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1894" name="Button 38" hidden="1">
              <a:extLst>
                <a:ext uri="{63B3BB69-23CF-44E3-9099-C40C66FF867C}">
                  <a14:compatExt spid="_x0000_s121894"/>
                </a:ext>
                <a:ext uri="{FF2B5EF4-FFF2-40B4-BE49-F238E27FC236}">
                  <a16:creationId xmlns:a16="http://schemas.microsoft.com/office/drawing/2014/main" id="{00000000-0008-0000-1400-000026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1895" name="Button 39" hidden="1">
              <a:extLst>
                <a:ext uri="{63B3BB69-23CF-44E3-9099-C40C66FF867C}">
                  <a14:compatExt spid="_x0000_s121895"/>
                </a:ext>
                <a:ext uri="{FF2B5EF4-FFF2-40B4-BE49-F238E27FC236}">
                  <a16:creationId xmlns:a16="http://schemas.microsoft.com/office/drawing/2014/main" id="{00000000-0008-0000-1400-000027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1896" name="Button 40" hidden="1">
              <a:extLst>
                <a:ext uri="{63B3BB69-23CF-44E3-9099-C40C66FF867C}">
                  <a14:compatExt spid="_x0000_s121896"/>
                </a:ext>
                <a:ext uri="{FF2B5EF4-FFF2-40B4-BE49-F238E27FC236}">
                  <a16:creationId xmlns:a16="http://schemas.microsoft.com/office/drawing/2014/main" id="{00000000-0008-0000-1400-000028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1897" name="Button 41" hidden="1">
              <a:extLst>
                <a:ext uri="{63B3BB69-23CF-44E3-9099-C40C66FF867C}">
                  <a14:compatExt spid="_x0000_s121897"/>
                </a:ext>
                <a:ext uri="{FF2B5EF4-FFF2-40B4-BE49-F238E27FC236}">
                  <a16:creationId xmlns:a16="http://schemas.microsoft.com/office/drawing/2014/main" id="{00000000-0008-0000-1400-000029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1898" name="Button 42" hidden="1">
              <a:extLst>
                <a:ext uri="{63B3BB69-23CF-44E3-9099-C40C66FF867C}">
                  <a14:compatExt spid="_x0000_s121898"/>
                </a:ext>
                <a:ext uri="{FF2B5EF4-FFF2-40B4-BE49-F238E27FC236}">
                  <a16:creationId xmlns:a16="http://schemas.microsoft.com/office/drawing/2014/main" id="{00000000-0008-0000-1400-00002A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1899" name="Button 43" hidden="1">
              <a:extLst>
                <a:ext uri="{63B3BB69-23CF-44E3-9099-C40C66FF867C}">
                  <a14:compatExt spid="_x0000_s121899"/>
                </a:ext>
                <a:ext uri="{FF2B5EF4-FFF2-40B4-BE49-F238E27FC236}">
                  <a16:creationId xmlns:a16="http://schemas.microsoft.com/office/drawing/2014/main" id="{00000000-0008-0000-1400-00002B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1900" name="Button 44" hidden="1">
              <a:extLst>
                <a:ext uri="{63B3BB69-23CF-44E3-9099-C40C66FF867C}">
                  <a14:compatExt spid="_x0000_s121900"/>
                </a:ext>
                <a:ext uri="{FF2B5EF4-FFF2-40B4-BE49-F238E27FC236}">
                  <a16:creationId xmlns:a16="http://schemas.microsoft.com/office/drawing/2014/main" id="{00000000-0008-0000-1400-00002C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1901" name="Button 45" hidden="1">
              <a:extLst>
                <a:ext uri="{63B3BB69-23CF-44E3-9099-C40C66FF867C}">
                  <a14:compatExt spid="_x0000_s121901"/>
                </a:ext>
                <a:ext uri="{FF2B5EF4-FFF2-40B4-BE49-F238E27FC236}">
                  <a16:creationId xmlns:a16="http://schemas.microsoft.com/office/drawing/2014/main" id="{00000000-0008-0000-1400-00002D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1902" name="Button 46" hidden="1">
              <a:extLst>
                <a:ext uri="{63B3BB69-23CF-44E3-9099-C40C66FF867C}">
                  <a14:compatExt spid="_x0000_s121902"/>
                </a:ext>
                <a:ext uri="{FF2B5EF4-FFF2-40B4-BE49-F238E27FC236}">
                  <a16:creationId xmlns:a16="http://schemas.microsoft.com/office/drawing/2014/main" id="{00000000-0008-0000-1400-00002E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1903" name="Button 47" hidden="1">
              <a:extLst>
                <a:ext uri="{63B3BB69-23CF-44E3-9099-C40C66FF867C}">
                  <a14:compatExt spid="_x0000_s121903"/>
                </a:ext>
                <a:ext uri="{FF2B5EF4-FFF2-40B4-BE49-F238E27FC236}">
                  <a16:creationId xmlns:a16="http://schemas.microsoft.com/office/drawing/2014/main" id="{00000000-0008-0000-1400-00002F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1904" name="Button 48" hidden="1">
              <a:extLst>
                <a:ext uri="{63B3BB69-23CF-44E3-9099-C40C66FF867C}">
                  <a14:compatExt spid="_x0000_s121904"/>
                </a:ext>
                <a:ext uri="{FF2B5EF4-FFF2-40B4-BE49-F238E27FC236}">
                  <a16:creationId xmlns:a16="http://schemas.microsoft.com/office/drawing/2014/main" id="{00000000-0008-0000-1400-000030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1905" name="Button 49" hidden="1">
              <a:extLst>
                <a:ext uri="{63B3BB69-23CF-44E3-9099-C40C66FF867C}">
                  <a14:compatExt spid="_x0000_s121905"/>
                </a:ext>
                <a:ext uri="{FF2B5EF4-FFF2-40B4-BE49-F238E27FC236}">
                  <a16:creationId xmlns:a16="http://schemas.microsoft.com/office/drawing/2014/main" id="{00000000-0008-0000-1400-000031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1906" name="Button 50" hidden="1">
              <a:extLst>
                <a:ext uri="{63B3BB69-23CF-44E3-9099-C40C66FF867C}">
                  <a14:compatExt spid="_x0000_s121906"/>
                </a:ext>
                <a:ext uri="{FF2B5EF4-FFF2-40B4-BE49-F238E27FC236}">
                  <a16:creationId xmlns:a16="http://schemas.microsoft.com/office/drawing/2014/main" id="{00000000-0008-0000-1400-000032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1907" name="Button 51" hidden="1">
              <a:extLst>
                <a:ext uri="{63B3BB69-23CF-44E3-9099-C40C66FF867C}">
                  <a14:compatExt spid="_x0000_s121907"/>
                </a:ext>
                <a:ext uri="{FF2B5EF4-FFF2-40B4-BE49-F238E27FC236}">
                  <a16:creationId xmlns:a16="http://schemas.microsoft.com/office/drawing/2014/main" id="{00000000-0008-0000-1400-000033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1908" name="Button 52" hidden="1">
              <a:extLst>
                <a:ext uri="{63B3BB69-23CF-44E3-9099-C40C66FF867C}">
                  <a14:compatExt spid="_x0000_s121908"/>
                </a:ext>
                <a:ext uri="{FF2B5EF4-FFF2-40B4-BE49-F238E27FC236}">
                  <a16:creationId xmlns:a16="http://schemas.microsoft.com/office/drawing/2014/main" id="{00000000-0008-0000-1400-000034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1909" name="Button 53" hidden="1">
              <a:extLst>
                <a:ext uri="{63B3BB69-23CF-44E3-9099-C40C66FF867C}">
                  <a14:compatExt spid="_x0000_s121909"/>
                </a:ext>
                <a:ext uri="{FF2B5EF4-FFF2-40B4-BE49-F238E27FC236}">
                  <a16:creationId xmlns:a16="http://schemas.microsoft.com/office/drawing/2014/main" id="{00000000-0008-0000-1400-000035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1910" name="Button 54" hidden="1">
              <a:extLst>
                <a:ext uri="{63B3BB69-23CF-44E3-9099-C40C66FF867C}">
                  <a14:compatExt spid="_x0000_s121910"/>
                </a:ext>
                <a:ext uri="{FF2B5EF4-FFF2-40B4-BE49-F238E27FC236}">
                  <a16:creationId xmlns:a16="http://schemas.microsoft.com/office/drawing/2014/main" id="{00000000-0008-0000-1400-000036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1911" name="Button 55" hidden="1">
              <a:extLst>
                <a:ext uri="{63B3BB69-23CF-44E3-9099-C40C66FF867C}">
                  <a14:compatExt spid="_x0000_s121911"/>
                </a:ext>
                <a:ext uri="{FF2B5EF4-FFF2-40B4-BE49-F238E27FC236}">
                  <a16:creationId xmlns:a16="http://schemas.microsoft.com/office/drawing/2014/main" id="{00000000-0008-0000-1400-000037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1912" name="Button 56" hidden="1">
              <a:extLst>
                <a:ext uri="{63B3BB69-23CF-44E3-9099-C40C66FF867C}">
                  <a14:compatExt spid="_x0000_s121912"/>
                </a:ext>
                <a:ext uri="{FF2B5EF4-FFF2-40B4-BE49-F238E27FC236}">
                  <a16:creationId xmlns:a16="http://schemas.microsoft.com/office/drawing/2014/main" id="{00000000-0008-0000-1400-000038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1913" name="Button 57" hidden="1">
              <a:extLst>
                <a:ext uri="{63B3BB69-23CF-44E3-9099-C40C66FF867C}">
                  <a14:compatExt spid="_x0000_s121913"/>
                </a:ext>
                <a:ext uri="{FF2B5EF4-FFF2-40B4-BE49-F238E27FC236}">
                  <a16:creationId xmlns:a16="http://schemas.microsoft.com/office/drawing/2014/main" id="{00000000-0008-0000-1400-000039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1914" name="Button 58" hidden="1">
              <a:extLst>
                <a:ext uri="{63B3BB69-23CF-44E3-9099-C40C66FF867C}">
                  <a14:compatExt spid="_x0000_s121914"/>
                </a:ext>
                <a:ext uri="{FF2B5EF4-FFF2-40B4-BE49-F238E27FC236}">
                  <a16:creationId xmlns:a16="http://schemas.microsoft.com/office/drawing/2014/main" id="{00000000-0008-0000-1400-00003AD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122881" name="Button 1" hidden="1">
              <a:extLst>
                <a:ext uri="{63B3BB69-23CF-44E3-9099-C40C66FF867C}">
                  <a14:compatExt spid="_x0000_s122881"/>
                </a:ext>
                <a:ext uri="{FF2B5EF4-FFF2-40B4-BE49-F238E27FC236}">
                  <a16:creationId xmlns:a16="http://schemas.microsoft.com/office/drawing/2014/main" id="{00000000-0008-0000-1500-00000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83</xdr:row>
          <xdr:rowOff>76200</xdr:rowOff>
        </xdr:from>
        <xdr:to>
          <xdr:col>16</xdr:col>
          <xdr:colOff>38100</xdr:colOff>
          <xdr:row>84</xdr:row>
          <xdr:rowOff>133350</xdr:rowOff>
        </xdr:to>
        <xdr:sp macro="" textlink="">
          <xdr:nvSpPr>
            <xdr:cNvPr id="122882" name="Button 2" hidden="1">
              <a:extLst>
                <a:ext uri="{63B3BB69-23CF-44E3-9099-C40C66FF867C}">
                  <a14:compatExt spid="_x0000_s122882"/>
                </a:ext>
                <a:ext uri="{FF2B5EF4-FFF2-40B4-BE49-F238E27FC236}">
                  <a16:creationId xmlns:a16="http://schemas.microsoft.com/office/drawing/2014/main" id="{00000000-0008-0000-1500-000002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2883" name="Button 3" hidden="1">
              <a:extLst>
                <a:ext uri="{63B3BB69-23CF-44E3-9099-C40C66FF867C}">
                  <a14:compatExt spid="_x0000_s122883"/>
                </a:ext>
                <a:ext uri="{FF2B5EF4-FFF2-40B4-BE49-F238E27FC236}">
                  <a16:creationId xmlns:a16="http://schemas.microsoft.com/office/drawing/2014/main" id="{00000000-0008-0000-1500-000003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2884" name="Button 4" hidden="1">
              <a:extLst>
                <a:ext uri="{63B3BB69-23CF-44E3-9099-C40C66FF867C}">
                  <a14:compatExt spid="_x0000_s122884"/>
                </a:ext>
                <a:ext uri="{FF2B5EF4-FFF2-40B4-BE49-F238E27FC236}">
                  <a16:creationId xmlns:a16="http://schemas.microsoft.com/office/drawing/2014/main" id="{00000000-0008-0000-1500-000004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2885" name="Button 5" hidden="1">
              <a:extLst>
                <a:ext uri="{63B3BB69-23CF-44E3-9099-C40C66FF867C}">
                  <a14:compatExt spid="_x0000_s122885"/>
                </a:ext>
                <a:ext uri="{FF2B5EF4-FFF2-40B4-BE49-F238E27FC236}">
                  <a16:creationId xmlns:a16="http://schemas.microsoft.com/office/drawing/2014/main" id="{00000000-0008-0000-1500-000005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22886" name="Button 6" hidden="1">
              <a:extLst>
                <a:ext uri="{63B3BB69-23CF-44E3-9099-C40C66FF867C}">
                  <a14:compatExt spid="_x0000_s122886"/>
                </a:ext>
                <a:ext uri="{FF2B5EF4-FFF2-40B4-BE49-F238E27FC236}">
                  <a16:creationId xmlns:a16="http://schemas.microsoft.com/office/drawing/2014/main" id="{00000000-0008-0000-1500-000006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2887" name="Button 7" hidden="1">
              <a:extLst>
                <a:ext uri="{63B3BB69-23CF-44E3-9099-C40C66FF867C}">
                  <a14:compatExt spid="_x0000_s122887"/>
                </a:ext>
                <a:ext uri="{FF2B5EF4-FFF2-40B4-BE49-F238E27FC236}">
                  <a16:creationId xmlns:a16="http://schemas.microsoft.com/office/drawing/2014/main" id="{00000000-0008-0000-1500-000007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2888" name="Button 8" hidden="1">
              <a:extLst>
                <a:ext uri="{63B3BB69-23CF-44E3-9099-C40C66FF867C}">
                  <a14:compatExt spid="_x0000_s122888"/>
                </a:ext>
                <a:ext uri="{FF2B5EF4-FFF2-40B4-BE49-F238E27FC236}">
                  <a16:creationId xmlns:a16="http://schemas.microsoft.com/office/drawing/2014/main" id="{00000000-0008-0000-1500-000008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2889" name="Button 9" hidden="1">
              <a:extLst>
                <a:ext uri="{63B3BB69-23CF-44E3-9099-C40C66FF867C}">
                  <a14:compatExt spid="_x0000_s122889"/>
                </a:ext>
                <a:ext uri="{FF2B5EF4-FFF2-40B4-BE49-F238E27FC236}">
                  <a16:creationId xmlns:a16="http://schemas.microsoft.com/office/drawing/2014/main" id="{00000000-0008-0000-1500-000009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122890" name="Button 10" hidden="1">
              <a:extLst>
                <a:ext uri="{63B3BB69-23CF-44E3-9099-C40C66FF867C}">
                  <a14:compatExt spid="_x0000_s122890"/>
                </a:ext>
                <a:ext uri="{FF2B5EF4-FFF2-40B4-BE49-F238E27FC236}">
                  <a16:creationId xmlns:a16="http://schemas.microsoft.com/office/drawing/2014/main" id="{00000000-0008-0000-1500-00000A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2891" name="Button 11" hidden="1">
              <a:extLst>
                <a:ext uri="{63B3BB69-23CF-44E3-9099-C40C66FF867C}">
                  <a14:compatExt spid="_x0000_s122891"/>
                </a:ext>
                <a:ext uri="{FF2B5EF4-FFF2-40B4-BE49-F238E27FC236}">
                  <a16:creationId xmlns:a16="http://schemas.microsoft.com/office/drawing/2014/main" id="{00000000-0008-0000-1500-00000B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2892" name="Button 12" hidden="1">
              <a:extLst>
                <a:ext uri="{63B3BB69-23CF-44E3-9099-C40C66FF867C}">
                  <a14:compatExt spid="_x0000_s122892"/>
                </a:ext>
                <a:ext uri="{FF2B5EF4-FFF2-40B4-BE49-F238E27FC236}">
                  <a16:creationId xmlns:a16="http://schemas.microsoft.com/office/drawing/2014/main" id="{00000000-0008-0000-1500-00000C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2893" name="Button 13" hidden="1">
              <a:extLst>
                <a:ext uri="{63B3BB69-23CF-44E3-9099-C40C66FF867C}">
                  <a14:compatExt spid="_x0000_s122893"/>
                </a:ext>
                <a:ext uri="{FF2B5EF4-FFF2-40B4-BE49-F238E27FC236}">
                  <a16:creationId xmlns:a16="http://schemas.microsoft.com/office/drawing/2014/main" id="{00000000-0008-0000-1500-00000D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122894" name="Button 14" hidden="1">
              <a:extLst>
                <a:ext uri="{63B3BB69-23CF-44E3-9099-C40C66FF867C}">
                  <a14:compatExt spid="_x0000_s122894"/>
                </a:ext>
                <a:ext uri="{FF2B5EF4-FFF2-40B4-BE49-F238E27FC236}">
                  <a16:creationId xmlns:a16="http://schemas.microsoft.com/office/drawing/2014/main" id="{00000000-0008-0000-1500-00000E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2895" name="Button 15" hidden="1">
              <a:extLst>
                <a:ext uri="{63B3BB69-23CF-44E3-9099-C40C66FF867C}">
                  <a14:compatExt spid="_x0000_s122895"/>
                </a:ext>
                <a:ext uri="{FF2B5EF4-FFF2-40B4-BE49-F238E27FC236}">
                  <a16:creationId xmlns:a16="http://schemas.microsoft.com/office/drawing/2014/main" id="{00000000-0008-0000-1500-00000F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2896" name="Button 16" hidden="1">
              <a:extLst>
                <a:ext uri="{63B3BB69-23CF-44E3-9099-C40C66FF867C}">
                  <a14:compatExt spid="_x0000_s122896"/>
                </a:ext>
                <a:ext uri="{FF2B5EF4-FFF2-40B4-BE49-F238E27FC236}">
                  <a16:creationId xmlns:a16="http://schemas.microsoft.com/office/drawing/2014/main" id="{00000000-0008-0000-1500-000010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2897" name="Button 17" hidden="1">
              <a:extLst>
                <a:ext uri="{63B3BB69-23CF-44E3-9099-C40C66FF867C}">
                  <a14:compatExt spid="_x0000_s122897"/>
                </a:ext>
                <a:ext uri="{FF2B5EF4-FFF2-40B4-BE49-F238E27FC236}">
                  <a16:creationId xmlns:a16="http://schemas.microsoft.com/office/drawing/2014/main" id="{00000000-0008-0000-1500-00001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122898" name="Button 18" hidden="1">
              <a:extLst>
                <a:ext uri="{63B3BB69-23CF-44E3-9099-C40C66FF867C}">
                  <a14:compatExt spid="_x0000_s122898"/>
                </a:ext>
                <a:ext uri="{FF2B5EF4-FFF2-40B4-BE49-F238E27FC236}">
                  <a16:creationId xmlns:a16="http://schemas.microsoft.com/office/drawing/2014/main" id="{00000000-0008-0000-1500-000012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2899" name="Button 19" hidden="1">
              <a:extLst>
                <a:ext uri="{63B3BB69-23CF-44E3-9099-C40C66FF867C}">
                  <a14:compatExt spid="_x0000_s122899"/>
                </a:ext>
                <a:ext uri="{FF2B5EF4-FFF2-40B4-BE49-F238E27FC236}">
                  <a16:creationId xmlns:a16="http://schemas.microsoft.com/office/drawing/2014/main" id="{00000000-0008-0000-1500-000013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2900" name="Button 20" hidden="1">
              <a:extLst>
                <a:ext uri="{63B3BB69-23CF-44E3-9099-C40C66FF867C}">
                  <a14:compatExt spid="_x0000_s122900"/>
                </a:ext>
                <a:ext uri="{FF2B5EF4-FFF2-40B4-BE49-F238E27FC236}">
                  <a16:creationId xmlns:a16="http://schemas.microsoft.com/office/drawing/2014/main" id="{00000000-0008-0000-1500-000014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2901" name="Button 21" hidden="1">
              <a:extLst>
                <a:ext uri="{63B3BB69-23CF-44E3-9099-C40C66FF867C}">
                  <a14:compatExt spid="_x0000_s122901"/>
                </a:ext>
                <a:ext uri="{FF2B5EF4-FFF2-40B4-BE49-F238E27FC236}">
                  <a16:creationId xmlns:a16="http://schemas.microsoft.com/office/drawing/2014/main" id="{00000000-0008-0000-1500-000015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122902" name="Button 22" hidden="1">
              <a:extLst>
                <a:ext uri="{63B3BB69-23CF-44E3-9099-C40C66FF867C}">
                  <a14:compatExt spid="_x0000_s122902"/>
                </a:ext>
                <a:ext uri="{FF2B5EF4-FFF2-40B4-BE49-F238E27FC236}">
                  <a16:creationId xmlns:a16="http://schemas.microsoft.com/office/drawing/2014/main" id="{00000000-0008-0000-1500-000016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2903" name="Button 23" hidden="1">
              <a:extLst>
                <a:ext uri="{63B3BB69-23CF-44E3-9099-C40C66FF867C}">
                  <a14:compatExt spid="_x0000_s122903"/>
                </a:ext>
                <a:ext uri="{FF2B5EF4-FFF2-40B4-BE49-F238E27FC236}">
                  <a16:creationId xmlns:a16="http://schemas.microsoft.com/office/drawing/2014/main" id="{00000000-0008-0000-1500-000017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2904" name="Button 24" hidden="1">
              <a:extLst>
                <a:ext uri="{63B3BB69-23CF-44E3-9099-C40C66FF867C}">
                  <a14:compatExt spid="_x0000_s122904"/>
                </a:ext>
                <a:ext uri="{FF2B5EF4-FFF2-40B4-BE49-F238E27FC236}">
                  <a16:creationId xmlns:a16="http://schemas.microsoft.com/office/drawing/2014/main" id="{00000000-0008-0000-1500-000018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2905" name="Button 25" hidden="1">
              <a:extLst>
                <a:ext uri="{63B3BB69-23CF-44E3-9099-C40C66FF867C}">
                  <a14:compatExt spid="_x0000_s122905"/>
                </a:ext>
                <a:ext uri="{FF2B5EF4-FFF2-40B4-BE49-F238E27FC236}">
                  <a16:creationId xmlns:a16="http://schemas.microsoft.com/office/drawing/2014/main" id="{00000000-0008-0000-1500-000019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122906" name="Button 26" hidden="1">
              <a:extLst>
                <a:ext uri="{63B3BB69-23CF-44E3-9099-C40C66FF867C}">
                  <a14:compatExt spid="_x0000_s122906"/>
                </a:ext>
                <a:ext uri="{FF2B5EF4-FFF2-40B4-BE49-F238E27FC236}">
                  <a16:creationId xmlns:a16="http://schemas.microsoft.com/office/drawing/2014/main" id="{00000000-0008-0000-1500-00001A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2907" name="Button 27" hidden="1">
              <a:extLst>
                <a:ext uri="{63B3BB69-23CF-44E3-9099-C40C66FF867C}">
                  <a14:compatExt spid="_x0000_s122907"/>
                </a:ext>
                <a:ext uri="{FF2B5EF4-FFF2-40B4-BE49-F238E27FC236}">
                  <a16:creationId xmlns:a16="http://schemas.microsoft.com/office/drawing/2014/main" id="{00000000-0008-0000-1500-00001B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2908" name="Button 28" hidden="1">
              <a:extLst>
                <a:ext uri="{63B3BB69-23CF-44E3-9099-C40C66FF867C}">
                  <a14:compatExt spid="_x0000_s122908"/>
                </a:ext>
                <a:ext uri="{FF2B5EF4-FFF2-40B4-BE49-F238E27FC236}">
                  <a16:creationId xmlns:a16="http://schemas.microsoft.com/office/drawing/2014/main" id="{00000000-0008-0000-1500-00001C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2909" name="Button 29" hidden="1">
              <a:extLst>
                <a:ext uri="{63B3BB69-23CF-44E3-9099-C40C66FF867C}">
                  <a14:compatExt spid="_x0000_s122909"/>
                </a:ext>
                <a:ext uri="{FF2B5EF4-FFF2-40B4-BE49-F238E27FC236}">
                  <a16:creationId xmlns:a16="http://schemas.microsoft.com/office/drawing/2014/main" id="{00000000-0008-0000-1500-00001D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122910" name="Button 30" hidden="1">
              <a:extLst>
                <a:ext uri="{63B3BB69-23CF-44E3-9099-C40C66FF867C}">
                  <a14:compatExt spid="_x0000_s122910"/>
                </a:ext>
                <a:ext uri="{FF2B5EF4-FFF2-40B4-BE49-F238E27FC236}">
                  <a16:creationId xmlns:a16="http://schemas.microsoft.com/office/drawing/2014/main" id="{00000000-0008-0000-1500-00001E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2911" name="Button 31" hidden="1">
              <a:extLst>
                <a:ext uri="{63B3BB69-23CF-44E3-9099-C40C66FF867C}">
                  <a14:compatExt spid="_x0000_s122911"/>
                </a:ext>
                <a:ext uri="{FF2B5EF4-FFF2-40B4-BE49-F238E27FC236}">
                  <a16:creationId xmlns:a16="http://schemas.microsoft.com/office/drawing/2014/main" id="{00000000-0008-0000-1500-00001F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2912" name="Button 32" hidden="1">
              <a:extLst>
                <a:ext uri="{63B3BB69-23CF-44E3-9099-C40C66FF867C}">
                  <a14:compatExt spid="_x0000_s122912"/>
                </a:ext>
                <a:ext uri="{FF2B5EF4-FFF2-40B4-BE49-F238E27FC236}">
                  <a16:creationId xmlns:a16="http://schemas.microsoft.com/office/drawing/2014/main" id="{00000000-0008-0000-1500-000020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2913" name="Button 33" hidden="1">
              <a:extLst>
                <a:ext uri="{63B3BB69-23CF-44E3-9099-C40C66FF867C}">
                  <a14:compatExt spid="_x0000_s122913"/>
                </a:ext>
                <a:ext uri="{FF2B5EF4-FFF2-40B4-BE49-F238E27FC236}">
                  <a16:creationId xmlns:a16="http://schemas.microsoft.com/office/drawing/2014/main" id="{00000000-0008-0000-1500-00002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122914" name="Button 34" hidden="1">
              <a:extLst>
                <a:ext uri="{63B3BB69-23CF-44E3-9099-C40C66FF867C}">
                  <a14:compatExt spid="_x0000_s122914"/>
                </a:ext>
                <a:ext uri="{FF2B5EF4-FFF2-40B4-BE49-F238E27FC236}">
                  <a16:creationId xmlns:a16="http://schemas.microsoft.com/office/drawing/2014/main" id="{00000000-0008-0000-1500-000022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2915" name="Button 35" hidden="1">
              <a:extLst>
                <a:ext uri="{63B3BB69-23CF-44E3-9099-C40C66FF867C}">
                  <a14:compatExt spid="_x0000_s122915"/>
                </a:ext>
                <a:ext uri="{FF2B5EF4-FFF2-40B4-BE49-F238E27FC236}">
                  <a16:creationId xmlns:a16="http://schemas.microsoft.com/office/drawing/2014/main" id="{00000000-0008-0000-1500-000023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2916" name="Button 36" hidden="1">
              <a:extLst>
                <a:ext uri="{63B3BB69-23CF-44E3-9099-C40C66FF867C}">
                  <a14:compatExt spid="_x0000_s122916"/>
                </a:ext>
                <a:ext uri="{FF2B5EF4-FFF2-40B4-BE49-F238E27FC236}">
                  <a16:creationId xmlns:a16="http://schemas.microsoft.com/office/drawing/2014/main" id="{00000000-0008-0000-1500-000024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2917" name="Button 37" hidden="1">
              <a:extLst>
                <a:ext uri="{63B3BB69-23CF-44E3-9099-C40C66FF867C}">
                  <a14:compatExt spid="_x0000_s122917"/>
                </a:ext>
                <a:ext uri="{FF2B5EF4-FFF2-40B4-BE49-F238E27FC236}">
                  <a16:creationId xmlns:a16="http://schemas.microsoft.com/office/drawing/2014/main" id="{00000000-0008-0000-1500-000025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122918" name="Button 38" hidden="1">
              <a:extLst>
                <a:ext uri="{63B3BB69-23CF-44E3-9099-C40C66FF867C}">
                  <a14:compatExt spid="_x0000_s122918"/>
                </a:ext>
                <a:ext uri="{FF2B5EF4-FFF2-40B4-BE49-F238E27FC236}">
                  <a16:creationId xmlns:a16="http://schemas.microsoft.com/office/drawing/2014/main" id="{00000000-0008-0000-1500-000026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2919" name="Button 39" hidden="1">
              <a:extLst>
                <a:ext uri="{63B3BB69-23CF-44E3-9099-C40C66FF867C}">
                  <a14:compatExt spid="_x0000_s122919"/>
                </a:ext>
                <a:ext uri="{FF2B5EF4-FFF2-40B4-BE49-F238E27FC236}">
                  <a16:creationId xmlns:a16="http://schemas.microsoft.com/office/drawing/2014/main" id="{00000000-0008-0000-1500-000027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2920" name="Button 40" hidden="1">
              <a:extLst>
                <a:ext uri="{63B3BB69-23CF-44E3-9099-C40C66FF867C}">
                  <a14:compatExt spid="_x0000_s122920"/>
                </a:ext>
                <a:ext uri="{FF2B5EF4-FFF2-40B4-BE49-F238E27FC236}">
                  <a16:creationId xmlns:a16="http://schemas.microsoft.com/office/drawing/2014/main" id="{00000000-0008-0000-1500-000028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2921" name="Button 41" hidden="1">
              <a:extLst>
                <a:ext uri="{63B3BB69-23CF-44E3-9099-C40C66FF867C}">
                  <a14:compatExt spid="_x0000_s122921"/>
                </a:ext>
                <a:ext uri="{FF2B5EF4-FFF2-40B4-BE49-F238E27FC236}">
                  <a16:creationId xmlns:a16="http://schemas.microsoft.com/office/drawing/2014/main" id="{00000000-0008-0000-1500-000029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122922" name="Button 42" hidden="1">
              <a:extLst>
                <a:ext uri="{63B3BB69-23CF-44E3-9099-C40C66FF867C}">
                  <a14:compatExt spid="_x0000_s122922"/>
                </a:ext>
                <a:ext uri="{FF2B5EF4-FFF2-40B4-BE49-F238E27FC236}">
                  <a16:creationId xmlns:a16="http://schemas.microsoft.com/office/drawing/2014/main" id="{00000000-0008-0000-1500-00002A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2923" name="Button 43" hidden="1">
              <a:extLst>
                <a:ext uri="{63B3BB69-23CF-44E3-9099-C40C66FF867C}">
                  <a14:compatExt spid="_x0000_s122923"/>
                </a:ext>
                <a:ext uri="{FF2B5EF4-FFF2-40B4-BE49-F238E27FC236}">
                  <a16:creationId xmlns:a16="http://schemas.microsoft.com/office/drawing/2014/main" id="{00000000-0008-0000-1500-00002B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2924" name="Button 44" hidden="1">
              <a:extLst>
                <a:ext uri="{63B3BB69-23CF-44E3-9099-C40C66FF867C}">
                  <a14:compatExt spid="_x0000_s122924"/>
                </a:ext>
                <a:ext uri="{FF2B5EF4-FFF2-40B4-BE49-F238E27FC236}">
                  <a16:creationId xmlns:a16="http://schemas.microsoft.com/office/drawing/2014/main" id="{00000000-0008-0000-1500-00002C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2925" name="Button 45" hidden="1">
              <a:extLst>
                <a:ext uri="{63B3BB69-23CF-44E3-9099-C40C66FF867C}">
                  <a14:compatExt spid="_x0000_s122925"/>
                </a:ext>
                <a:ext uri="{FF2B5EF4-FFF2-40B4-BE49-F238E27FC236}">
                  <a16:creationId xmlns:a16="http://schemas.microsoft.com/office/drawing/2014/main" id="{00000000-0008-0000-1500-00002D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122926" name="Button 46" hidden="1">
              <a:extLst>
                <a:ext uri="{63B3BB69-23CF-44E3-9099-C40C66FF867C}">
                  <a14:compatExt spid="_x0000_s122926"/>
                </a:ext>
                <a:ext uri="{FF2B5EF4-FFF2-40B4-BE49-F238E27FC236}">
                  <a16:creationId xmlns:a16="http://schemas.microsoft.com/office/drawing/2014/main" id="{00000000-0008-0000-1500-00002E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2927" name="Button 47" hidden="1">
              <a:extLst>
                <a:ext uri="{63B3BB69-23CF-44E3-9099-C40C66FF867C}">
                  <a14:compatExt spid="_x0000_s122927"/>
                </a:ext>
                <a:ext uri="{FF2B5EF4-FFF2-40B4-BE49-F238E27FC236}">
                  <a16:creationId xmlns:a16="http://schemas.microsoft.com/office/drawing/2014/main" id="{00000000-0008-0000-1500-00002F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2928" name="Button 48" hidden="1">
              <a:extLst>
                <a:ext uri="{63B3BB69-23CF-44E3-9099-C40C66FF867C}">
                  <a14:compatExt spid="_x0000_s122928"/>
                </a:ext>
                <a:ext uri="{FF2B5EF4-FFF2-40B4-BE49-F238E27FC236}">
                  <a16:creationId xmlns:a16="http://schemas.microsoft.com/office/drawing/2014/main" id="{00000000-0008-0000-1500-000030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2929" name="Button 49" hidden="1">
              <a:extLst>
                <a:ext uri="{63B3BB69-23CF-44E3-9099-C40C66FF867C}">
                  <a14:compatExt spid="_x0000_s122929"/>
                </a:ext>
                <a:ext uri="{FF2B5EF4-FFF2-40B4-BE49-F238E27FC236}">
                  <a16:creationId xmlns:a16="http://schemas.microsoft.com/office/drawing/2014/main" id="{00000000-0008-0000-1500-000031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122930" name="Button 50" hidden="1">
              <a:extLst>
                <a:ext uri="{63B3BB69-23CF-44E3-9099-C40C66FF867C}">
                  <a14:compatExt spid="_x0000_s122930"/>
                </a:ext>
                <a:ext uri="{FF2B5EF4-FFF2-40B4-BE49-F238E27FC236}">
                  <a16:creationId xmlns:a16="http://schemas.microsoft.com/office/drawing/2014/main" id="{00000000-0008-0000-1500-000032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2931" name="Button 51" hidden="1">
              <a:extLst>
                <a:ext uri="{63B3BB69-23CF-44E3-9099-C40C66FF867C}">
                  <a14:compatExt spid="_x0000_s122931"/>
                </a:ext>
                <a:ext uri="{FF2B5EF4-FFF2-40B4-BE49-F238E27FC236}">
                  <a16:creationId xmlns:a16="http://schemas.microsoft.com/office/drawing/2014/main" id="{00000000-0008-0000-1500-000033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2932" name="Button 52" hidden="1">
              <a:extLst>
                <a:ext uri="{63B3BB69-23CF-44E3-9099-C40C66FF867C}">
                  <a14:compatExt spid="_x0000_s122932"/>
                </a:ext>
                <a:ext uri="{FF2B5EF4-FFF2-40B4-BE49-F238E27FC236}">
                  <a16:creationId xmlns:a16="http://schemas.microsoft.com/office/drawing/2014/main" id="{00000000-0008-0000-1500-000034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2933" name="Button 53" hidden="1">
              <a:extLst>
                <a:ext uri="{63B3BB69-23CF-44E3-9099-C40C66FF867C}">
                  <a14:compatExt spid="_x0000_s122933"/>
                </a:ext>
                <a:ext uri="{FF2B5EF4-FFF2-40B4-BE49-F238E27FC236}">
                  <a16:creationId xmlns:a16="http://schemas.microsoft.com/office/drawing/2014/main" id="{00000000-0008-0000-1500-000035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122934" name="Button 54" hidden="1">
              <a:extLst>
                <a:ext uri="{63B3BB69-23CF-44E3-9099-C40C66FF867C}">
                  <a14:compatExt spid="_x0000_s122934"/>
                </a:ext>
                <a:ext uri="{FF2B5EF4-FFF2-40B4-BE49-F238E27FC236}">
                  <a16:creationId xmlns:a16="http://schemas.microsoft.com/office/drawing/2014/main" id="{00000000-0008-0000-1500-000036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2935" name="Button 55" hidden="1">
              <a:extLst>
                <a:ext uri="{63B3BB69-23CF-44E3-9099-C40C66FF867C}">
                  <a14:compatExt spid="_x0000_s122935"/>
                </a:ext>
                <a:ext uri="{FF2B5EF4-FFF2-40B4-BE49-F238E27FC236}">
                  <a16:creationId xmlns:a16="http://schemas.microsoft.com/office/drawing/2014/main" id="{00000000-0008-0000-1500-000037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2936" name="Button 56" hidden="1">
              <a:extLst>
                <a:ext uri="{63B3BB69-23CF-44E3-9099-C40C66FF867C}">
                  <a14:compatExt spid="_x0000_s122936"/>
                </a:ext>
                <a:ext uri="{FF2B5EF4-FFF2-40B4-BE49-F238E27FC236}">
                  <a16:creationId xmlns:a16="http://schemas.microsoft.com/office/drawing/2014/main" id="{00000000-0008-0000-1500-000038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2937" name="Button 57" hidden="1">
              <a:extLst>
                <a:ext uri="{63B3BB69-23CF-44E3-9099-C40C66FF867C}">
                  <a14:compatExt spid="_x0000_s122937"/>
                </a:ext>
                <a:ext uri="{FF2B5EF4-FFF2-40B4-BE49-F238E27FC236}">
                  <a16:creationId xmlns:a16="http://schemas.microsoft.com/office/drawing/2014/main" id="{00000000-0008-0000-1500-000039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122938" name="Button 58" hidden="1">
              <a:extLst>
                <a:ext uri="{63B3BB69-23CF-44E3-9099-C40C66FF867C}">
                  <a14:compatExt spid="_x0000_s122938"/>
                </a:ext>
                <a:ext uri="{FF2B5EF4-FFF2-40B4-BE49-F238E27FC236}">
                  <a16:creationId xmlns:a16="http://schemas.microsoft.com/office/drawing/2014/main" id="{00000000-0008-0000-1500-00003AE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0</xdr:col>
          <xdr:colOff>552450</xdr:colOff>
          <xdr:row>1</xdr:row>
          <xdr:rowOff>38100</xdr:rowOff>
        </xdr:to>
        <xdr:sp macro="" textlink="">
          <xdr:nvSpPr>
            <xdr:cNvPr id="83969" name="Button 1" hidden="1">
              <a:extLst>
                <a:ext uri="{63B3BB69-23CF-44E3-9099-C40C66FF867C}">
                  <a14:compatExt spid="_x0000_s83969"/>
                </a:ext>
                <a:ext uri="{FF2B5EF4-FFF2-40B4-BE49-F238E27FC236}">
                  <a16:creationId xmlns:a16="http://schemas.microsoft.com/office/drawing/2014/main" id="{00000000-0008-0000-1600-000001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82</xdr:row>
          <xdr:rowOff>76200</xdr:rowOff>
        </xdr:from>
        <xdr:to>
          <xdr:col>16</xdr:col>
          <xdr:colOff>38100</xdr:colOff>
          <xdr:row>83</xdr:row>
          <xdr:rowOff>133350</xdr:rowOff>
        </xdr:to>
        <xdr:sp macro="" textlink="">
          <xdr:nvSpPr>
            <xdr:cNvPr id="83970" name="Button 2" hidden="1">
              <a:extLst>
                <a:ext uri="{63B3BB69-23CF-44E3-9099-C40C66FF867C}">
                  <a14:compatExt spid="_x0000_s83970"/>
                </a:ext>
                <a:ext uri="{FF2B5EF4-FFF2-40B4-BE49-F238E27FC236}">
                  <a16:creationId xmlns:a16="http://schemas.microsoft.com/office/drawing/2014/main" id="{00000000-0008-0000-1600-000002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83971" name="Button 3" hidden="1">
              <a:extLst>
                <a:ext uri="{63B3BB69-23CF-44E3-9099-C40C66FF867C}">
                  <a14:compatExt spid="_x0000_s83971"/>
                </a:ext>
                <a:ext uri="{FF2B5EF4-FFF2-40B4-BE49-F238E27FC236}">
                  <a16:creationId xmlns:a16="http://schemas.microsoft.com/office/drawing/2014/main" id="{00000000-0008-0000-1600-000003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83972" name="Button 4" hidden="1">
              <a:extLst>
                <a:ext uri="{63B3BB69-23CF-44E3-9099-C40C66FF867C}">
                  <a14:compatExt spid="_x0000_s83972"/>
                </a:ext>
                <a:ext uri="{FF2B5EF4-FFF2-40B4-BE49-F238E27FC236}">
                  <a16:creationId xmlns:a16="http://schemas.microsoft.com/office/drawing/2014/main" id="{00000000-0008-0000-1600-000004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83973" name="Button 5" hidden="1">
              <a:extLst>
                <a:ext uri="{63B3BB69-23CF-44E3-9099-C40C66FF867C}">
                  <a14:compatExt spid="_x0000_s83973"/>
                </a:ext>
                <a:ext uri="{FF2B5EF4-FFF2-40B4-BE49-F238E27FC236}">
                  <a16:creationId xmlns:a16="http://schemas.microsoft.com/office/drawing/2014/main" id="{00000000-0008-0000-1600-000005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83974" name="Button 6" hidden="1">
              <a:extLst>
                <a:ext uri="{63B3BB69-23CF-44E3-9099-C40C66FF867C}">
                  <a14:compatExt spid="_x0000_s83974"/>
                </a:ext>
                <a:ext uri="{FF2B5EF4-FFF2-40B4-BE49-F238E27FC236}">
                  <a16:creationId xmlns:a16="http://schemas.microsoft.com/office/drawing/2014/main" id="{00000000-0008-0000-1600-000006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83975" name="Button 7" hidden="1">
              <a:extLst>
                <a:ext uri="{63B3BB69-23CF-44E3-9099-C40C66FF867C}">
                  <a14:compatExt spid="_x0000_s83975"/>
                </a:ext>
                <a:ext uri="{FF2B5EF4-FFF2-40B4-BE49-F238E27FC236}">
                  <a16:creationId xmlns:a16="http://schemas.microsoft.com/office/drawing/2014/main" id="{00000000-0008-0000-1600-000007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83976" name="Button 8" hidden="1">
              <a:extLst>
                <a:ext uri="{63B3BB69-23CF-44E3-9099-C40C66FF867C}">
                  <a14:compatExt spid="_x0000_s83976"/>
                </a:ext>
                <a:ext uri="{FF2B5EF4-FFF2-40B4-BE49-F238E27FC236}">
                  <a16:creationId xmlns:a16="http://schemas.microsoft.com/office/drawing/2014/main" id="{00000000-0008-0000-1600-000008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83977" name="Button 9" hidden="1">
              <a:extLst>
                <a:ext uri="{63B3BB69-23CF-44E3-9099-C40C66FF867C}">
                  <a14:compatExt spid="_x0000_s83977"/>
                </a:ext>
                <a:ext uri="{FF2B5EF4-FFF2-40B4-BE49-F238E27FC236}">
                  <a16:creationId xmlns:a16="http://schemas.microsoft.com/office/drawing/2014/main" id="{00000000-0008-0000-1600-000009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523875</xdr:colOff>
          <xdr:row>0</xdr:row>
          <xdr:rowOff>76200</xdr:rowOff>
        </xdr:from>
        <xdr:to>
          <xdr:col>48</xdr:col>
          <xdr:colOff>428625</xdr:colOff>
          <xdr:row>1</xdr:row>
          <xdr:rowOff>66675</xdr:rowOff>
        </xdr:to>
        <xdr:sp macro="" textlink="">
          <xdr:nvSpPr>
            <xdr:cNvPr id="83978" name="Button 10" hidden="1">
              <a:extLst>
                <a:ext uri="{63B3BB69-23CF-44E3-9099-C40C66FF867C}">
                  <a14:compatExt spid="_x0000_s83978"/>
                </a:ext>
                <a:ext uri="{FF2B5EF4-FFF2-40B4-BE49-F238E27FC236}">
                  <a16:creationId xmlns:a16="http://schemas.microsoft.com/office/drawing/2014/main" id="{00000000-0008-0000-1600-00000A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83979" name="Button 11" hidden="1">
              <a:extLst>
                <a:ext uri="{63B3BB69-23CF-44E3-9099-C40C66FF867C}">
                  <a14:compatExt spid="_x0000_s83979"/>
                </a:ext>
                <a:ext uri="{FF2B5EF4-FFF2-40B4-BE49-F238E27FC236}">
                  <a16:creationId xmlns:a16="http://schemas.microsoft.com/office/drawing/2014/main" id="{00000000-0008-0000-1600-00000B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83980" name="Button 12" hidden="1">
              <a:extLst>
                <a:ext uri="{63B3BB69-23CF-44E3-9099-C40C66FF867C}">
                  <a14:compatExt spid="_x0000_s83980"/>
                </a:ext>
                <a:ext uri="{FF2B5EF4-FFF2-40B4-BE49-F238E27FC236}">
                  <a16:creationId xmlns:a16="http://schemas.microsoft.com/office/drawing/2014/main" id="{00000000-0008-0000-1600-00000C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83981" name="Button 13" hidden="1">
              <a:extLst>
                <a:ext uri="{63B3BB69-23CF-44E3-9099-C40C66FF867C}">
                  <a14:compatExt spid="_x0000_s83981"/>
                </a:ext>
                <a:ext uri="{FF2B5EF4-FFF2-40B4-BE49-F238E27FC236}">
                  <a16:creationId xmlns:a16="http://schemas.microsoft.com/office/drawing/2014/main" id="{00000000-0008-0000-1600-00000D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371475</xdr:colOff>
          <xdr:row>0</xdr:row>
          <xdr:rowOff>76200</xdr:rowOff>
        </xdr:from>
        <xdr:to>
          <xdr:col>64</xdr:col>
          <xdr:colOff>276225</xdr:colOff>
          <xdr:row>1</xdr:row>
          <xdr:rowOff>66675</xdr:rowOff>
        </xdr:to>
        <xdr:sp macro="" textlink="">
          <xdr:nvSpPr>
            <xdr:cNvPr id="83982" name="Button 14" hidden="1">
              <a:extLst>
                <a:ext uri="{63B3BB69-23CF-44E3-9099-C40C66FF867C}">
                  <a14:compatExt spid="_x0000_s83982"/>
                </a:ext>
                <a:ext uri="{FF2B5EF4-FFF2-40B4-BE49-F238E27FC236}">
                  <a16:creationId xmlns:a16="http://schemas.microsoft.com/office/drawing/2014/main" id="{00000000-0008-0000-1600-00000E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83983" name="Button 15" hidden="1">
              <a:extLst>
                <a:ext uri="{63B3BB69-23CF-44E3-9099-C40C66FF867C}">
                  <a14:compatExt spid="_x0000_s83983"/>
                </a:ext>
                <a:ext uri="{FF2B5EF4-FFF2-40B4-BE49-F238E27FC236}">
                  <a16:creationId xmlns:a16="http://schemas.microsoft.com/office/drawing/2014/main" id="{00000000-0008-0000-1600-00000F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83984" name="Button 16" hidden="1">
              <a:extLst>
                <a:ext uri="{63B3BB69-23CF-44E3-9099-C40C66FF867C}">
                  <a14:compatExt spid="_x0000_s83984"/>
                </a:ext>
                <a:ext uri="{FF2B5EF4-FFF2-40B4-BE49-F238E27FC236}">
                  <a16:creationId xmlns:a16="http://schemas.microsoft.com/office/drawing/2014/main" id="{00000000-0008-0000-1600-000010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83985" name="Button 17" hidden="1">
              <a:extLst>
                <a:ext uri="{63B3BB69-23CF-44E3-9099-C40C66FF867C}">
                  <a14:compatExt spid="_x0000_s83985"/>
                </a:ext>
                <a:ext uri="{FF2B5EF4-FFF2-40B4-BE49-F238E27FC236}">
                  <a16:creationId xmlns:a16="http://schemas.microsoft.com/office/drawing/2014/main" id="{00000000-0008-0000-1600-000011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0</xdr:row>
          <xdr:rowOff>76200</xdr:rowOff>
        </xdr:from>
        <xdr:to>
          <xdr:col>80</xdr:col>
          <xdr:colOff>123825</xdr:colOff>
          <xdr:row>1</xdr:row>
          <xdr:rowOff>66675</xdr:rowOff>
        </xdr:to>
        <xdr:sp macro="" textlink="">
          <xdr:nvSpPr>
            <xdr:cNvPr id="83986" name="Button 18" hidden="1">
              <a:extLst>
                <a:ext uri="{63B3BB69-23CF-44E3-9099-C40C66FF867C}">
                  <a14:compatExt spid="_x0000_s83986"/>
                </a:ext>
                <a:ext uri="{FF2B5EF4-FFF2-40B4-BE49-F238E27FC236}">
                  <a16:creationId xmlns:a16="http://schemas.microsoft.com/office/drawing/2014/main" id="{00000000-0008-0000-1600-000012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83987" name="Button 19" hidden="1">
              <a:extLst>
                <a:ext uri="{63B3BB69-23CF-44E3-9099-C40C66FF867C}">
                  <a14:compatExt spid="_x0000_s83987"/>
                </a:ext>
                <a:ext uri="{FF2B5EF4-FFF2-40B4-BE49-F238E27FC236}">
                  <a16:creationId xmlns:a16="http://schemas.microsoft.com/office/drawing/2014/main" id="{00000000-0008-0000-1600-000013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83988" name="Button 20" hidden="1">
              <a:extLst>
                <a:ext uri="{63B3BB69-23CF-44E3-9099-C40C66FF867C}">
                  <a14:compatExt spid="_x0000_s83988"/>
                </a:ext>
                <a:ext uri="{FF2B5EF4-FFF2-40B4-BE49-F238E27FC236}">
                  <a16:creationId xmlns:a16="http://schemas.microsoft.com/office/drawing/2014/main" id="{00000000-0008-0000-1600-000014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83989" name="Button 21" hidden="1">
              <a:extLst>
                <a:ext uri="{63B3BB69-23CF-44E3-9099-C40C66FF867C}">
                  <a14:compatExt spid="_x0000_s83989"/>
                </a:ext>
                <a:ext uri="{FF2B5EF4-FFF2-40B4-BE49-F238E27FC236}">
                  <a16:creationId xmlns:a16="http://schemas.microsoft.com/office/drawing/2014/main" id="{00000000-0008-0000-1600-000015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0</xdr:row>
          <xdr:rowOff>76200</xdr:rowOff>
        </xdr:from>
        <xdr:to>
          <xdr:col>95</xdr:col>
          <xdr:colOff>581025</xdr:colOff>
          <xdr:row>1</xdr:row>
          <xdr:rowOff>66675</xdr:rowOff>
        </xdr:to>
        <xdr:sp macro="" textlink="">
          <xdr:nvSpPr>
            <xdr:cNvPr id="83990" name="Button 22" hidden="1">
              <a:extLst>
                <a:ext uri="{63B3BB69-23CF-44E3-9099-C40C66FF867C}">
                  <a14:compatExt spid="_x0000_s83990"/>
                </a:ext>
                <a:ext uri="{FF2B5EF4-FFF2-40B4-BE49-F238E27FC236}">
                  <a16:creationId xmlns:a16="http://schemas.microsoft.com/office/drawing/2014/main" id="{00000000-0008-0000-1600-000016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83991" name="Button 23" hidden="1">
              <a:extLst>
                <a:ext uri="{63B3BB69-23CF-44E3-9099-C40C66FF867C}">
                  <a14:compatExt spid="_x0000_s83991"/>
                </a:ext>
                <a:ext uri="{FF2B5EF4-FFF2-40B4-BE49-F238E27FC236}">
                  <a16:creationId xmlns:a16="http://schemas.microsoft.com/office/drawing/2014/main" id="{00000000-0008-0000-1600-000017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83992" name="Button 24" hidden="1">
              <a:extLst>
                <a:ext uri="{63B3BB69-23CF-44E3-9099-C40C66FF867C}">
                  <a14:compatExt spid="_x0000_s83992"/>
                </a:ext>
                <a:ext uri="{FF2B5EF4-FFF2-40B4-BE49-F238E27FC236}">
                  <a16:creationId xmlns:a16="http://schemas.microsoft.com/office/drawing/2014/main" id="{00000000-0008-0000-1600-000018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83993" name="Button 25" hidden="1">
              <a:extLst>
                <a:ext uri="{63B3BB69-23CF-44E3-9099-C40C66FF867C}">
                  <a14:compatExt spid="_x0000_s83993"/>
                </a:ext>
                <a:ext uri="{FF2B5EF4-FFF2-40B4-BE49-F238E27FC236}">
                  <a16:creationId xmlns:a16="http://schemas.microsoft.com/office/drawing/2014/main" id="{00000000-0008-0000-1600-000019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523875</xdr:colOff>
          <xdr:row>0</xdr:row>
          <xdr:rowOff>76200</xdr:rowOff>
        </xdr:from>
        <xdr:to>
          <xdr:col>111</xdr:col>
          <xdr:colOff>428625</xdr:colOff>
          <xdr:row>1</xdr:row>
          <xdr:rowOff>66675</xdr:rowOff>
        </xdr:to>
        <xdr:sp macro="" textlink="">
          <xdr:nvSpPr>
            <xdr:cNvPr id="83994" name="Button 26" hidden="1">
              <a:extLst>
                <a:ext uri="{63B3BB69-23CF-44E3-9099-C40C66FF867C}">
                  <a14:compatExt spid="_x0000_s83994"/>
                </a:ext>
                <a:ext uri="{FF2B5EF4-FFF2-40B4-BE49-F238E27FC236}">
                  <a16:creationId xmlns:a16="http://schemas.microsoft.com/office/drawing/2014/main" id="{00000000-0008-0000-1600-00001A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83995" name="Button 27" hidden="1">
              <a:extLst>
                <a:ext uri="{63B3BB69-23CF-44E3-9099-C40C66FF867C}">
                  <a14:compatExt spid="_x0000_s83995"/>
                </a:ext>
                <a:ext uri="{FF2B5EF4-FFF2-40B4-BE49-F238E27FC236}">
                  <a16:creationId xmlns:a16="http://schemas.microsoft.com/office/drawing/2014/main" id="{00000000-0008-0000-1600-00001B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83996" name="Button 28" hidden="1">
              <a:extLst>
                <a:ext uri="{63B3BB69-23CF-44E3-9099-C40C66FF867C}">
                  <a14:compatExt spid="_x0000_s83996"/>
                </a:ext>
                <a:ext uri="{FF2B5EF4-FFF2-40B4-BE49-F238E27FC236}">
                  <a16:creationId xmlns:a16="http://schemas.microsoft.com/office/drawing/2014/main" id="{00000000-0008-0000-1600-00001C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83997" name="Button 29" hidden="1">
              <a:extLst>
                <a:ext uri="{63B3BB69-23CF-44E3-9099-C40C66FF867C}">
                  <a14:compatExt spid="_x0000_s83997"/>
                </a:ext>
                <a:ext uri="{FF2B5EF4-FFF2-40B4-BE49-F238E27FC236}">
                  <a16:creationId xmlns:a16="http://schemas.microsoft.com/office/drawing/2014/main" id="{00000000-0008-0000-1600-00001D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381000</xdr:colOff>
          <xdr:row>0</xdr:row>
          <xdr:rowOff>76200</xdr:rowOff>
        </xdr:from>
        <xdr:to>
          <xdr:col>127</xdr:col>
          <xdr:colOff>276225</xdr:colOff>
          <xdr:row>1</xdr:row>
          <xdr:rowOff>66675</xdr:rowOff>
        </xdr:to>
        <xdr:sp macro="" textlink="">
          <xdr:nvSpPr>
            <xdr:cNvPr id="83998" name="Button 30" hidden="1">
              <a:extLst>
                <a:ext uri="{63B3BB69-23CF-44E3-9099-C40C66FF867C}">
                  <a14:compatExt spid="_x0000_s83998"/>
                </a:ext>
                <a:ext uri="{FF2B5EF4-FFF2-40B4-BE49-F238E27FC236}">
                  <a16:creationId xmlns:a16="http://schemas.microsoft.com/office/drawing/2014/main" id="{00000000-0008-0000-1600-00001E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83999" name="Button 31" hidden="1">
              <a:extLst>
                <a:ext uri="{63B3BB69-23CF-44E3-9099-C40C66FF867C}">
                  <a14:compatExt spid="_x0000_s83999"/>
                </a:ext>
                <a:ext uri="{FF2B5EF4-FFF2-40B4-BE49-F238E27FC236}">
                  <a16:creationId xmlns:a16="http://schemas.microsoft.com/office/drawing/2014/main" id="{00000000-0008-0000-1600-00001F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84000" name="Button 32" hidden="1">
              <a:extLst>
                <a:ext uri="{63B3BB69-23CF-44E3-9099-C40C66FF867C}">
                  <a14:compatExt spid="_x0000_s84000"/>
                </a:ext>
                <a:ext uri="{FF2B5EF4-FFF2-40B4-BE49-F238E27FC236}">
                  <a16:creationId xmlns:a16="http://schemas.microsoft.com/office/drawing/2014/main" id="{00000000-0008-0000-1600-000020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84001" name="Button 33" hidden="1">
              <a:extLst>
                <a:ext uri="{63B3BB69-23CF-44E3-9099-C40C66FF867C}">
                  <a14:compatExt spid="_x0000_s84001"/>
                </a:ext>
                <a:ext uri="{FF2B5EF4-FFF2-40B4-BE49-F238E27FC236}">
                  <a16:creationId xmlns:a16="http://schemas.microsoft.com/office/drawing/2014/main" id="{00000000-0008-0000-1600-000021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228600</xdr:colOff>
          <xdr:row>0</xdr:row>
          <xdr:rowOff>76200</xdr:rowOff>
        </xdr:from>
        <xdr:to>
          <xdr:col>143</xdr:col>
          <xdr:colOff>123825</xdr:colOff>
          <xdr:row>1</xdr:row>
          <xdr:rowOff>66675</xdr:rowOff>
        </xdr:to>
        <xdr:sp macro="" textlink="">
          <xdr:nvSpPr>
            <xdr:cNvPr id="84002" name="Button 34" hidden="1">
              <a:extLst>
                <a:ext uri="{63B3BB69-23CF-44E3-9099-C40C66FF867C}">
                  <a14:compatExt spid="_x0000_s84002"/>
                </a:ext>
                <a:ext uri="{FF2B5EF4-FFF2-40B4-BE49-F238E27FC236}">
                  <a16:creationId xmlns:a16="http://schemas.microsoft.com/office/drawing/2014/main" id="{00000000-0008-0000-1600-000022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84003" name="Button 35" hidden="1">
              <a:extLst>
                <a:ext uri="{63B3BB69-23CF-44E3-9099-C40C66FF867C}">
                  <a14:compatExt spid="_x0000_s84003"/>
                </a:ext>
                <a:ext uri="{FF2B5EF4-FFF2-40B4-BE49-F238E27FC236}">
                  <a16:creationId xmlns:a16="http://schemas.microsoft.com/office/drawing/2014/main" id="{00000000-0008-0000-1600-000023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84004" name="Button 36" hidden="1">
              <a:extLst>
                <a:ext uri="{63B3BB69-23CF-44E3-9099-C40C66FF867C}">
                  <a14:compatExt spid="_x0000_s84004"/>
                </a:ext>
                <a:ext uri="{FF2B5EF4-FFF2-40B4-BE49-F238E27FC236}">
                  <a16:creationId xmlns:a16="http://schemas.microsoft.com/office/drawing/2014/main" id="{00000000-0008-0000-1600-000024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84005" name="Button 37" hidden="1">
              <a:extLst>
                <a:ext uri="{63B3BB69-23CF-44E3-9099-C40C66FF867C}">
                  <a14:compatExt spid="_x0000_s84005"/>
                </a:ext>
                <a:ext uri="{FF2B5EF4-FFF2-40B4-BE49-F238E27FC236}">
                  <a16:creationId xmlns:a16="http://schemas.microsoft.com/office/drawing/2014/main" id="{00000000-0008-0000-1600-000025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76200</xdr:colOff>
          <xdr:row>0</xdr:row>
          <xdr:rowOff>76200</xdr:rowOff>
        </xdr:from>
        <xdr:to>
          <xdr:col>158</xdr:col>
          <xdr:colOff>581025</xdr:colOff>
          <xdr:row>1</xdr:row>
          <xdr:rowOff>66675</xdr:rowOff>
        </xdr:to>
        <xdr:sp macro="" textlink="">
          <xdr:nvSpPr>
            <xdr:cNvPr id="84006" name="Button 38" hidden="1">
              <a:extLst>
                <a:ext uri="{63B3BB69-23CF-44E3-9099-C40C66FF867C}">
                  <a14:compatExt spid="_x0000_s84006"/>
                </a:ext>
                <a:ext uri="{FF2B5EF4-FFF2-40B4-BE49-F238E27FC236}">
                  <a16:creationId xmlns:a16="http://schemas.microsoft.com/office/drawing/2014/main" id="{00000000-0008-0000-1600-000026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84007" name="Button 39" hidden="1">
              <a:extLst>
                <a:ext uri="{63B3BB69-23CF-44E3-9099-C40C66FF867C}">
                  <a14:compatExt spid="_x0000_s84007"/>
                </a:ext>
                <a:ext uri="{FF2B5EF4-FFF2-40B4-BE49-F238E27FC236}">
                  <a16:creationId xmlns:a16="http://schemas.microsoft.com/office/drawing/2014/main" id="{00000000-0008-0000-1600-000027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84008" name="Button 40" hidden="1">
              <a:extLst>
                <a:ext uri="{63B3BB69-23CF-44E3-9099-C40C66FF867C}">
                  <a14:compatExt spid="_x0000_s84008"/>
                </a:ext>
                <a:ext uri="{FF2B5EF4-FFF2-40B4-BE49-F238E27FC236}">
                  <a16:creationId xmlns:a16="http://schemas.microsoft.com/office/drawing/2014/main" id="{00000000-0008-0000-1600-000028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84009" name="Button 41" hidden="1">
              <a:extLst>
                <a:ext uri="{63B3BB69-23CF-44E3-9099-C40C66FF867C}">
                  <a14:compatExt spid="_x0000_s84009"/>
                </a:ext>
                <a:ext uri="{FF2B5EF4-FFF2-40B4-BE49-F238E27FC236}">
                  <a16:creationId xmlns:a16="http://schemas.microsoft.com/office/drawing/2014/main" id="{00000000-0008-0000-1600-000029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542925</xdr:colOff>
          <xdr:row>0</xdr:row>
          <xdr:rowOff>76200</xdr:rowOff>
        </xdr:from>
        <xdr:to>
          <xdr:col>174</xdr:col>
          <xdr:colOff>428625</xdr:colOff>
          <xdr:row>1</xdr:row>
          <xdr:rowOff>66675</xdr:rowOff>
        </xdr:to>
        <xdr:sp macro="" textlink="">
          <xdr:nvSpPr>
            <xdr:cNvPr id="84010" name="Button 42" hidden="1">
              <a:extLst>
                <a:ext uri="{63B3BB69-23CF-44E3-9099-C40C66FF867C}">
                  <a14:compatExt spid="_x0000_s84010"/>
                </a:ext>
                <a:ext uri="{FF2B5EF4-FFF2-40B4-BE49-F238E27FC236}">
                  <a16:creationId xmlns:a16="http://schemas.microsoft.com/office/drawing/2014/main" id="{00000000-0008-0000-1600-00002A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84011" name="Button 43" hidden="1">
              <a:extLst>
                <a:ext uri="{63B3BB69-23CF-44E3-9099-C40C66FF867C}">
                  <a14:compatExt spid="_x0000_s84011"/>
                </a:ext>
                <a:ext uri="{FF2B5EF4-FFF2-40B4-BE49-F238E27FC236}">
                  <a16:creationId xmlns:a16="http://schemas.microsoft.com/office/drawing/2014/main" id="{00000000-0008-0000-1600-00002B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84012" name="Button 44" hidden="1">
              <a:extLst>
                <a:ext uri="{63B3BB69-23CF-44E3-9099-C40C66FF867C}">
                  <a14:compatExt spid="_x0000_s84012"/>
                </a:ext>
                <a:ext uri="{FF2B5EF4-FFF2-40B4-BE49-F238E27FC236}">
                  <a16:creationId xmlns:a16="http://schemas.microsoft.com/office/drawing/2014/main" id="{00000000-0008-0000-1600-00002C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84013" name="Button 45" hidden="1">
              <a:extLst>
                <a:ext uri="{63B3BB69-23CF-44E3-9099-C40C66FF867C}">
                  <a14:compatExt spid="_x0000_s84013"/>
                </a:ext>
                <a:ext uri="{FF2B5EF4-FFF2-40B4-BE49-F238E27FC236}">
                  <a16:creationId xmlns:a16="http://schemas.microsoft.com/office/drawing/2014/main" id="{00000000-0008-0000-1600-00002D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390525</xdr:colOff>
          <xdr:row>0</xdr:row>
          <xdr:rowOff>76200</xdr:rowOff>
        </xdr:from>
        <xdr:to>
          <xdr:col>190</xdr:col>
          <xdr:colOff>276225</xdr:colOff>
          <xdr:row>1</xdr:row>
          <xdr:rowOff>66675</xdr:rowOff>
        </xdr:to>
        <xdr:sp macro="" textlink="">
          <xdr:nvSpPr>
            <xdr:cNvPr id="84014" name="Button 46" hidden="1">
              <a:extLst>
                <a:ext uri="{63B3BB69-23CF-44E3-9099-C40C66FF867C}">
                  <a14:compatExt spid="_x0000_s84014"/>
                </a:ext>
                <a:ext uri="{FF2B5EF4-FFF2-40B4-BE49-F238E27FC236}">
                  <a16:creationId xmlns:a16="http://schemas.microsoft.com/office/drawing/2014/main" id="{00000000-0008-0000-1600-00002E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84015" name="Button 47" hidden="1">
              <a:extLst>
                <a:ext uri="{63B3BB69-23CF-44E3-9099-C40C66FF867C}">
                  <a14:compatExt spid="_x0000_s84015"/>
                </a:ext>
                <a:ext uri="{FF2B5EF4-FFF2-40B4-BE49-F238E27FC236}">
                  <a16:creationId xmlns:a16="http://schemas.microsoft.com/office/drawing/2014/main" id="{00000000-0008-0000-1600-00002F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84016" name="Button 48" hidden="1">
              <a:extLst>
                <a:ext uri="{63B3BB69-23CF-44E3-9099-C40C66FF867C}">
                  <a14:compatExt spid="_x0000_s84016"/>
                </a:ext>
                <a:ext uri="{FF2B5EF4-FFF2-40B4-BE49-F238E27FC236}">
                  <a16:creationId xmlns:a16="http://schemas.microsoft.com/office/drawing/2014/main" id="{00000000-0008-0000-1600-000030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84017" name="Button 49" hidden="1">
              <a:extLst>
                <a:ext uri="{63B3BB69-23CF-44E3-9099-C40C66FF867C}">
                  <a14:compatExt spid="_x0000_s84017"/>
                </a:ext>
                <a:ext uri="{FF2B5EF4-FFF2-40B4-BE49-F238E27FC236}">
                  <a16:creationId xmlns:a16="http://schemas.microsoft.com/office/drawing/2014/main" id="{00000000-0008-0000-1600-000031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238125</xdr:colOff>
          <xdr:row>0</xdr:row>
          <xdr:rowOff>76200</xdr:rowOff>
        </xdr:from>
        <xdr:to>
          <xdr:col>206</xdr:col>
          <xdr:colOff>133350</xdr:colOff>
          <xdr:row>1</xdr:row>
          <xdr:rowOff>66675</xdr:rowOff>
        </xdr:to>
        <xdr:sp macro="" textlink="">
          <xdr:nvSpPr>
            <xdr:cNvPr id="84018" name="Button 50" hidden="1">
              <a:extLst>
                <a:ext uri="{63B3BB69-23CF-44E3-9099-C40C66FF867C}">
                  <a14:compatExt spid="_x0000_s84018"/>
                </a:ext>
                <a:ext uri="{FF2B5EF4-FFF2-40B4-BE49-F238E27FC236}">
                  <a16:creationId xmlns:a16="http://schemas.microsoft.com/office/drawing/2014/main" id="{00000000-0008-0000-1600-000032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84019" name="Button 51" hidden="1">
              <a:extLst>
                <a:ext uri="{63B3BB69-23CF-44E3-9099-C40C66FF867C}">
                  <a14:compatExt spid="_x0000_s84019"/>
                </a:ext>
                <a:ext uri="{FF2B5EF4-FFF2-40B4-BE49-F238E27FC236}">
                  <a16:creationId xmlns:a16="http://schemas.microsoft.com/office/drawing/2014/main" id="{00000000-0008-0000-1600-000033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84020" name="Button 52" hidden="1">
              <a:extLst>
                <a:ext uri="{63B3BB69-23CF-44E3-9099-C40C66FF867C}">
                  <a14:compatExt spid="_x0000_s84020"/>
                </a:ext>
                <a:ext uri="{FF2B5EF4-FFF2-40B4-BE49-F238E27FC236}">
                  <a16:creationId xmlns:a16="http://schemas.microsoft.com/office/drawing/2014/main" id="{00000000-0008-0000-1600-000034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84021" name="Button 53" hidden="1">
              <a:extLst>
                <a:ext uri="{63B3BB69-23CF-44E3-9099-C40C66FF867C}">
                  <a14:compatExt spid="_x0000_s84021"/>
                </a:ext>
                <a:ext uri="{FF2B5EF4-FFF2-40B4-BE49-F238E27FC236}">
                  <a16:creationId xmlns:a16="http://schemas.microsoft.com/office/drawing/2014/main" id="{00000000-0008-0000-1600-000035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85725</xdr:colOff>
          <xdr:row>0</xdr:row>
          <xdr:rowOff>76200</xdr:rowOff>
        </xdr:from>
        <xdr:to>
          <xdr:col>221</xdr:col>
          <xdr:colOff>590550</xdr:colOff>
          <xdr:row>1</xdr:row>
          <xdr:rowOff>66675</xdr:rowOff>
        </xdr:to>
        <xdr:sp macro="" textlink="">
          <xdr:nvSpPr>
            <xdr:cNvPr id="84022" name="Button 54" hidden="1">
              <a:extLst>
                <a:ext uri="{63B3BB69-23CF-44E3-9099-C40C66FF867C}">
                  <a14:compatExt spid="_x0000_s84022"/>
                </a:ext>
                <a:ext uri="{FF2B5EF4-FFF2-40B4-BE49-F238E27FC236}">
                  <a16:creationId xmlns:a16="http://schemas.microsoft.com/office/drawing/2014/main" id="{00000000-0008-0000-1600-000036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84023" name="Button 55" hidden="1">
              <a:extLst>
                <a:ext uri="{63B3BB69-23CF-44E3-9099-C40C66FF867C}">
                  <a14:compatExt spid="_x0000_s84023"/>
                </a:ext>
                <a:ext uri="{FF2B5EF4-FFF2-40B4-BE49-F238E27FC236}">
                  <a16:creationId xmlns:a16="http://schemas.microsoft.com/office/drawing/2014/main" id="{00000000-0008-0000-1600-000037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84024" name="Button 56" hidden="1">
              <a:extLst>
                <a:ext uri="{63B3BB69-23CF-44E3-9099-C40C66FF867C}">
                  <a14:compatExt spid="_x0000_s84024"/>
                </a:ext>
                <a:ext uri="{FF2B5EF4-FFF2-40B4-BE49-F238E27FC236}">
                  <a16:creationId xmlns:a16="http://schemas.microsoft.com/office/drawing/2014/main" id="{00000000-0008-0000-1600-000038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84025" name="Button 57" hidden="1">
              <a:extLst>
                <a:ext uri="{63B3BB69-23CF-44E3-9099-C40C66FF867C}">
                  <a14:compatExt spid="_x0000_s84025"/>
                </a:ext>
                <a:ext uri="{FF2B5EF4-FFF2-40B4-BE49-F238E27FC236}">
                  <a16:creationId xmlns:a16="http://schemas.microsoft.com/office/drawing/2014/main" id="{00000000-0008-0000-1600-000039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542925</xdr:colOff>
          <xdr:row>0</xdr:row>
          <xdr:rowOff>76200</xdr:rowOff>
        </xdr:from>
        <xdr:to>
          <xdr:col>237</xdr:col>
          <xdr:colOff>438150</xdr:colOff>
          <xdr:row>1</xdr:row>
          <xdr:rowOff>66675</xdr:rowOff>
        </xdr:to>
        <xdr:sp macro="" textlink="">
          <xdr:nvSpPr>
            <xdr:cNvPr id="84026" name="Button 58" hidden="1">
              <a:extLst>
                <a:ext uri="{63B3BB69-23CF-44E3-9099-C40C66FF867C}">
                  <a14:compatExt spid="_x0000_s84026"/>
                </a:ext>
                <a:ext uri="{FF2B5EF4-FFF2-40B4-BE49-F238E27FC236}">
                  <a16:creationId xmlns:a16="http://schemas.microsoft.com/office/drawing/2014/main" id="{00000000-0008-0000-1600-00003A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2</xdr:row>
          <xdr:rowOff>142875</xdr:rowOff>
        </xdr:from>
        <xdr:to>
          <xdr:col>6</xdr:col>
          <xdr:colOff>123825</xdr:colOff>
          <xdr:row>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8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xdr:row>
          <xdr:rowOff>38100</xdr:rowOff>
        </xdr:from>
        <xdr:to>
          <xdr:col>6</xdr:col>
          <xdr:colOff>123825</xdr:colOff>
          <xdr:row>5</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123825</xdr:rowOff>
        </xdr:from>
        <xdr:to>
          <xdr:col>6</xdr:col>
          <xdr:colOff>123825</xdr:colOff>
          <xdr:row>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8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114300</xdr:rowOff>
        </xdr:from>
        <xdr:to>
          <xdr:col>5</xdr:col>
          <xdr:colOff>0</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8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133350</xdr:rowOff>
        </xdr:from>
        <xdr:to>
          <xdr:col>6</xdr:col>
          <xdr:colOff>123825</xdr:colOff>
          <xdr:row>11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18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133350</xdr:rowOff>
        </xdr:from>
        <xdr:to>
          <xdr:col>5</xdr:col>
          <xdr:colOff>0</xdr:colOff>
          <xdr:row>12</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8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11</xdr:row>
          <xdr:rowOff>133350</xdr:rowOff>
        </xdr:from>
        <xdr:to>
          <xdr:col>5</xdr:col>
          <xdr:colOff>0</xdr:colOff>
          <xdr:row>13</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8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133350</xdr:rowOff>
        </xdr:from>
        <xdr:to>
          <xdr:col>5</xdr:col>
          <xdr:colOff>0</xdr:colOff>
          <xdr:row>14</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18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133350</xdr:rowOff>
        </xdr:from>
        <xdr:to>
          <xdr:col>5</xdr:col>
          <xdr:colOff>0</xdr:colOff>
          <xdr:row>15</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8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14</xdr:row>
          <xdr:rowOff>142875</xdr:rowOff>
        </xdr:from>
        <xdr:to>
          <xdr:col>5</xdr:col>
          <xdr:colOff>0</xdr:colOff>
          <xdr:row>16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8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133350</xdr:rowOff>
        </xdr:from>
        <xdr:to>
          <xdr:col>5</xdr:col>
          <xdr:colOff>0</xdr:colOff>
          <xdr:row>17</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18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123825</xdr:rowOff>
        </xdr:from>
        <xdr:to>
          <xdr:col>5</xdr:col>
          <xdr:colOff>0</xdr:colOff>
          <xdr:row>18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18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17</xdr:row>
          <xdr:rowOff>133350</xdr:rowOff>
        </xdr:from>
        <xdr:to>
          <xdr:col>5</xdr:col>
          <xdr:colOff>0</xdr:colOff>
          <xdr:row>19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18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18</xdr:row>
          <xdr:rowOff>133350</xdr:rowOff>
        </xdr:from>
        <xdr:to>
          <xdr:col>5</xdr:col>
          <xdr:colOff>0</xdr:colOff>
          <xdr:row>20</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18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19</xdr:row>
          <xdr:rowOff>133350</xdr:rowOff>
        </xdr:from>
        <xdr:to>
          <xdr:col>5</xdr:col>
          <xdr:colOff>0</xdr:colOff>
          <xdr:row>21</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18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20</xdr:row>
          <xdr:rowOff>133350</xdr:rowOff>
        </xdr:from>
        <xdr:to>
          <xdr:col>5</xdr:col>
          <xdr:colOff>0</xdr:colOff>
          <xdr:row>22</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18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21</xdr:row>
          <xdr:rowOff>133350</xdr:rowOff>
        </xdr:from>
        <xdr:to>
          <xdr:col>5</xdr:col>
          <xdr:colOff>0</xdr:colOff>
          <xdr:row>23</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18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22</xdr:row>
          <xdr:rowOff>133350</xdr:rowOff>
        </xdr:from>
        <xdr:to>
          <xdr:col>5</xdr:col>
          <xdr:colOff>0</xdr:colOff>
          <xdr:row>24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18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23</xdr:row>
          <xdr:rowOff>133350</xdr:rowOff>
        </xdr:from>
        <xdr:to>
          <xdr:col>5</xdr:col>
          <xdr:colOff>0</xdr:colOff>
          <xdr:row>25</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18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0300-000001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0300-000003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0300-000004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74753" name="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581025</xdr:colOff>
          <xdr:row>87</xdr:row>
          <xdr:rowOff>57150</xdr:rowOff>
        </xdr:from>
        <xdr:to>
          <xdr:col>30</xdr:col>
          <xdr:colOff>238125</xdr:colOff>
          <xdr:row>88</xdr:row>
          <xdr:rowOff>133350</xdr:rowOff>
        </xdr:to>
        <xdr:sp macro="" textlink="">
          <xdr:nvSpPr>
            <xdr:cNvPr id="74754" name="Button 2" hidden="1">
              <a:extLst>
                <a:ext uri="{63B3BB69-23CF-44E3-9099-C40C66FF867C}">
                  <a14:compatExt spid="_x0000_s74754"/>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76200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500-0000011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76200</xdr:rowOff>
        </xdr:to>
        <xdr:sp macro="" textlink="">
          <xdr:nvSpPr>
            <xdr:cNvPr id="72706" name="Button 2" hidden="1">
              <a:extLst>
                <a:ext uri="{63B3BB69-23CF-44E3-9099-C40C66FF867C}">
                  <a14:compatExt spid="_x0000_s72706"/>
                </a:ext>
                <a:ext uri="{FF2B5EF4-FFF2-40B4-BE49-F238E27FC236}">
                  <a16:creationId xmlns:a16="http://schemas.microsoft.com/office/drawing/2014/main" id="{00000000-0008-0000-0500-0000021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76200</xdr:rowOff>
        </xdr:to>
        <xdr:sp macro="" textlink="">
          <xdr:nvSpPr>
            <xdr:cNvPr id="72707" name="Button 3" hidden="1">
              <a:extLst>
                <a:ext uri="{63B3BB69-23CF-44E3-9099-C40C66FF867C}">
                  <a14:compatExt spid="_x0000_s72707"/>
                </a:ext>
                <a:ext uri="{FF2B5EF4-FFF2-40B4-BE49-F238E27FC236}">
                  <a16:creationId xmlns:a16="http://schemas.microsoft.com/office/drawing/2014/main" id="{00000000-0008-0000-0500-0000031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76200</xdr:rowOff>
        </xdr:to>
        <xdr:sp macro="" textlink="">
          <xdr:nvSpPr>
            <xdr:cNvPr id="72708" name="Button 4" hidden="1">
              <a:extLst>
                <a:ext uri="{63B3BB69-23CF-44E3-9099-C40C66FF867C}">
                  <a14:compatExt spid="_x0000_s72708"/>
                </a:ext>
                <a:ext uri="{FF2B5EF4-FFF2-40B4-BE49-F238E27FC236}">
                  <a16:creationId xmlns:a16="http://schemas.microsoft.com/office/drawing/2014/main" id="{00000000-0008-0000-0500-0000041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600075</xdr:colOff>
          <xdr:row>78</xdr:row>
          <xdr:rowOff>38100</xdr:rowOff>
        </xdr:from>
        <xdr:to>
          <xdr:col>14</xdr:col>
          <xdr:colOff>1123950</xdr:colOff>
          <xdr:row>79</xdr:row>
          <xdr:rowOff>114300</xdr:rowOff>
        </xdr:to>
        <xdr:sp macro="" textlink="">
          <xdr:nvSpPr>
            <xdr:cNvPr id="72709" name="Button 5" hidden="1">
              <a:extLst>
                <a:ext uri="{63B3BB69-23CF-44E3-9099-C40C66FF867C}">
                  <a14:compatExt spid="_x0000_s72709"/>
                </a:ext>
                <a:ext uri="{FF2B5EF4-FFF2-40B4-BE49-F238E27FC236}">
                  <a16:creationId xmlns:a16="http://schemas.microsoft.com/office/drawing/2014/main" id="{00000000-0008-0000-0500-0000051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0600-000001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581025</xdr:colOff>
          <xdr:row>87</xdr:row>
          <xdr:rowOff>57150</xdr:rowOff>
        </xdr:from>
        <xdr:to>
          <xdr:col>30</xdr:col>
          <xdr:colOff>238125</xdr:colOff>
          <xdr:row>88</xdr:row>
          <xdr:rowOff>133350</xdr:rowOff>
        </xdr:to>
        <xdr:sp macro="" textlink="">
          <xdr:nvSpPr>
            <xdr:cNvPr id="105474" name="Button 2" hidden="1">
              <a:extLst>
                <a:ext uri="{63B3BB69-23CF-44E3-9099-C40C66FF867C}">
                  <a14:compatExt spid="_x0000_s105474"/>
                </a:ext>
                <a:ext uri="{FF2B5EF4-FFF2-40B4-BE49-F238E27FC236}">
                  <a16:creationId xmlns:a16="http://schemas.microsoft.com/office/drawing/2014/main" id="{00000000-0008-0000-0600-0000029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0</xdr:col>
          <xdr:colOff>571500</xdr:colOff>
          <xdr:row>0</xdr:row>
          <xdr:rowOff>247650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72</xdr:row>
          <xdr:rowOff>76200</xdr:rowOff>
        </xdr:from>
        <xdr:to>
          <xdr:col>15</xdr:col>
          <xdr:colOff>809625</xdr:colOff>
          <xdr:row>73</xdr:row>
          <xdr:rowOff>152400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700-00000F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700-000010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700-000011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700-000012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700-0000136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0</xdr:col>
          <xdr:colOff>571500</xdr:colOff>
          <xdr:row>0</xdr:row>
          <xdr:rowOff>247650</xdr:rowOff>
        </xdr:to>
        <xdr:sp macro="" textlink="">
          <xdr:nvSpPr>
            <xdr:cNvPr id="75777" name="Button 1" hidden="1">
              <a:extLst>
                <a:ext uri="{63B3BB69-23CF-44E3-9099-C40C66FF867C}">
                  <a14:compatExt spid="_x0000_s75777"/>
                </a:ext>
                <a:ext uri="{FF2B5EF4-FFF2-40B4-BE49-F238E27FC236}">
                  <a16:creationId xmlns:a16="http://schemas.microsoft.com/office/drawing/2014/main" id="{00000000-0008-0000-0800-000001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73</xdr:row>
          <xdr:rowOff>76200</xdr:rowOff>
        </xdr:from>
        <xdr:to>
          <xdr:col>15</xdr:col>
          <xdr:colOff>809625</xdr:colOff>
          <xdr:row>74</xdr:row>
          <xdr:rowOff>152400</xdr:rowOff>
        </xdr:to>
        <xdr:sp macro="" textlink="">
          <xdr:nvSpPr>
            <xdr:cNvPr id="75778" name="Button 2" hidden="1">
              <a:extLst>
                <a:ext uri="{63B3BB69-23CF-44E3-9099-C40C66FF867C}">
                  <a14:compatExt spid="_x0000_s75778"/>
                </a:ext>
                <a:ext uri="{FF2B5EF4-FFF2-40B4-BE49-F238E27FC236}">
                  <a16:creationId xmlns:a16="http://schemas.microsoft.com/office/drawing/2014/main" id="{00000000-0008-0000-0800-000002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75779" name="Button 3" hidden="1">
              <a:extLst>
                <a:ext uri="{63B3BB69-23CF-44E3-9099-C40C66FF867C}">
                  <a14:compatExt spid="_x0000_s75779"/>
                </a:ext>
                <a:ext uri="{FF2B5EF4-FFF2-40B4-BE49-F238E27FC236}">
                  <a16:creationId xmlns:a16="http://schemas.microsoft.com/office/drawing/2014/main" id="{00000000-0008-0000-0800-000003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75780" name="Button 4" hidden="1">
              <a:extLst>
                <a:ext uri="{63B3BB69-23CF-44E3-9099-C40C66FF867C}">
                  <a14:compatExt spid="_x0000_s75780"/>
                </a:ext>
                <a:ext uri="{FF2B5EF4-FFF2-40B4-BE49-F238E27FC236}">
                  <a16:creationId xmlns:a16="http://schemas.microsoft.com/office/drawing/2014/main" id="{00000000-0008-0000-0800-000004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75781" name="Button 5" hidden="1">
              <a:extLst>
                <a:ext uri="{63B3BB69-23CF-44E3-9099-C40C66FF867C}">
                  <a14:compatExt spid="_x0000_s75781"/>
                </a:ext>
                <a:ext uri="{FF2B5EF4-FFF2-40B4-BE49-F238E27FC236}">
                  <a16:creationId xmlns:a16="http://schemas.microsoft.com/office/drawing/2014/main" id="{00000000-0008-0000-0800-000005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57150</xdr:rowOff>
        </xdr:to>
        <xdr:sp macro="" textlink="">
          <xdr:nvSpPr>
            <xdr:cNvPr id="75782" name="Button 6" hidden="1">
              <a:extLst>
                <a:ext uri="{63B3BB69-23CF-44E3-9099-C40C66FF867C}">
                  <a14:compatExt spid="_x0000_s75782"/>
                </a:ext>
                <a:ext uri="{FF2B5EF4-FFF2-40B4-BE49-F238E27FC236}">
                  <a16:creationId xmlns:a16="http://schemas.microsoft.com/office/drawing/2014/main" id="{00000000-0008-0000-0800-000006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900-000001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900-000002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900-000003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581025</xdr:colOff>
          <xdr:row>1</xdr:row>
          <xdr:rowOff>66675</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900-000004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561975</xdr:colOff>
          <xdr:row>77</xdr:row>
          <xdr:rowOff>9525</xdr:rowOff>
        </xdr:from>
        <xdr:to>
          <xdr:col>14</xdr:col>
          <xdr:colOff>1085850</xdr:colOff>
          <xdr:row>78</xdr:row>
          <xdr:rowOff>85725</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900-000005F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9.vml"/><Relationship Id="rId7" Type="http://schemas.openxmlformats.org/officeDocument/2006/relationships/ctrlProp" Target="../ctrlProps/ctrlProp37.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10.vml"/><Relationship Id="rId7" Type="http://schemas.openxmlformats.org/officeDocument/2006/relationships/ctrlProp" Target="../ctrlProps/ctrlProp42.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50" Type="http://schemas.openxmlformats.org/officeDocument/2006/relationships/ctrlProp" Target="../ctrlProps/ctrlProp91.xml"/><Relationship Id="rId55" Type="http://schemas.openxmlformats.org/officeDocument/2006/relationships/ctrlProp" Target="../ctrlProps/ctrlProp96.xml"/><Relationship Id="rId7" Type="http://schemas.openxmlformats.org/officeDocument/2006/relationships/ctrlProp" Target="../ctrlProps/ctrlProp48.xml"/><Relationship Id="rId2" Type="http://schemas.openxmlformats.org/officeDocument/2006/relationships/drawing" Target="../drawings/drawing11.xml"/><Relationship Id="rId16" Type="http://schemas.openxmlformats.org/officeDocument/2006/relationships/ctrlProp" Target="../ctrlProps/ctrlProp57.xml"/><Relationship Id="rId29" Type="http://schemas.openxmlformats.org/officeDocument/2006/relationships/ctrlProp" Target="../ctrlProps/ctrlProp70.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3" Type="http://schemas.openxmlformats.org/officeDocument/2006/relationships/ctrlProp" Target="../ctrlProps/ctrlProp94.xml"/><Relationship Id="rId58" Type="http://schemas.openxmlformats.org/officeDocument/2006/relationships/ctrlProp" Target="../ctrlProps/ctrlProp99.xml"/><Relationship Id="rId5" Type="http://schemas.openxmlformats.org/officeDocument/2006/relationships/ctrlProp" Target="../ctrlProps/ctrlProp46.xml"/><Relationship Id="rId61" Type="http://schemas.openxmlformats.org/officeDocument/2006/relationships/ctrlProp" Target="../ctrlProps/ctrlProp102.xml"/><Relationship Id="rId19" Type="http://schemas.openxmlformats.org/officeDocument/2006/relationships/ctrlProp" Target="../ctrlProps/ctrlProp6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48" Type="http://schemas.openxmlformats.org/officeDocument/2006/relationships/ctrlProp" Target="../ctrlProps/ctrlProp89.xml"/><Relationship Id="rId56" Type="http://schemas.openxmlformats.org/officeDocument/2006/relationships/ctrlProp" Target="../ctrlProps/ctrlProp97.xml"/><Relationship Id="rId8" Type="http://schemas.openxmlformats.org/officeDocument/2006/relationships/ctrlProp" Target="../ctrlProps/ctrlProp49.xml"/><Relationship Id="rId51" Type="http://schemas.openxmlformats.org/officeDocument/2006/relationships/ctrlProp" Target="../ctrlProps/ctrlProp92.xml"/><Relationship Id="rId3" Type="http://schemas.openxmlformats.org/officeDocument/2006/relationships/vmlDrawing" Target="../drawings/vmlDrawing11.v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59" Type="http://schemas.openxmlformats.org/officeDocument/2006/relationships/ctrlProp" Target="../ctrlProps/ctrlProp100.xml"/><Relationship Id="rId20" Type="http://schemas.openxmlformats.org/officeDocument/2006/relationships/ctrlProp" Target="../ctrlProps/ctrlProp61.xml"/><Relationship Id="rId41" Type="http://schemas.openxmlformats.org/officeDocument/2006/relationships/ctrlProp" Target="../ctrlProps/ctrlProp82.xml"/><Relationship Id="rId54" Type="http://schemas.openxmlformats.org/officeDocument/2006/relationships/ctrlProp" Target="../ctrlProps/ctrlProp95.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49" Type="http://schemas.openxmlformats.org/officeDocument/2006/relationships/ctrlProp" Target="../ctrlProps/ctrlProp90.xml"/><Relationship Id="rId57" Type="http://schemas.openxmlformats.org/officeDocument/2006/relationships/ctrlProp" Target="../ctrlProps/ctrlProp98.xml"/><Relationship Id="rId10" Type="http://schemas.openxmlformats.org/officeDocument/2006/relationships/ctrlProp" Target="../ctrlProps/ctrlProp51.xml"/><Relationship Id="rId31" Type="http://schemas.openxmlformats.org/officeDocument/2006/relationships/ctrlProp" Target="../ctrlProps/ctrlProp72.xml"/><Relationship Id="rId44" Type="http://schemas.openxmlformats.org/officeDocument/2006/relationships/ctrlProp" Target="../ctrlProps/ctrlProp85.xml"/><Relationship Id="rId52" Type="http://schemas.openxmlformats.org/officeDocument/2006/relationships/ctrlProp" Target="../ctrlProps/ctrlProp93.xml"/><Relationship Id="rId60" Type="http://schemas.openxmlformats.org/officeDocument/2006/relationships/ctrlProp" Target="../ctrlProps/ctrlProp10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21" Type="http://schemas.openxmlformats.org/officeDocument/2006/relationships/ctrlProp" Target="../ctrlProps/ctrlProp120.xml"/><Relationship Id="rId34" Type="http://schemas.openxmlformats.org/officeDocument/2006/relationships/ctrlProp" Target="../ctrlProps/ctrlProp133.xml"/><Relationship Id="rId42" Type="http://schemas.openxmlformats.org/officeDocument/2006/relationships/ctrlProp" Target="../ctrlProps/ctrlProp141.xml"/><Relationship Id="rId47" Type="http://schemas.openxmlformats.org/officeDocument/2006/relationships/ctrlProp" Target="../ctrlProps/ctrlProp146.xml"/><Relationship Id="rId50" Type="http://schemas.openxmlformats.org/officeDocument/2006/relationships/ctrlProp" Target="../ctrlProps/ctrlProp149.xml"/><Relationship Id="rId55" Type="http://schemas.openxmlformats.org/officeDocument/2006/relationships/ctrlProp" Target="../ctrlProps/ctrlProp154.xml"/><Relationship Id="rId7" Type="http://schemas.openxmlformats.org/officeDocument/2006/relationships/ctrlProp" Target="../ctrlProps/ctrlProp106.xml"/><Relationship Id="rId2" Type="http://schemas.openxmlformats.org/officeDocument/2006/relationships/drawing" Target="../drawings/drawing12.xml"/><Relationship Id="rId16" Type="http://schemas.openxmlformats.org/officeDocument/2006/relationships/ctrlProp" Target="../ctrlProps/ctrlProp115.xml"/><Relationship Id="rId29" Type="http://schemas.openxmlformats.org/officeDocument/2006/relationships/ctrlProp" Target="../ctrlProps/ctrlProp128.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3" Type="http://schemas.openxmlformats.org/officeDocument/2006/relationships/ctrlProp" Target="../ctrlProps/ctrlProp152.xml"/><Relationship Id="rId58" Type="http://schemas.openxmlformats.org/officeDocument/2006/relationships/ctrlProp" Target="../ctrlProps/ctrlProp157.xml"/><Relationship Id="rId5" Type="http://schemas.openxmlformats.org/officeDocument/2006/relationships/ctrlProp" Target="../ctrlProps/ctrlProp104.xml"/><Relationship Id="rId61" Type="http://schemas.openxmlformats.org/officeDocument/2006/relationships/ctrlProp" Target="../ctrlProps/ctrlProp160.xml"/><Relationship Id="rId19" Type="http://schemas.openxmlformats.org/officeDocument/2006/relationships/ctrlProp" Target="../ctrlProps/ctrlProp11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56" Type="http://schemas.openxmlformats.org/officeDocument/2006/relationships/ctrlProp" Target="../ctrlProps/ctrlProp155.xml"/><Relationship Id="rId8" Type="http://schemas.openxmlformats.org/officeDocument/2006/relationships/ctrlProp" Target="../ctrlProps/ctrlProp107.xml"/><Relationship Id="rId51" Type="http://schemas.openxmlformats.org/officeDocument/2006/relationships/ctrlProp" Target="../ctrlProps/ctrlProp150.xml"/><Relationship Id="rId3" Type="http://schemas.openxmlformats.org/officeDocument/2006/relationships/vmlDrawing" Target="../drawings/vmlDrawing12.v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59" Type="http://schemas.openxmlformats.org/officeDocument/2006/relationships/ctrlProp" Target="../ctrlProps/ctrlProp158.xml"/><Relationship Id="rId20" Type="http://schemas.openxmlformats.org/officeDocument/2006/relationships/ctrlProp" Target="../ctrlProps/ctrlProp119.xml"/><Relationship Id="rId41" Type="http://schemas.openxmlformats.org/officeDocument/2006/relationships/ctrlProp" Target="../ctrlProps/ctrlProp140.xml"/><Relationship Id="rId54" Type="http://schemas.openxmlformats.org/officeDocument/2006/relationships/ctrlProp" Target="../ctrlProps/ctrlProp153.xml"/><Relationship Id="rId1" Type="http://schemas.openxmlformats.org/officeDocument/2006/relationships/printerSettings" Target="../printerSettings/printerSettings13.bin"/><Relationship Id="rId6" Type="http://schemas.openxmlformats.org/officeDocument/2006/relationships/ctrlProp" Target="../ctrlProps/ctrlProp105.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57" Type="http://schemas.openxmlformats.org/officeDocument/2006/relationships/ctrlProp" Target="../ctrlProps/ctrlProp156.xml"/><Relationship Id="rId10" Type="http://schemas.openxmlformats.org/officeDocument/2006/relationships/ctrlProp" Target="../ctrlProps/ctrlProp109.xml"/><Relationship Id="rId31" Type="http://schemas.openxmlformats.org/officeDocument/2006/relationships/ctrlProp" Target="../ctrlProps/ctrlProp130.xml"/><Relationship Id="rId44" Type="http://schemas.openxmlformats.org/officeDocument/2006/relationships/ctrlProp" Target="../ctrlProps/ctrlProp143.xml"/><Relationship Id="rId52" Type="http://schemas.openxmlformats.org/officeDocument/2006/relationships/ctrlProp" Target="../ctrlProps/ctrlProp151.xml"/><Relationship Id="rId60" Type="http://schemas.openxmlformats.org/officeDocument/2006/relationships/ctrlProp" Target="../ctrlProps/ctrlProp15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55" Type="http://schemas.openxmlformats.org/officeDocument/2006/relationships/ctrlProp" Target="../ctrlProps/ctrlProp212.xml"/><Relationship Id="rId7" Type="http://schemas.openxmlformats.org/officeDocument/2006/relationships/ctrlProp" Target="../ctrlProps/ctrlProp164.xml"/><Relationship Id="rId2" Type="http://schemas.openxmlformats.org/officeDocument/2006/relationships/drawing" Target="../drawings/drawing13.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trlProp" Target="../ctrlProps/ctrlProp210.xml"/><Relationship Id="rId58" Type="http://schemas.openxmlformats.org/officeDocument/2006/relationships/ctrlProp" Target="../ctrlProps/ctrlProp215.xml"/><Relationship Id="rId5" Type="http://schemas.openxmlformats.org/officeDocument/2006/relationships/ctrlProp" Target="../ctrlProps/ctrlProp162.xml"/><Relationship Id="rId61" Type="http://schemas.openxmlformats.org/officeDocument/2006/relationships/ctrlProp" Target="../ctrlProps/ctrlProp218.xml"/><Relationship Id="rId19" Type="http://schemas.openxmlformats.org/officeDocument/2006/relationships/ctrlProp" Target="../ctrlProps/ctrlProp17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56" Type="http://schemas.openxmlformats.org/officeDocument/2006/relationships/ctrlProp" Target="../ctrlProps/ctrlProp213.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13.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59" Type="http://schemas.openxmlformats.org/officeDocument/2006/relationships/ctrlProp" Target="../ctrlProps/ctrlProp216.xml"/><Relationship Id="rId20" Type="http://schemas.openxmlformats.org/officeDocument/2006/relationships/ctrlProp" Target="../ctrlProps/ctrlProp177.xml"/><Relationship Id="rId41" Type="http://schemas.openxmlformats.org/officeDocument/2006/relationships/ctrlProp" Target="../ctrlProps/ctrlProp198.xml"/><Relationship Id="rId54" Type="http://schemas.openxmlformats.org/officeDocument/2006/relationships/ctrlProp" Target="../ctrlProps/ctrlProp211.xml"/><Relationship Id="rId1" Type="http://schemas.openxmlformats.org/officeDocument/2006/relationships/printerSettings" Target="../printerSettings/printerSettings1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57" Type="http://schemas.openxmlformats.org/officeDocument/2006/relationships/ctrlProp" Target="../ctrlProps/ctrlProp214.xml"/><Relationship Id="rId10" Type="http://schemas.openxmlformats.org/officeDocument/2006/relationships/ctrlProp" Target="../ctrlProps/ctrlProp167.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60" Type="http://schemas.openxmlformats.org/officeDocument/2006/relationships/ctrlProp" Target="../ctrlProps/ctrlProp217.xml"/><Relationship Id="rId4" Type="http://schemas.openxmlformats.org/officeDocument/2006/relationships/ctrlProp" Target="../ctrlProps/ctrlProp161.xml"/><Relationship Id="rId9" Type="http://schemas.openxmlformats.org/officeDocument/2006/relationships/ctrlProp" Target="../ctrlProps/ctrlProp166.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228.xml"/><Relationship Id="rId18" Type="http://schemas.openxmlformats.org/officeDocument/2006/relationships/ctrlProp" Target="../ctrlProps/ctrlProp233.xml"/><Relationship Id="rId26" Type="http://schemas.openxmlformats.org/officeDocument/2006/relationships/ctrlProp" Target="../ctrlProps/ctrlProp241.xml"/><Relationship Id="rId39" Type="http://schemas.openxmlformats.org/officeDocument/2006/relationships/ctrlProp" Target="../ctrlProps/ctrlProp254.xml"/><Relationship Id="rId21" Type="http://schemas.openxmlformats.org/officeDocument/2006/relationships/ctrlProp" Target="../ctrlProps/ctrlProp236.xml"/><Relationship Id="rId34" Type="http://schemas.openxmlformats.org/officeDocument/2006/relationships/ctrlProp" Target="../ctrlProps/ctrlProp249.xml"/><Relationship Id="rId42" Type="http://schemas.openxmlformats.org/officeDocument/2006/relationships/ctrlProp" Target="../ctrlProps/ctrlProp257.xml"/><Relationship Id="rId47" Type="http://schemas.openxmlformats.org/officeDocument/2006/relationships/ctrlProp" Target="../ctrlProps/ctrlProp262.xml"/><Relationship Id="rId50" Type="http://schemas.openxmlformats.org/officeDocument/2006/relationships/ctrlProp" Target="../ctrlProps/ctrlProp265.xml"/><Relationship Id="rId55" Type="http://schemas.openxmlformats.org/officeDocument/2006/relationships/ctrlProp" Target="../ctrlProps/ctrlProp270.xml"/><Relationship Id="rId7" Type="http://schemas.openxmlformats.org/officeDocument/2006/relationships/ctrlProp" Target="../ctrlProps/ctrlProp222.xml"/><Relationship Id="rId2" Type="http://schemas.openxmlformats.org/officeDocument/2006/relationships/drawing" Target="../drawings/drawing14.xml"/><Relationship Id="rId16" Type="http://schemas.openxmlformats.org/officeDocument/2006/relationships/ctrlProp" Target="../ctrlProps/ctrlProp231.xml"/><Relationship Id="rId29" Type="http://schemas.openxmlformats.org/officeDocument/2006/relationships/ctrlProp" Target="../ctrlProps/ctrlProp244.xml"/><Relationship Id="rId11" Type="http://schemas.openxmlformats.org/officeDocument/2006/relationships/ctrlProp" Target="../ctrlProps/ctrlProp226.xml"/><Relationship Id="rId24" Type="http://schemas.openxmlformats.org/officeDocument/2006/relationships/ctrlProp" Target="../ctrlProps/ctrlProp239.xml"/><Relationship Id="rId32" Type="http://schemas.openxmlformats.org/officeDocument/2006/relationships/ctrlProp" Target="../ctrlProps/ctrlProp247.xml"/><Relationship Id="rId37" Type="http://schemas.openxmlformats.org/officeDocument/2006/relationships/ctrlProp" Target="../ctrlProps/ctrlProp252.xml"/><Relationship Id="rId40" Type="http://schemas.openxmlformats.org/officeDocument/2006/relationships/ctrlProp" Target="../ctrlProps/ctrlProp255.xml"/><Relationship Id="rId45" Type="http://schemas.openxmlformats.org/officeDocument/2006/relationships/ctrlProp" Target="../ctrlProps/ctrlProp260.xml"/><Relationship Id="rId53" Type="http://schemas.openxmlformats.org/officeDocument/2006/relationships/ctrlProp" Target="../ctrlProps/ctrlProp268.xml"/><Relationship Id="rId58" Type="http://schemas.openxmlformats.org/officeDocument/2006/relationships/ctrlProp" Target="../ctrlProps/ctrlProp273.xml"/><Relationship Id="rId5" Type="http://schemas.openxmlformats.org/officeDocument/2006/relationships/ctrlProp" Target="../ctrlProps/ctrlProp220.xml"/><Relationship Id="rId61" Type="http://schemas.openxmlformats.org/officeDocument/2006/relationships/ctrlProp" Target="../ctrlProps/ctrlProp276.xml"/><Relationship Id="rId19" Type="http://schemas.openxmlformats.org/officeDocument/2006/relationships/ctrlProp" Target="../ctrlProps/ctrlProp234.xml"/><Relationship Id="rId14" Type="http://schemas.openxmlformats.org/officeDocument/2006/relationships/ctrlProp" Target="../ctrlProps/ctrlProp229.xml"/><Relationship Id="rId22" Type="http://schemas.openxmlformats.org/officeDocument/2006/relationships/ctrlProp" Target="../ctrlProps/ctrlProp237.xml"/><Relationship Id="rId27" Type="http://schemas.openxmlformats.org/officeDocument/2006/relationships/ctrlProp" Target="../ctrlProps/ctrlProp242.xml"/><Relationship Id="rId30" Type="http://schemas.openxmlformats.org/officeDocument/2006/relationships/ctrlProp" Target="../ctrlProps/ctrlProp245.xml"/><Relationship Id="rId35" Type="http://schemas.openxmlformats.org/officeDocument/2006/relationships/ctrlProp" Target="../ctrlProps/ctrlProp250.xml"/><Relationship Id="rId43" Type="http://schemas.openxmlformats.org/officeDocument/2006/relationships/ctrlProp" Target="../ctrlProps/ctrlProp258.xml"/><Relationship Id="rId48" Type="http://schemas.openxmlformats.org/officeDocument/2006/relationships/ctrlProp" Target="../ctrlProps/ctrlProp263.xml"/><Relationship Id="rId56" Type="http://schemas.openxmlformats.org/officeDocument/2006/relationships/ctrlProp" Target="../ctrlProps/ctrlProp271.xml"/><Relationship Id="rId8" Type="http://schemas.openxmlformats.org/officeDocument/2006/relationships/ctrlProp" Target="../ctrlProps/ctrlProp223.xml"/><Relationship Id="rId51" Type="http://schemas.openxmlformats.org/officeDocument/2006/relationships/ctrlProp" Target="../ctrlProps/ctrlProp266.xml"/><Relationship Id="rId3" Type="http://schemas.openxmlformats.org/officeDocument/2006/relationships/vmlDrawing" Target="../drawings/vmlDrawing14.vml"/><Relationship Id="rId12" Type="http://schemas.openxmlformats.org/officeDocument/2006/relationships/ctrlProp" Target="../ctrlProps/ctrlProp227.xml"/><Relationship Id="rId17" Type="http://schemas.openxmlformats.org/officeDocument/2006/relationships/ctrlProp" Target="../ctrlProps/ctrlProp232.xml"/><Relationship Id="rId25" Type="http://schemas.openxmlformats.org/officeDocument/2006/relationships/ctrlProp" Target="../ctrlProps/ctrlProp240.xml"/><Relationship Id="rId33" Type="http://schemas.openxmlformats.org/officeDocument/2006/relationships/ctrlProp" Target="../ctrlProps/ctrlProp248.xml"/><Relationship Id="rId38" Type="http://schemas.openxmlformats.org/officeDocument/2006/relationships/ctrlProp" Target="../ctrlProps/ctrlProp253.xml"/><Relationship Id="rId46" Type="http://schemas.openxmlformats.org/officeDocument/2006/relationships/ctrlProp" Target="../ctrlProps/ctrlProp261.xml"/><Relationship Id="rId59" Type="http://schemas.openxmlformats.org/officeDocument/2006/relationships/ctrlProp" Target="../ctrlProps/ctrlProp274.xml"/><Relationship Id="rId20" Type="http://schemas.openxmlformats.org/officeDocument/2006/relationships/ctrlProp" Target="../ctrlProps/ctrlProp235.xml"/><Relationship Id="rId41" Type="http://schemas.openxmlformats.org/officeDocument/2006/relationships/ctrlProp" Target="../ctrlProps/ctrlProp256.xml"/><Relationship Id="rId54" Type="http://schemas.openxmlformats.org/officeDocument/2006/relationships/ctrlProp" Target="../ctrlProps/ctrlProp269.xml"/><Relationship Id="rId1" Type="http://schemas.openxmlformats.org/officeDocument/2006/relationships/printerSettings" Target="../printerSettings/printerSettings15.bin"/><Relationship Id="rId6" Type="http://schemas.openxmlformats.org/officeDocument/2006/relationships/ctrlProp" Target="../ctrlProps/ctrlProp221.xml"/><Relationship Id="rId15" Type="http://schemas.openxmlformats.org/officeDocument/2006/relationships/ctrlProp" Target="../ctrlProps/ctrlProp230.xml"/><Relationship Id="rId23" Type="http://schemas.openxmlformats.org/officeDocument/2006/relationships/ctrlProp" Target="../ctrlProps/ctrlProp238.xml"/><Relationship Id="rId28" Type="http://schemas.openxmlformats.org/officeDocument/2006/relationships/ctrlProp" Target="../ctrlProps/ctrlProp243.xml"/><Relationship Id="rId36" Type="http://schemas.openxmlformats.org/officeDocument/2006/relationships/ctrlProp" Target="../ctrlProps/ctrlProp251.xml"/><Relationship Id="rId49" Type="http://schemas.openxmlformats.org/officeDocument/2006/relationships/ctrlProp" Target="../ctrlProps/ctrlProp264.xml"/><Relationship Id="rId57" Type="http://schemas.openxmlformats.org/officeDocument/2006/relationships/ctrlProp" Target="../ctrlProps/ctrlProp272.xml"/><Relationship Id="rId10" Type="http://schemas.openxmlformats.org/officeDocument/2006/relationships/ctrlProp" Target="../ctrlProps/ctrlProp225.xml"/><Relationship Id="rId31" Type="http://schemas.openxmlformats.org/officeDocument/2006/relationships/ctrlProp" Target="../ctrlProps/ctrlProp246.xml"/><Relationship Id="rId44" Type="http://schemas.openxmlformats.org/officeDocument/2006/relationships/ctrlProp" Target="../ctrlProps/ctrlProp259.xml"/><Relationship Id="rId52" Type="http://schemas.openxmlformats.org/officeDocument/2006/relationships/ctrlProp" Target="../ctrlProps/ctrlProp267.xml"/><Relationship Id="rId60" Type="http://schemas.openxmlformats.org/officeDocument/2006/relationships/ctrlProp" Target="../ctrlProps/ctrlProp275.xml"/><Relationship Id="rId4" Type="http://schemas.openxmlformats.org/officeDocument/2006/relationships/ctrlProp" Target="../ctrlProps/ctrlProp219.xml"/><Relationship Id="rId9" Type="http://schemas.openxmlformats.org/officeDocument/2006/relationships/ctrlProp" Target="../ctrlProps/ctrlProp224.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286.xml"/><Relationship Id="rId18" Type="http://schemas.openxmlformats.org/officeDocument/2006/relationships/ctrlProp" Target="../ctrlProps/ctrlProp291.xml"/><Relationship Id="rId26" Type="http://schemas.openxmlformats.org/officeDocument/2006/relationships/ctrlProp" Target="../ctrlProps/ctrlProp299.xml"/><Relationship Id="rId39" Type="http://schemas.openxmlformats.org/officeDocument/2006/relationships/ctrlProp" Target="../ctrlProps/ctrlProp312.xml"/><Relationship Id="rId21" Type="http://schemas.openxmlformats.org/officeDocument/2006/relationships/ctrlProp" Target="../ctrlProps/ctrlProp294.xml"/><Relationship Id="rId34" Type="http://schemas.openxmlformats.org/officeDocument/2006/relationships/ctrlProp" Target="../ctrlProps/ctrlProp307.xml"/><Relationship Id="rId42" Type="http://schemas.openxmlformats.org/officeDocument/2006/relationships/ctrlProp" Target="../ctrlProps/ctrlProp315.xml"/><Relationship Id="rId47" Type="http://schemas.openxmlformats.org/officeDocument/2006/relationships/ctrlProp" Target="../ctrlProps/ctrlProp320.xml"/><Relationship Id="rId50" Type="http://schemas.openxmlformats.org/officeDocument/2006/relationships/ctrlProp" Target="../ctrlProps/ctrlProp323.xml"/><Relationship Id="rId55" Type="http://schemas.openxmlformats.org/officeDocument/2006/relationships/ctrlProp" Target="../ctrlProps/ctrlProp328.xml"/><Relationship Id="rId7" Type="http://schemas.openxmlformats.org/officeDocument/2006/relationships/ctrlProp" Target="../ctrlProps/ctrlProp280.xml"/><Relationship Id="rId2" Type="http://schemas.openxmlformats.org/officeDocument/2006/relationships/drawing" Target="../drawings/drawing15.xml"/><Relationship Id="rId16" Type="http://schemas.openxmlformats.org/officeDocument/2006/relationships/ctrlProp" Target="../ctrlProps/ctrlProp289.xml"/><Relationship Id="rId29" Type="http://schemas.openxmlformats.org/officeDocument/2006/relationships/ctrlProp" Target="../ctrlProps/ctrlProp302.xml"/><Relationship Id="rId11" Type="http://schemas.openxmlformats.org/officeDocument/2006/relationships/ctrlProp" Target="../ctrlProps/ctrlProp284.xml"/><Relationship Id="rId24" Type="http://schemas.openxmlformats.org/officeDocument/2006/relationships/ctrlProp" Target="../ctrlProps/ctrlProp297.xml"/><Relationship Id="rId32" Type="http://schemas.openxmlformats.org/officeDocument/2006/relationships/ctrlProp" Target="../ctrlProps/ctrlProp305.xml"/><Relationship Id="rId37" Type="http://schemas.openxmlformats.org/officeDocument/2006/relationships/ctrlProp" Target="../ctrlProps/ctrlProp310.xml"/><Relationship Id="rId40" Type="http://schemas.openxmlformats.org/officeDocument/2006/relationships/ctrlProp" Target="../ctrlProps/ctrlProp313.xml"/><Relationship Id="rId45" Type="http://schemas.openxmlformats.org/officeDocument/2006/relationships/ctrlProp" Target="../ctrlProps/ctrlProp318.xml"/><Relationship Id="rId53" Type="http://schemas.openxmlformats.org/officeDocument/2006/relationships/ctrlProp" Target="../ctrlProps/ctrlProp326.xml"/><Relationship Id="rId58" Type="http://schemas.openxmlformats.org/officeDocument/2006/relationships/ctrlProp" Target="../ctrlProps/ctrlProp331.xml"/><Relationship Id="rId5" Type="http://schemas.openxmlformats.org/officeDocument/2006/relationships/ctrlProp" Target="../ctrlProps/ctrlProp278.xml"/><Relationship Id="rId61" Type="http://schemas.openxmlformats.org/officeDocument/2006/relationships/ctrlProp" Target="../ctrlProps/ctrlProp334.xml"/><Relationship Id="rId19" Type="http://schemas.openxmlformats.org/officeDocument/2006/relationships/ctrlProp" Target="../ctrlProps/ctrlProp292.xml"/><Relationship Id="rId14" Type="http://schemas.openxmlformats.org/officeDocument/2006/relationships/ctrlProp" Target="../ctrlProps/ctrlProp287.xml"/><Relationship Id="rId22" Type="http://schemas.openxmlformats.org/officeDocument/2006/relationships/ctrlProp" Target="../ctrlProps/ctrlProp295.xml"/><Relationship Id="rId27" Type="http://schemas.openxmlformats.org/officeDocument/2006/relationships/ctrlProp" Target="../ctrlProps/ctrlProp300.xml"/><Relationship Id="rId30" Type="http://schemas.openxmlformats.org/officeDocument/2006/relationships/ctrlProp" Target="../ctrlProps/ctrlProp303.xml"/><Relationship Id="rId35" Type="http://schemas.openxmlformats.org/officeDocument/2006/relationships/ctrlProp" Target="../ctrlProps/ctrlProp308.xml"/><Relationship Id="rId43" Type="http://schemas.openxmlformats.org/officeDocument/2006/relationships/ctrlProp" Target="../ctrlProps/ctrlProp316.xml"/><Relationship Id="rId48" Type="http://schemas.openxmlformats.org/officeDocument/2006/relationships/ctrlProp" Target="../ctrlProps/ctrlProp321.xml"/><Relationship Id="rId56" Type="http://schemas.openxmlformats.org/officeDocument/2006/relationships/ctrlProp" Target="../ctrlProps/ctrlProp329.xml"/><Relationship Id="rId8" Type="http://schemas.openxmlformats.org/officeDocument/2006/relationships/ctrlProp" Target="../ctrlProps/ctrlProp281.xml"/><Relationship Id="rId51" Type="http://schemas.openxmlformats.org/officeDocument/2006/relationships/ctrlProp" Target="../ctrlProps/ctrlProp324.xml"/><Relationship Id="rId3" Type="http://schemas.openxmlformats.org/officeDocument/2006/relationships/vmlDrawing" Target="../drawings/vmlDrawing15.vml"/><Relationship Id="rId12" Type="http://schemas.openxmlformats.org/officeDocument/2006/relationships/ctrlProp" Target="../ctrlProps/ctrlProp285.xml"/><Relationship Id="rId17" Type="http://schemas.openxmlformats.org/officeDocument/2006/relationships/ctrlProp" Target="../ctrlProps/ctrlProp290.xml"/><Relationship Id="rId25" Type="http://schemas.openxmlformats.org/officeDocument/2006/relationships/ctrlProp" Target="../ctrlProps/ctrlProp298.xml"/><Relationship Id="rId33" Type="http://schemas.openxmlformats.org/officeDocument/2006/relationships/ctrlProp" Target="../ctrlProps/ctrlProp306.xml"/><Relationship Id="rId38" Type="http://schemas.openxmlformats.org/officeDocument/2006/relationships/ctrlProp" Target="../ctrlProps/ctrlProp311.xml"/><Relationship Id="rId46" Type="http://schemas.openxmlformats.org/officeDocument/2006/relationships/ctrlProp" Target="../ctrlProps/ctrlProp319.xml"/><Relationship Id="rId59" Type="http://schemas.openxmlformats.org/officeDocument/2006/relationships/ctrlProp" Target="../ctrlProps/ctrlProp332.xml"/><Relationship Id="rId20" Type="http://schemas.openxmlformats.org/officeDocument/2006/relationships/ctrlProp" Target="../ctrlProps/ctrlProp293.xml"/><Relationship Id="rId41" Type="http://schemas.openxmlformats.org/officeDocument/2006/relationships/ctrlProp" Target="../ctrlProps/ctrlProp314.xml"/><Relationship Id="rId54" Type="http://schemas.openxmlformats.org/officeDocument/2006/relationships/ctrlProp" Target="../ctrlProps/ctrlProp327.xml"/><Relationship Id="rId1" Type="http://schemas.openxmlformats.org/officeDocument/2006/relationships/printerSettings" Target="../printerSettings/printerSettings16.bin"/><Relationship Id="rId6" Type="http://schemas.openxmlformats.org/officeDocument/2006/relationships/ctrlProp" Target="../ctrlProps/ctrlProp279.xml"/><Relationship Id="rId15" Type="http://schemas.openxmlformats.org/officeDocument/2006/relationships/ctrlProp" Target="../ctrlProps/ctrlProp288.xml"/><Relationship Id="rId23" Type="http://schemas.openxmlformats.org/officeDocument/2006/relationships/ctrlProp" Target="../ctrlProps/ctrlProp296.xml"/><Relationship Id="rId28" Type="http://schemas.openxmlformats.org/officeDocument/2006/relationships/ctrlProp" Target="../ctrlProps/ctrlProp301.xml"/><Relationship Id="rId36" Type="http://schemas.openxmlformats.org/officeDocument/2006/relationships/ctrlProp" Target="../ctrlProps/ctrlProp309.xml"/><Relationship Id="rId49" Type="http://schemas.openxmlformats.org/officeDocument/2006/relationships/ctrlProp" Target="../ctrlProps/ctrlProp322.xml"/><Relationship Id="rId57" Type="http://schemas.openxmlformats.org/officeDocument/2006/relationships/ctrlProp" Target="../ctrlProps/ctrlProp330.xml"/><Relationship Id="rId10" Type="http://schemas.openxmlformats.org/officeDocument/2006/relationships/ctrlProp" Target="../ctrlProps/ctrlProp283.xml"/><Relationship Id="rId31" Type="http://schemas.openxmlformats.org/officeDocument/2006/relationships/ctrlProp" Target="../ctrlProps/ctrlProp304.xml"/><Relationship Id="rId44" Type="http://schemas.openxmlformats.org/officeDocument/2006/relationships/ctrlProp" Target="../ctrlProps/ctrlProp317.xml"/><Relationship Id="rId52" Type="http://schemas.openxmlformats.org/officeDocument/2006/relationships/ctrlProp" Target="../ctrlProps/ctrlProp325.xml"/><Relationship Id="rId60" Type="http://schemas.openxmlformats.org/officeDocument/2006/relationships/ctrlProp" Target="../ctrlProps/ctrlProp333.xml"/><Relationship Id="rId4" Type="http://schemas.openxmlformats.org/officeDocument/2006/relationships/ctrlProp" Target="../ctrlProps/ctrlProp277.xml"/><Relationship Id="rId9" Type="http://schemas.openxmlformats.org/officeDocument/2006/relationships/ctrlProp" Target="../ctrlProps/ctrlProp28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5" Type="http://schemas.openxmlformats.org/officeDocument/2006/relationships/ctrlProp" Target="../ctrlProps/ctrlProp336.xml"/><Relationship Id="rId4" Type="http://schemas.openxmlformats.org/officeDocument/2006/relationships/ctrlProp" Target="../ctrlProps/ctrlProp33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339.xml"/><Relationship Id="rId5" Type="http://schemas.openxmlformats.org/officeDocument/2006/relationships/ctrlProp" Target="../ctrlProps/ctrlProp338.xml"/><Relationship Id="rId4" Type="http://schemas.openxmlformats.org/officeDocument/2006/relationships/ctrlProp" Target="../ctrlProps/ctrlProp33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44.xml"/><Relationship Id="rId3" Type="http://schemas.openxmlformats.org/officeDocument/2006/relationships/vmlDrawing" Target="../drawings/vmlDrawing18.vml"/><Relationship Id="rId7" Type="http://schemas.openxmlformats.org/officeDocument/2006/relationships/ctrlProp" Target="../ctrlProps/ctrlProp343.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342.xml"/><Relationship Id="rId5" Type="http://schemas.openxmlformats.org/officeDocument/2006/relationships/ctrlProp" Target="../ctrlProps/ctrlProp341.xml"/><Relationship Id="rId4" Type="http://schemas.openxmlformats.org/officeDocument/2006/relationships/ctrlProp" Target="../ctrlProps/ctrlProp340.xml"/><Relationship Id="rId9" Type="http://schemas.openxmlformats.org/officeDocument/2006/relationships/ctrlProp" Target="../ctrlProps/ctrlProp3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50.xml"/><Relationship Id="rId3" Type="http://schemas.openxmlformats.org/officeDocument/2006/relationships/vmlDrawing" Target="../drawings/vmlDrawing19.vml"/><Relationship Id="rId7" Type="http://schemas.openxmlformats.org/officeDocument/2006/relationships/ctrlProp" Target="../ctrlProps/ctrlProp349.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348.xml"/><Relationship Id="rId5" Type="http://schemas.openxmlformats.org/officeDocument/2006/relationships/ctrlProp" Target="../ctrlProps/ctrlProp347.xml"/><Relationship Id="rId4" Type="http://schemas.openxmlformats.org/officeDocument/2006/relationships/ctrlProp" Target="../ctrlProps/ctrlProp346.xml"/><Relationship Id="rId9" Type="http://schemas.openxmlformats.org/officeDocument/2006/relationships/ctrlProp" Target="../ctrlProps/ctrlProp351.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361.xml"/><Relationship Id="rId18" Type="http://schemas.openxmlformats.org/officeDocument/2006/relationships/ctrlProp" Target="../ctrlProps/ctrlProp366.xml"/><Relationship Id="rId26" Type="http://schemas.openxmlformats.org/officeDocument/2006/relationships/ctrlProp" Target="../ctrlProps/ctrlProp374.xml"/><Relationship Id="rId39" Type="http://schemas.openxmlformats.org/officeDocument/2006/relationships/ctrlProp" Target="../ctrlProps/ctrlProp387.xml"/><Relationship Id="rId21" Type="http://schemas.openxmlformats.org/officeDocument/2006/relationships/ctrlProp" Target="../ctrlProps/ctrlProp369.xml"/><Relationship Id="rId34" Type="http://schemas.openxmlformats.org/officeDocument/2006/relationships/ctrlProp" Target="../ctrlProps/ctrlProp382.xml"/><Relationship Id="rId42" Type="http://schemas.openxmlformats.org/officeDocument/2006/relationships/ctrlProp" Target="../ctrlProps/ctrlProp390.xml"/><Relationship Id="rId47" Type="http://schemas.openxmlformats.org/officeDocument/2006/relationships/ctrlProp" Target="../ctrlProps/ctrlProp395.xml"/><Relationship Id="rId50" Type="http://schemas.openxmlformats.org/officeDocument/2006/relationships/ctrlProp" Target="../ctrlProps/ctrlProp398.xml"/><Relationship Id="rId55" Type="http://schemas.openxmlformats.org/officeDocument/2006/relationships/ctrlProp" Target="../ctrlProps/ctrlProp403.xml"/><Relationship Id="rId7" Type="http://schemas.openxmlformats.org/officeDocument/2006/relationships/ctrlProp" Target="../ctrlProps/ctrlProp355.xml"/><Relationship Id="rId2" Type="http://schemas.openxmlformats.org/officeDocument/2006/relationships/drawing" Target="../drawings/drawing20.xml"/><Relationship Id="rId16" Type="http://schemas.openxmlformats.org/officeDocument/2006/relationships/ctrlProp" Target="../ctrlProps/ctrlProp364.xml"/><Relationship Id="rId29" Type="http://schemas.openxmlformats.org/officeDocument/2006/relationships/ctrlProp" Target="../ctrlProps/ctrlProp377.xml"/><Relationship Id="rId11" Type="http://schemas.openxmlformats.org/officeDocument/2006/relationships/ctrlProp" Target="../ctrlProps/ctrlProp359.xml"/><Relationship Id="rId24" Type="http://schemas.openxmlformats.org/officeDocument/2006/relationships/ctrlProp" Target="../ctrlProps/ctrlProp372.xml"/><Relationship Id="rId32" Type="http://schemas.openxmlformats.org/officeDocument/2006/relationships/ctrlProp" Target="../ctrlProps/ctrlProp380.xml"/><Relationship Id="rId37" Type="http://schemas.openxmlformats.org/officeDocument/2006/relationships/ctrlProp" Target="../ctrlProps/ctrlProp385.xml"/><Relationship Id="rId40" Type="http://schemas.openxmlformats.org/officeDocument/2006/relationships/ctrlProp" Target="../ctrlProps/ctrlProp388.xml"/><Relationship Id="rId45" Type="http://schemas.openxmlformats.org/officeDocument/2006/relationships/ctrlProp" Target="../ctrlProps/ctrlProp393.xml"/><Relationship Id="rId53" Type="http://schemas.openxmlformats.org/officeDocument/2006/relationships/ctrlProp" Target="../ctrlProps/ctrlProp401.xml"/><Relationship Id="rId58" Type="http://schemas.openxmlformats.org/officeDocument/2006/relationships/ctrlProp" Target="../ctrlProps/ctrlProp406.xml"/><Relationship Id="rId5" Type="http://schemas.openxmlformats.org/officeDocument/2006/relationships/ctrlProp" Target="../ctrlProps/ctrlProp353.xml"/><Relationship Id="rId61" Type="http://schemas.openxmlformats.org/officeDocument/2006/relationships/ctrlProp" Target="../ctrlProps/ctrlProp409.xml"/><Relationship Id="rId19" Type="http://schemas.openxmlformats.org/officeDocument/2006/relationships/ctrlProp" Target="../ctrlProps/ctrlProp367.xml"/><Relationship Id="rId14" Type="http://schemas.openxmlformats.org/officeDocument/2006/relationships/ctrlProp" Target="../ctrlProps/ctrlProp362.xml"/><Relationship Id="rId22" Type="http://schemas.openxmlformats.org/officeDocument/2006/relationships/ctrlProp" Target="../ctrlProps/ctrlProp370.xml"/><Relationship Id="rId27" Type="http://schemas.openxmlformats.org/officeDocument/2006/relationships/ctrlProp" Target="../ctrlProps/ctrlProp375.xml"/><Relationship Id="rId30" Type="http://schemas.openxmlformats.org/officeDocument/2006/relationships/ctrlProp" Target="../ctrlProps/ctrlProp378.xml"/><Relationship Id="rId35" Type="http://schemas.openxmlformats.org/officeDocument/2006/relationships/ctrlProp" Target="../ctrlProps/ctrlProp383.xml"/><Relationship Id="rId43" Type="http://schemas.openxmlformats.org/officeDocument/2006/relationships/ctrlProp" Target="../ctrlProps/ctrlProp391.xml"/><Relationship Id="rId48" Type="http://schemas.openxmlformats.org/officeDocument/2006/relationships/ctrlProp" Target="../ctrlProps/ctrlProp396.xml"/><Relationship Id="rId56" Type="http://schemas.openxmlformats.org/officeDocument/2006/relationships/ctrlProp" Target="../ctrlProps/ctrlProp404.xml"/><Relationship Id="rId8" Type="http://schemas.openxmlformats.org/officeDocument/2006/relationships/ctrlProp" Target="../ctrlProps/ctrlProp356.xml"/><Relationship Id="rId51" Type="http://schemas.openxmlformats.org/officeDocument/2006/relationships/ctrlProp" Target="../ctrlProps/ctrlProp399.xml"/><Relationship Id="rId3" Type="http://schemas.openxmlformats.org/officeDocument/2006/relationships/vmlDrawing" Target="../drawings/vmlDrawing20.vml"/><Relationship Id="rId12" Type="http://schemas.openxmlformats.org/officeDocument/2006/relationships/ctrlProp" Target="../ctrlProps/ctrlProp360.xml"/><Relationship Id="rId17" Type="http://schemas.openxmlformats.org/officeDocument/2006/relationships/ctrlProp" Target="../ctrlProps/ctrlProp365.xml"/><Relationship Id="rId25" Type="http://schemas.openxmlformats.org/officeDocument/2006/relationships/ctrlProp" Target="../ctrlProps/ctrlProp373.xml"/><Relationship Id="rId33" Type="http://schemas.openxmlformats.org/officeDocument/2006/relationships/ctrlProp" Target="../ctrlProps/ctrlProp381.xml"/><Relationship Id="rId38" Type="http://schemas.openxmlformats.org/officeDocument/2006/relationships/ctrlProp" Target="../ctrlProps/ctrlProp386.xml"/><Relationship Id="rId46" Type="http://schemas.openxmlformats.org/officeDocument/2006/relationships/ctrlProp" Target="../ctrlProps/ctrlProp394.xml"/><Relationship Id="rId59" Type="http://schemas.openxmlformats.org/officeDocument/2006/relationships/ctrlProp" Target="../ctrlProps/ctrlProp407.xml"/><Relationship Id="rId20" Type="http://schemas.openxmlformats.org/officeDocument/2006/relationships/ctrlProp" Target="../ctrlProps/ctrlProp368.xml"/><Relationship Id="rId41" Type="http://schemas.openxmlformats.org/officeDocument/2006/relationships/ctrlProp" Target="../ctrlProps/ctrlProp389.xml"/><Relationship Id="rId54" Type="http://schemas.openxmlformats.org/officeDocument/2006/relationships/ctrlProp" Target="../ctrlProps/ctrlProp402.xml"/><Relationship Id="rId1" Type="http://schemas.openxmlformats.org/officeDocument/2006/relationships/printerSettings" Target="../printerSettings/printerSettings21.bin"/><Relationship Id="rId6" Type="http://schemas.openxmlformats.org/officeDocument/2006/relationships/ctrlProp" Target="../ctrlProps/ctrlProp354.xml"/><Relationship Id="rId15" Type="http://schemas.openxmlformats.org/officeDocument/2006/relationships/ctrlProp" Target="../ctrlProps/ctrlProp363.xml"/><Relationship Id="rId23" Type="http://schemas.openxmlformats.org/officeDocument/2006/relationships/ctrlProp" Target="../ctrlProps/ctrlProp371.xml"/><Relationship Id="rId28" Type="http://schemas.openxmlformats.org/officeDocument/2006/relationships/ctrlProp" Target="../ctrlProps/ctrlProp376.xml"/><Relationship Id="rId36" Type="http://schemas.openxmlformats.org/officeDocument/2006/relationships/ctrlProp" Target="../ctrlProps/ctrlProp384.xml"/><Relationship Id="rId49" Type="http://schemas.openxmlformats.org/officeDocument/2006/relationships/ctrlProp" Target="../ctrlProps/ctrlProp397.xml"/><Relationship Id="rId57" Type="http://schemas.openxmlformats.org/officeDocument/2006/relationships/ctrlProp" Target="../ctrlProps/ctrlProp405.xml"/><Relationship Id="rId10" Type="http://schemas.openxmlformats.org/officeDocument/2006/relationships/ctrlProp" Target="../ctrlProps/ctrlProp358.xml"/><Relationship Id="rId31" Type="http://schemas.openxmlformats.org/officeDocument/2006/relationships/ctrlProp" Target="../ctrlProps/ctrlProp379.xml"/><Relationship Id="rId44" Type="http://schemas.openxmlformats.org/officeDocument/2006/relationships/ctrlProp" Target="../ctrlProps/ctrlProp392.xml"/><Relationship Id="rId52" Type="http://schemas.openxmlformats.org/officeDocument/2006/relationships/ctrlProp" Target="../ctrlProps/ctrlProp400.xml"/><Relationship Id="rId60" Type="http://schemas.openxmlformats.org/officeDocument/2006/relationships/ctrlProp" Target="../ctrlProps/ctrlProp408.xml"/><Relationship Id="rId4" Type="http://schemas.openxmlformats.org/officeDocument/2006/relationships/ctrlProp" Target="../ctrlProps/ctrlProp352.xml"/><Relationship Id="rId9" Type="http://schemas.openxmlformats.org/officeDocument/2006/relationships/ctrlProp" Target="../ctrlProps/ctrlProp357.xml"/></Relationships>
</file>

<file path=xl/worksheets/_rels/sheet22.xml.rels><?xml version="1.0" encoding="UTF-8" standalone="yes"?>
<Relationships xmlns="http://schemas.openxmlformats.org/package/2006/relationships"><Relationship Id="rId13" Type="http://schemas.openxmlformats.org/officeDocument/2006/relationships/ctrlProp" Target="../ctrlProps/ctrlProp419.xml"/><Relationship Id="rId18" Type="http://schemas.openxmlformats.org/officeDocument/2006/relationships/ctrlProp" Target="../ctrlProps/ctrlProp424.xml"/><Relationship Id="rId26" Type="http://schemas.openxmlformats.org/officeDocument/2006/relationships/ctrlProp" Target="../ctrlProps/ctrlProp432.xml"/><Relationship Id="rId39" Type="http://schemas.openxmlformats.org/officeDocument/2006/relationships/ctrlProp" Target="../ctrlProps/ctrlProp445.xml"/><Relationship Id="rId21" Type="http://schemas.openxmlformats.org/officeDocument/2006/relationships/ctrlProp" Target="../ctrlProps/ctrlProp427.xml"/><Relationship Id="rId34" Type="http://schemas.openxmlformats.org/officeDocument/2006/relationships/ctrlProp" Target="../ctrlProps/ctrlProp440.xml"/><Relationship Id="rId42" Type="http://schemas.openxmlformats.org/officeDocument/2006/relationships/ctrlProp" Target="../ctrlProps/ctrlProp448.xml"/><Relationship Id="rId47" Type="http://schemas.openxmlformats.org/officeDocument/2006/relationships/ctrlProp" Target="../ctrlProps/ctrlProp453.xml"/><Relationship Id="rId50" Type="http://schemas.openxmlformats.org/officeDocument/2006/relationships/ctrlProp" Target="../ctrlProps/ctrlProp456.xml"/><Relationship Id="rId55" Type="http://schemas.openxmlformats.org/officeDocument/2006/relationships/ctrlProp" Target="../ctrlProps/ctrlProp461.xml"/><Relationship Id="rId7" Type="http://schemas.openxmlformats.org/officeDocument/2006/relationships/ctrlProp" Target="../ctrlProps/ctrlProp413.xml"/><Relationship Id="rId2" Type="http://schemas.openxmlformats.org/officeDocument/2006/relationships/drawing" Target="../drawings/drawing21.xml"/><Relationship Id="rId16" Type="http://schemas.openxmlformats.org/officeDocument/2006/relationships/ctrlProp" Target="../ctrlProps/ctrlProp422.xml"/><Relationship Id="rId29" Type="http://schemas.openxmlformats.org/officeDocument/2006/relationships/ctrlProp" Target="../ctrlProps/ctrlProp435.xml"/><Relationship Id="rId11" Type="http://schemas.openxmlformats.org/officeDocument/2006/relationships/ctrlProp" Target="../ctrlProps/ctrlProp417.xml"/><Relationship Id="rId24" Type="http://schemas.openxmlformats.org/officeDocument/2006/relationships/ctrlProp" Target="../ctrlProps/ctrlProp430.xml"/><Relationship Id="rId32" Type="http://schemas.openxmlformats.org/officeDocument/2006/relationships/ctrlProp" Target="../ctrlProps/ctrlProp438.xml"/><Relationship Id="rId37" Type="http://schemas.openxmlformats.org/officeDocument/2006/relationships/ctrlProp" Target="../ctrlProps/ctrlProp443.xml"/><Relationship Id="rId40" Type="http://schemas.openxmlformats.org/officeDocument/2006/relationships/ctrlProp" Target="../ctrlProps/ctrlProp446.xml"/><Relationship Id="rId45" Type="http://schemas.openxmlformats.org/officeDocument/2006/relationships/ctrlProp" Target="../ctrlProps/ctrlProp451.xml"/><Relationship Id="rId53" Type="http://schemas.openxmlformats.org/officeDocument/2006/relationships/ctrlProp" Target="../ctrlProps/ctrlProp459.xml"/><Relationship Id="rId58" Type="http://schemas.openxmlformats.org/officeDocument/2006/relationships/ctrlProp" Target="../ctrlProps/ctrlProp464.xml"/><Relationship Id="rId5" Type="http://schemas.openxmlformats.org/officeDocument/2006/relationships/ctrlProp" Target="../ctrlProps/ctrlProp411.xml"/><Relationship Id="rId61" Type="http://schemas.openxmlformats.org/officeDocument/2006/relationships/ctrlProp" Target="../ctrlProps/ctrlProp467.xml"/><Relationship Id="rId19" Type="http://schemas.openxmlformats.org/officeDocument/2006/relationships/ctrlProp" Target="../ctrlProps/ctrlProp425.xml"/><Relationship Id="rId14" Type="http://schemas.openxmlformats.org/officeDocument/2006/relationships/ctrlProp" Target="../ctrlProps/ctrlProp420.xml"/><Relationship Id="rId22" Type="http://schemas.openxmlformats.org/officeDocument/2006/relationships/ctrlProp" Target="../ctrlProps/ctrlProp428.xml"/><Relationship Id="rId27" Type="http://schemas.openxmlformats.org/officeDocument/2006/relationships/ctrlProp" Target="../ctrlProps/ctrlProp433.xml"/><Relationship Id="rId30" Type="http://schemas.openxmlformats.org/officeDocument/2006/relationships/ctrlProp" Target="../ctrlProps/ctrlProp436.xml"/><Relationship Id="rId35" Type="http://schemas.openxmlformats.org/officeDocument/2006/relationships/ctrlProp" Target="../ctrlProps/ctrlProp441.xml"/><Relationship Id="rId43" Type="http://schemas.openxmlformats.org/officeDocument/2006/relationships/ctrlProp" Target="../ctrlProps/ctrlProp449.xml"/><Relationship Id="rId48" Type="http://schemas.openxmlformats.org/officeDocument/2006/relationships/ctrlProp" Target="../ctrlProps/ctrlProp454.xml"/><Relationship Id="rId56" Type="http://schemas.openxmlformats.org/officeDocument/2006/relationships/ctrlProp" Target="../ctrlProps/ctrlProp462.xml"/><Relationship Id="rId8" Type="http://schemas.openxmlformats.org/officeDocument/2006/relationships/ctrlProp" Target="../ctrlProps/ctrlProp414.xml"/><Relationship Id="rId51" Type="http://schemas.openxmlformats.org/officeDocument/2006/relationships/ctrlProp" Target="../ctrlProps/ctrlProp457.xml"/><Relationship Id="rId3" Type="http://schemas.openxmlformats.org/officeDocument/2006/relationships/vmlDrawing" Target="../drawings/vmlDrawing21.vml"/><Relationship Id="rId12" Type="http://schemas.openxmlformats.org/officeDocument/2006/relationships/ctrlProp" Target="../ctrlProps/ctrlProp418.xml"/><Relationship Id="rId17" Type="http://schemas.openxmlformats.org/officeDocument/2006/relationships/ctrlProp" Target="../ctrlProps/ctrlProp423.xml"/><Relationship Id="rId25" Type="http://schemas.openxmlformats.org/officeDocument/2006/relationships/ctrlProp" Target="../ctrlProps/ctrlProp431.xml"/><Relationship Id="rId33" Type="http://schemas.openxmlformats.org/officeDocument/2006/relationships/ctrlProp" Target="../ctrlProps/ctrlProp439.xml"/><Relationship Id="rId38" Type="http://schemas.openxmlformats.org/officeDocument/2006/relationships/ctrlProp" Target="../ctrlProps/ctrlProp444.xml"/><Relationship Id="rId46" Type="http://schemas.openxmlformats.org/officeDocument/2006/relationships/ctrlProp" Target="../ctrlProps/ctrlProp452.xml"/><Relationship Id="rId59" Type="http://schemas.openxmlformats.org/officeDocument/2006/relationships/ctrlProp" Target="../ctrlProps/ctrlProp465.xml"/><Relationship Id="rId20" Type="http://schemas.openxmlformats.org/officeDocument/2006/relationships/ctrlProp" Target="../ctrlProps/ctrlProp426.xml"/><Relationship Id="rId41" Type="http://schemas.openxmlformats.org/officeDocument/2006/relationships/ctrlProp" Target="../ctrlProps/ctrlProp447.xml"/><Relationship Id="rId54" Type="http://schemas.openxmlformats.org/officeDocument/2006/relationships/ctrlProp" Target="../ctrlProps/ctrlProp460.xml"/><Relationship Id="rId1" Type="http://schemas.openxmlformats.org/officeDocument/2006/relationships/printerSettings" Target="../printerSettings/printerSettings22.bin"/><Relationship Id="rId6" Type="http://schemas.openxmlformats.org/officeDocument/2006/relationships/ctrlProp" Target="../ctrlProps/ctrlProp412.xml"/><Relationship Id="rId15" Type="http://schemas.openxmlformats.org/officeDocument/2006/relationships/ctrlProp" Target="../ctrlProps/ctrlProp421.xml"/><Relationship Id="rId23" Type="http://schemas.openxmlformats.org/officeDocument/2006/relationships/ctrlProp" Target="../ctrlProps/ctrlProp429.xml"/><Relationship Id="rId28" Type="http://schemas.openxmlformats.org/officeDocument/2006/relationships/ctrlProp" Target="../ctrlProps/ctrlProp434.xml"/><Relationship Id="rId36" Type="http://schemas.openxmlformats.org/officeDocument/2006/relationships/ctrlProp" Target="../ctrlProps/ctrlProp442.xml"/><Relationship Id="rId49" Type="http://schemas.openxmlformats.org/officeDocument/2006/relationships/ctrlProp" Target="../ctrlProps/ctrlProp455.xml"/><Relationship Id="rId57" Type="http://schemas.openxmlformats.org/officeDocument/2006/relationships/ctrlProp" Target="../ctrlProps/ctrlProp463.xml"/><Relationship Id="rId10" Type="http://schemas.openxmlformats.org/officeDocument/2006/relationships/ctrlProp" Target="../ctrlProps/ctrlProp416.xml"/><Relationship Id="rId31" Type="http://schemas.openxmlformats.org/officeDocument/2006/relationships/ctrlProp" Target="../ctrlProps/ctrlProp437.xml"/><Relationship Id="rId44" Type="http://schemas.openxmlformats.org/officeDocument/2006/relationships/ctrlProp" Target="../ctrlProps/ctrlProp450.xml"/><Relationship Id="rId52" Type="http://schemas.openxmlformats.org/officeDocument/2006/relationships/ctrlProp" Target="../ctrlProps/ctrlProp458.xml"/><Relationship Id="rId60" Type="http://schemas.openxmlformats.org/officeDocument/2006/relationships/ctrlProp" Target="../ctrlProps/ctrlProp466.xml"/><Relationship Id="rId4" Type="http://schemas.openxmlformats.org/officeDocument/2006/relationships/ctrlProp" Target="../ctrlProps/ctrlProp410.xml"/><Relationship Id="rId9" Type="http://schemas.openxmlformats.org/officeDocument/2006/relationships/ctrlProp" Target="../ctrlProps/ctrlProp415.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477.xml"/><Relationship Id="rId18" Type="http://schemas.openxmlformats.org/officeDocument/2006/relationships/ctrlProp" Target="../ctrlProps/ctrlProp482.xml"/><Relationship Id="rId26" Type="http://schemas.openxmlformats.org/officeDocument/2006/relationships/ctrlProp" Target="../ctrlProps/ctrlProp490.xml"/><Relationship Id="rId39" Type="http://schemas.openxmlformats.org/officeDocument/2006/relationships/ctrlProp" Target="../ctrlProps/ctrlProp503.xml"/><Relationship Id="rId21" Type="http://schemas.openxmlformats.org/officeDocument/2006/relationships/ctrlProp" Target="../ctrlProps/ctrlProp485.xml"/><Relationship Id="rId34" Type="http://schemas.openxmlformats.org/officeDocument/2006/relationships/ctrlProp" Target="../ctrlProps/ctrlProp498.xml"/><Relationship Id="rId42" Type="http://schemas.openxmlformats.org/officeDocument/2006/relationships/ctrlProp" Target="../ctrlProps/ctrlProp506.xml"/><Relationship Id="rId47" Type="http://schemas.openxmlformats.org/officeDocument/2006/relationships/ctrlProp" Target="../ctrlProps/ctrlProp511.xml"/><Relationship Id="rId50" Type="http://schemas.openxmlformats.org/officeDocument/2006/relationships/ctrlProp" Target="../ctrlProps/ctrlProp514.xml"/><Relationship Id="rId55" Type="http://schemas.openxmlformats.org/officeDocument/2006/relationships/ctrlProp" Target="../ctrlProps/ctrlProp519.xml"/><Relationship Id="rId7" Type="http://schemas.openxmlformats.org/officeDocument/2006/relationships/ctrlProp" Target="../ctrlProps/ctrlProp471.xml"/><Relationship Id="rId2" Type="http://schemas.openxmlformats.org/officeDocument/2006/relationships/drawing" Target="../drawings/drawing22.xml"/><Relationship Id="rId16" Type="http://schemas.openxmlformats.org/officeDocument/2006/relationships/ctrlProp" Target="../ctrlProps/ctrlProp480.xml"/><Relationship Id="rId29" Type="http://schemas.openxmlformats.org/officeDocument/2006/relationships/ctrlProp" Target="../ctrlProps/ctrlProp493.xml"/><Relationship Id="rId11" Type="http://schemas.openxmlformats.org/officeDocument/2006/relationships/ctrlProp" Target="../ctrlProps/ctrlProp475.xml"/><Relationship Id="rId24" Type="http://schemas.openxmlformats.org/officeDocument/2006/relationships/ctrlProp" Target="../ctrlProps/ctrlProp488.xml"/><Relationship Id="rId32" Type="http://schemas.openxmlformats.org/officeDocument/2006/relationships/ctrlProp" Target="../ctrlProps/ctrlProp496.xml"/><Relationship Id="rId37" Type="http://schemas.openxmlformats.org/officeDocument/2006/relationships/ctrlProp" Target="../ctrlProps/ctrlProp501.xml"/><Relationship Id="rId40" Type="http://schemas.openxmlformats.org/officeDocument/2006/relationships/ctrlProp" Target="../ctrlProps/ctrlProp504.xml"/><Relationship Id="rId45" Type="http://schemas.openxmlformats.org/officeDocument/2006/relationships/ctrlProp" Target="../ctrlProps/ctrlProp509.xml"/><Relationship Id="rId53" Type="http://schemas.openxmlformats.org/officeDocument/2006/relationships/ctrlProp" Target="../ctrlProps/ctrlProp517.xml"/><Relationship Id="rId58" Type="http://schemas.openxmlformats.org/officeDocument/2006/relationships/ctrlProp" Target="../ctrlProps/ctrlProp522.xml"/><Relationship Id="rId5" Type="http://schemas.openxmlformats.org/officeDocument/2006/relationships/ctrlProp" Target="../ctrlProps/ctrlProp469.xml"/><Relationship Id="rId61" Type="http://schemas.openxmlformats.org/officeDocument/2006/relationships/ctrlProp" Target="../ctrlProps/ctrlProp525.xml"/><Relationship Id="rId19" Type="http://schemas.openxmlformats.org/officeDocument/2006/relationships/ctrlProp" Target="../ctrlProps/ctrlProp483.xml"/><Relationship Id="rId14" Type="http://schemas.openxmlformats.org/officeDocument/2006/relationships/ctrlProp" Target="../ctrlProps/ctrlProp478.xml"/><Relationship Id="rId22" Type="http://schemas.openxmlformats.org/officeDocument/2006/relationships/ctrlProp" Target="../ctrlProps/ctrlProp486.xml"/><Relationship Id="rId27" Type="http://schemas.openxmlformats.org/officeDocument/2006/relationships/ctrlProp" Target="../ctrlProps/ctrlProp491.xml"/><Relationship Id="rId30" Type="http://schemas.openxmlformats.org/officeDocument/2006/relationships/ctrlProp" Target="../ctrlProps/ctrlProp494.xml"/><Relationship Id="rId35" Type="http://schemas.openxmlformats.org/officeDocument/2006/relationships/ctrlProp" Target="../ctrlProps/ctrlProp499.xml"/><Relationship Id="rId43" Type="http://schemas.openxmlformats.org/officeDocument/2006/relationships/ctrlProp" Target="../ctrlProps/ctrlProp507.xml"/><Relationship Id="rId48" Type="http://schemas.openxmlformats.org/officeDocument/2006/relationships/ctrlProp" Target="../ctrlProps/ctrlProp512.xml"/><Relationship Id="rId56" Type="http://schemas.openxmlformats.org/officeDocument/2006/relationships/ctrlProp" Target="../ctrlProps/ctrlProp520.xml"/><Relationship Id="rId8" Type="http://schemas.openxmlformats.org/officeDocument/2006/relationships/ctrlProp" Target="../ctrlProps/ctrlProp472.xml"/><Relationship Id="rId51" Type="http://schemas.openxmlformats.org/officeDocument/2006/relationships/ctrlProp" Target="../ctrlProps/ctrlProp515.xml"/><Relationship Id="rId3" Type="http://schemas.openxmlformats.org/officeDocument/2006/relationships/vmlDrawing" Target="../drawings/vmlDrawing22.vml"/><Relationship Id="rId12" Type="http://schemas.openxmlformats.org/officeDocument/2006/relationships/ctrlProp" Target="../ctrlProps/ctrlProp476.xml"/><Relationship Id="rId17" Type="http://schemas.openxmlformats.org/officeDocument/2006/relationships/ctrlProp" Target="../ctrlProps/ctrlProp481.xml"/><Relationship Id="rId25" Type="http://schemas.openxmlformats.org/officeDocument/2006/relationships/ctrlProp" Target="../ctrlProps/ctrlProp489.xml"/><Relationship Id="rId33" Type="http://schemas.openxmlformats.org/officeDocument/2006/relationships/ctrlProp" Target="../ctrlProps/ctrlProp497.xml"/><Relationship Id="rId38" Type="http://schemas.openxmlformats.org/officeDocument/2006/relationships/ctrlProp" Target="../ctrlProps/ctrlProp502.xml"/><Relationship Id="rId46" Type="http://schemas.openxmlformats.org/officeDocument/2006/relationships/ctrlProp" Target="../ctrlProps/ctrlProp510.xml"/><Relationship Id="rId59" Type="http://schemas.openxmlformats.org/officeDocument/2006/relationships/ctrlProp" Target="../ctrlProps/ctrlProp523.xml"/><Relationship Id="rId20" Type="http://schemas.openxmlformats.org/officeDocument/2006/relationships/ctrlProp" Target="../ctrlProps/ctrlProp484.xml"/><Relationship Id="rId41" Type="http://schemas.openxmlformats.org/officeDocument/2006/relationships/ctrlProp" Target="../ctrlProps/ctrlProp505.xml"/><Relationship Id="rId54" Type="http://schemas.openxmlformats.org/officeDocument/2006/relationships/ctrlProp" Target="../ctrlProps/ctrlProp518.xml"/><Relationship Id="rId1" Type="http://schemas.openxmlformats.org/officeDocument/2006/relationships/printerSettings" Target="../printerSettings/printerSettings23.bin"/><Relationship Id="rId6" Type="http://schemas.openxmlformats.org/officeDocument/2006/relationships/ctrlProp" Target="../ctrlProps/ctrlProp470.xml"/><Relationship Id="rId15" Type="http://schemas.openxmlformats.org/officeDocument/2006/relationships/ctrlProp" Target="../ctrlProps/ctrlProp479.xml"/><Relationship Id="rId23" Type="http://schemas.openxmlformats.org/officeDocument/2006/relationships/ctrlProp" Target="../ctrlProps/ctrlProp487.xml"/><Relationship Id="rId28" Type="http://schemas.openxmlformats.org/officeDocument/2006/relationships/ctrlProp" Target="../ctrlProps/ctrlProp492.xml"/><Relationship Id="rId36" Type="http://schemas.openxmlformats.org/officeDocument/2006/relationships/ctrlProp" Target="../ctrlProps/ctrlProp500.xml"/><Relationship Id="rId49" Type="http://schemas.openxmlformats.org/officeDocument/2006/relationships/ctrlProp" Target="../ctrlProps/ctrlProp513.xml"/><Relationship Id="rId57" Type="http://schemas.openxmlformats.org/officeDocument/2006/relationships/ctrlProp" Target="../ctrlProps/ctrlProp521.xml"/><Relationship Id="rId10" Type="http://schemas.openxmlformats.org/officeDocument/2006/relationships/ctrlProp" Target="../ctrlProps/ctrlProp474.xml"/><Relationship Id="rId31" Type="http://schemas.openxmlformats.org/officeDocument/2006/relationships/ctrlProp" Target="../ctrlProps/ctrlProp495.xml"/><Relationship Id="rId44" Type="http://schemas.openxmlformats.org/officeDocument/2006/relationships/ctrlProp" Target="../ctrlProps/ctrlProp508.xml"/><Relationship Id="rId52" Type="http://schemas.openxmlformats.org/officeDocument/2006/relationships/ctrlProp" Target="../ctrlProps/ctrlProp516.xml"/><Relationship Id="rId60" Type="http://schemas.openxmlformats.org/officeDocument/2006/relationships/ctrlProp" Target="../ctrlProps/ctrlProp524.xml"/><Relationship Id="rId4" Type="http://schemas.openxmlformats.org/officeDocument/2006/relationships/ctrlProp" Target="../ctrlProps/ctrlProp468.xml"/><Relationship Id="rId9" Type="http://schemas.openxmlformats.org/officeDocument/2006/relationships/ctrlProp" Target="../ctrlProps/ctrlProp47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530.xml"/><Relationship Id="rId13" Type="http://schemas.openxmlformats.org/officeDocument/2006/relationships/ctrlProp" Target="../ctrlProps/ctrlProp535.xml"/><Relationship Id="rId18" Type="http://schemas.openxmlformats.org/officeDocument/2006/relationships/ctrlProp" Target="../ctrlProps/ctrlProp540.xml"/><Relationship Id="rId3" Type="http://schemas.openxmlformats.org/officeDocument/2006/relationships/vmlDrawing" Target="../drawings/vmlDrawing23.vml"/><Relationship Id="rId21" Type="http://schemas.openxmlformats.org/officeDocument/2006/relationships/ctrlProp" Target="../ctrlProps/ctrlProp543.xml"/><Relationship Id="rId7" Type="http://schemas.openxmlformats.org/officeDocument/2006/relationships/ctrlProp" Target="../ctrlProps/ctrlProp529.xml"/><Relationship Id="rId12" Type="http://schemas.openxmlformats.org/officeDocument/2006/relationships/ctrlProp" Target="../ctrlProps/ctrlProp534.xml"/><Relationship Id="rId17" Type="http://schemas.openxmlformats.org/officeDocument/2006/relationships/ctrlProp" Target="../ctrlProps/ctrlProp539.xml"/><Relationship Id="rId2" Type="http://schemas.openxmlformats.org/officeDocument/2006/relationships/drawing" Target="../drawings/drawing23.xml"/><Relationship Id="rId16" Type="http://schemas.openxmlformats.org/officeDocument/2006/relationships/ctrlProp" Target="../ctrlProps/ctrlProp538.xml"/><Relationship Id="rId20" Type="http://schemas.openxmlformats.org/officeDocument/2006/relationships/ctrlProp" Target="../ctrlProps/ctrlProp542.xml"/><Relationship Id="rId1" Type="http://schemas.openxmlformats.org/officeDocument/2006/relationships/printerSettings" Target="../printerSettings/printerSettings25.bin"/><Relationship Id="rId6" Type="http://schemas.openxmlformats.org/officeDocument/2006/relationships/ctrlProp" Target="../ctrlProps/ctrlProp528.xml"/><Relationship Id="rId11" Type="http://schemas.openxmlformats.org/officeDocument/2006/relationships/ctrlProp" Target="../ctrlProps/ctrlProp533.xml"/><Relationship Id="rId5" Type="http://schemas.openxmlformats.org/officeDocument/2006/relationships/ctrlProp" Target="../ctrlProps/ctrlProp527.xml"/><Relationship Id="rId15" Type="http://schemas.openxmlformats.org/officeDocument/2006/relationships/ctrlProp" Target="../ctrlProps/ctrlProp537.xml"/><Relationship Id="rId10" Type="http://schemas.openxmlformats.org/officeDocument/2006/relationships/ctrlProp" Target="../ctrlProps/ctrlProp532.xml"/><Relationship Id="rId19" Type="http://schemas.openxmlformats.org/officeDocument/2006/relationships/ctrlProp" Target="../ctrlProps/ctrlProp541.xml"/><Relationship Id="rId4" Type="http://schemas.openxmlformats.org/officeDocument/2006/relationships/ctrlProp" Target="../ctrlProps/ctrlProp526.xml"/><Relationship Id="rId9" Type="http://schemas.openxmlformats.org/officeDocument/2006/relationships/ctrlProp" Target="../ctrlProps/ctrlProp531.xml"/><Relationship Id="rId14" Type="http://schemas.openxmlformats.org/officeDocument/2006/relationships/ctrlProp" Target="../ctrlProps/ctrlProp536.xml"/><Relationship Id="rId22" Type="http://schemas.openxmlformats.org/officeDocument/2006/relationships/ctrlProp" Target="../ctrlProps/ctrlProp54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7.vml"/><Relationship Id="rId7" Type="http://schemas.openxmlformats.org/officeDocument/2006/relationships/ctrlProp" Target="../ctrlProps/ctrlProp2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8.vml"/><Relationship Id="rId7" Type="http://schemas.openxmlformats.org/officeDocument/2006/relationships/ctrlProp" Target="../ctrlProps/ctrlProp31.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9"/>
  <sheetViews>
    <sheetView showGridLines="0" tabSelected="1" workbookViewId="0">
      <selection activeCell="F37" sqref="F37"/>
    </sheetView>
  </sheetViews>
  <sheetFormatPr defaultRowHeight="12.75" x14ac:dyDescent="0.2"/>
  <cols>
    <col min="1" max="1" width="32.140625" customWidth="1"/>
    <col min="2" max="2" width="15.42578125" customWidth="1"/>
    <col min="3" max="4" width="11.5703125" customWidth="1"/>
    <col min="5" max="5" width="16.5703125" customWidth="1"/>
    <col min="6" max="6" width="23.28515625" customWidth="1"/>
    <col min="7" max="12" width="5.5703125" customWidth="1"/>
    <col min="13" max="13" width="13.7109375" customWidth="1"/>
    <col min="14" max="14" width="5.5703125" customWidth="1"/>
    <col min="15" max="15" width="5.42578125" customWidth="1"/>
  </cols>
  <sheetData>
    <row r="1" spans="1:15" ht="15.75" x14ac:dyDescent="0.25">
      <c r="A1" s="339" t="s">
        <v>90</v>
      </c>
      <c r="B1" s="340"/>
      <c r="C1" s="340"/>
      <c r="D1" s="340"/>
      <c r="E1" s="340"/>
      <c r="F1" s="340"/>
      <c r="G1" s="4"/>
      <c r="H1" s="4"/>
      <c r="I1" s="4"/>
      <c r="J1" s="4"/>
      <c r="K1" s="4"/>
      <c r="L1" s="4"/>
      <c r="M1" s="4"/>
      <c r="N1" s="4"/>
      <c r="O1" s="4"/>
    </row>
    <row r="2" spans="1:15" x14ac:dyDescent="0.2">
      <c r="A2" s="341" t="s">
        <v>280</v>
      </c>
      <c r="B2" s="342"/>
      <c r="C2" s="342"/>
      <c r="D2" s="342"/>
      <c r="E2" s="342"/>
      <c r="F2" s="342"/>
      <c r="G2" s="4" t="s">
        <v>15</v>
      </c>
      <c r="H2" s="4"/>
      <c r="I2" s="4"/>
      <c r="J2" s="4"/>
      <c r="K2" s="4"/>
      <c r="L2" s="4"/>
      <c r="M2" s="4" t="s">
        <v>15</v>
      </c>
      <c r="N2" s="4" t="s">
        <v>15</v>
      </c>
      <c r="O2" s="4" t="s">
        <v>15</v>
      </c>
    </row>
    <row r="3" spans="1:15" x14ac:dyDescent="0.2">
      <c r="A3" s="337" t="s">
        <v>24</v>
      </c>
      <c r="B3" s="337"/>
      <c r="C3" s="337"/>
      <c r="D3" s="337"/>
      <c r="E3" s="337"/>
      <c r="F3" s="337"/>
    </row>
    <row r="4" spans="1:15" x14ac:dyDescent="0.2">
      <c r="A4" s="12"/>
      <c r="B4" s="12"/>
      <c r="C4" s="12"/>
      <c r="D4" s="12"/>
      <c r="E4" s="12"/>
      <c r="F4" s="12"/>
    </row>
    <row r="5" spans="1:15" ht="65.25" customHeight="1" x14ac:dyDescent="0.2">
      <c r="A5" s="338" t="s">
        <v>195</v>
      </c>
      <c r="B5" s="338"/>
      <c r="C5" s="338"/>
      <c r="D5" s="338"/>
      <c r="E5" s="338"/>
      <c r="F5" s="338"/>
    </row>
    <row r="6" spans="1:15" x14ac:dyDescent="0.2">
      <c r="A6" s="12"/>
      <c r="B6" s="12"/>
      <c r="C6" s="12"/>
      <c r="D6" s="12"/>
      <c r="E6" s="12"/>
      <c r="F6" s="11"/>
      <c r="O6" t="s">
        <v>15</v>
      </c>
    </row>
    <row r="7" spans="1:15" x14ac:dyDescent="0.2">
      <c r="A7" s="12" t="s">
        <v>2</v>
      </c>
      <c r="B7" s="344"/>
      <c r="C7" s="349"/>
      <c r="D7" s="349"/>
      <c r="E7" s="345"/>
      <c r="F7" s="11"/>
      <c r="G7" s="1"/>
      <c r="H7" s="1"/>
      <c r="I7" s="1"/>
      <c r="J7" s="1"/>
      <c r="K7" s="1"/>
      <c r="L7" s="1"/>
    </row>
    <row r="8" spans="1:15" x14ac:dyDescent="0.2">
      <c r="A8" s="231" t="s">
        <v>250</v>
      </c>
      <c r="B8" s="344"/>
      <c r="C8" s="345"/>
      <c r="D8" s="13"/>
      <c r="E8" s="13"/>
      <c r="F8" s="13"/>
      <c r="G8" s="1"/>
      <c r="H8" s="1"/>
      <c r="I8" s="1"/>
      <c r="J8" s="1"/>
      <c r="K8" s="1"/>
      <c r="L8" s="1"/>
    </row>
    <row r="9" spans="1:15" x14ac:dyDescent="0.2">
      <c r="A9" s="231" t="s">
        <v>234</v>
      </c>
      <c r="B9" s="141">
        <v>4</v>
      </c>
      <c r="C9" s="141">
        <v>2024</v>
      </c>
      <c r="D9" s="13"/>
      <c r="E9" s="13"/>
      <c r="F9" s="13"/>
    </row>
    <row r="10" spans="1:15" x14ac:dyDescent="0.2">
      <c r="A10" s="12"/>
      <c r="B10" s="255" t="s">
        <v>101</v>
      </c>
      <c r="C10" s="252" t="s">
        <v>91</v>
      </c>
      <c r="D10" s="224"/>
      <c r="E10" s="140"/>
      <c r="F10" s="13"/>
    </row>
    <row r="11" spans="1:15" x14ac:dyDescent="0.2">
      <c r="A11" s="12" t="s">
        <v>35</v>
      </c>
      <c r="B11" s="346" t="s">
        <v>95</v>
      </c>
      <c r="C11" s="347"/>
      <c r="D11" s="347"/>
      <c r="E11" s="347"/>
      <c r="F11" s="348"/>
    </row>
    <row r="12" spans="1:15" x14ac:dyDescent="0.2">
      <c r="A12" s="12"/>
      <c r="B12" s="12"/>
      <c r="C12" s="12"/>
      <c r="D12" s="12"/>
      <c r="E12" s="12"/>
      <c r="F12" s="12"/>
    </row>
    <row r="13" spans="1:15" x14ac:dyDescent="0.2">
      <c r="A13" s="12"/>
      <c r="B13" s="12"/>
      <c r="C13" s="12"/>
      <c r="D13" s="12"/>
      <c r="E13" s="12"/>
      <c r="F13" s="13"/>
    </row>
    <row r="14" spans="1:15" x14ac:dyDescent="0.2">
      <c r="A14" s="231" t="s">
        <v>274</v>
      </c>
      <c r="B14" s="119">
        <v>0</v>
      </c>
      <c r="C14" s="240" t="s">
        <v>45</v>
      </c>
      <c r="D14" s="11"/>
      <c r="E14" s="14"/>
      <c r="F14" s="11" t="s">
        <v>15</v>
      </c>
    </row>
    <row r="15" spans="1:15" x14ac:dyDescent="0.2">
      <c r="A15" s="231" t="s">
        <v>275</v>
      </c>
      <c r="B15" s="119"/>
      <c r="C15" s="240" t="s">
        <v>45</v>
      </c>
      <c r="D15" s="225"/>
      <c r="E15" s="64">
        <v>3</v>
      </c>
      <c r="F15" s="14" t="s">
        <v>15</v>
      </c>
      <c r="G15" s="2"/>
      <c r="H15" s="2"/>
      <c r="I15" s="2"/>
      <c r="J15" s="2"/>
      <c r="K15" s="2"/>
      <c r="L15" s="2"/>
    </row>
    <row r="16" spans="1:15" x14ac:dyDescent="0.2">
      <c r="A16" s="12" t="s">
        <v>130</v>
      </c>
      <c r="B16" s="304"/>
      <c r="C16" s="240" t="s">
        <v>45</v>
      </c>
      <c r="D16" s="225"/>
      <c r="E16" s="64">
        <v>1</v>
      </c>
      <c r="F16" s="14" t="s">
        <v>15</v>
      </c>
      <c r="G16" s="2"/>
      <c r="H16" s="2"/>
      <c r="I16" s="2"/>
      <c r="J16" s="2"/>
      <c r="K16" s="2"/>
      <c r="L16" s="2"/>
    </row>
    <row r="17" spans="1:13" x14ac:dyDescent="0.2">
      <c r="A17" s="12"/>
      <c r="B17" s="14"/>
      <c r="C17" s="14"/>
      <c r="D17" s="14"/>
      <c r="E17" s="64">
        <v>2</v>
      </c>
      <c r="F17" s="14" t="s">
        <v>15</v>
      </c>
      <c r="G17" s="2"/>
      <c r="H17" s="2"/>
      <c r="I17" s="2"/>
      <c r="J17" s="2"/>
      <c r="K17" s="2"/>
      <c r="L17" s="2"/>
    </row>
    <row r="18" spans="1:13" x14ac:dyDescent="0.2">
      <c r="A18" s="216" t="s">
        <v>77</v>
      </c>
      <c r="B18" s="211"/>
      <c r="C18" s="14"/>
      <c r="D18" s="14"/>
      <c r="E18" s="230">
        <f>IF(E16=1,1,IF(E16=2,0.98,1.01))</f>
        <v>1</v>
      </c>
      <c r="F18" s="65" t="s">
        <v>51</v>
      </c>
      <c r="G18" s="2"/>
      <c r="H18" s="2"/>
      <c r="I18" s="2"/>
      <c r="J18" s="2"/>
      <c r="K18" s="2"/>
      <c r="L18" s="2"/>
    </row>
    <row r="19" spans="1:13" x14ac:dyDescent="0.2">
      <c r="A19" s="12" t="s">
        <v>78</v>
      </c>
      <c r="B19" s="211">
        <v>0</v>
      </c>
      <c r="C19" s="14"/>
      <c r="D19" s="14"/>
      <c r="E19" s="64"/>
      <c r="F19" s="14"/>
      <c r="G19" s="2"/>
      <c r="H19" s="2"/>
      <c r="I19" s="2"/>
      <c r="J19" s="2"/>
      <c r="K19" s="2"/>
      <c r="L19" s="2"/>
    </row>
    <row r="20" spans="1:13" x14ac:dyDescent="0.2">
      <c r="A20" s="12"/>
      <c r="B20" s="14"/>
      <c r="C20" s="14"/>
      <c r="D20" s="14"/>
      <c r="E20" s="64"/>
      <c r="F20" s="14"/>
      <c r="G20" s="2"/>
      <c r="H20" s="2"/>
      <c r="I20" s="2"/>
      <c r="J20" s="2"/>
      <c r="K20" s="2"/>
      <c r="L20" s="2"/>
    </row>
    <row r="21" spans="1:13" x14ac:dyDescent="0.2">
      <c r="A21" s="12" t="s">
        <v>88</v>
      </c>
      <c r="B21" s="289">
        <v>1000</v>
      </c>
      <c r="C21" s="229" t="s">
        <v>41</v>
      </c>
      <c r="D21" s="14"/>
      <c r="E21" s="64"/>
      <c r="F21" s="14"/>
      <c r="G21" s="2"/>
      <c r="H21" s="2"/>
      <c r="I21" s="2"/>
      <c r="J21" s="2"/>
      <c r="K21" s="2"/>
      <c r="L21" s="2"/>
    </row>
    <row r="22" spans="1:13" x14ac:dyDescent="0.2">
      <c r="A22" s="12" t="s">
        <v>89</v>
      </c>
      <c r="B22" s="119">
        <v>0</v>
      </c>
      <c r="C22" s="229" t="s">
        <v>41</v>
      </c>
      <c r="D22" s="14"/>
      <c r="E22" s="64"/>
      <c r="F22" s="14"/>
      <c r="G22" s="2"/>
      <c r="H22" s="2"/>
      <c r="I22" s="2"/>
      <c r="J22" s="2"/>
      <c r="K22" s="2"/>
      <c r="L22" s="2"/>
    </row>
    <row r="23" spans="1:13" x14ac:dyDescent="0.2">
      <c r="A23" s="231" t="s">
        <v>273</v>
      </c>
      <c r="B23" s="119"/>
      <c r="C23" s="229" t="s">
        <v>41</v>
      </c>
      <c r="D23" s="229"/>
      <c r="E23" s="64"/>
      <c r="F23" s="14"/>
      <c r="G23" s="2"/>
      <c r="H23" s="2"/>
      <c r="I23" s="2"/>
      <c r="J23" s="2"/>
      <c r="K23" s="2"/>
      <c r="L23" s="2"/>
    </row>
    <row r="24" spans="1:13" x14ac:dyDescent="0.2">
      <c r="A24" s="12"/>
      <c r="B24" s="14"/>
      <c r="C24" s="14"/>
      <c r="D24" s="229"/>
      <c r="E24" s="231" t="s">
        <v>15</v>
      </c>
      <c r="F24" s="216"/>
      <c r="G24" s="2"/>
      <c r="H24" s="2"/>
      <c r="I24" s="2"/>
      <c r="J24" s="2"/>
      <c r="K24" s="2"/>
      <c r="L24" s="2"/>
      <c r="M24" s="217"/>
    </row>
    <row r="25" spans="1:13" x14ac:dyDescent="0.2">
      <c r="A25" s="12"/>
      <c r="B25" s="14"/>
      <c r="C25" s="14"/>
      <c r="D25" s="229"/>
      <c r="E25" s="219"/>
      <c r="F25" s="216"/>
    </row>
    <row r="26" spans="1:13" x14ac:dyDescent="0.2">
      <c r="A26" s="12" t="s">
        <v>127</v>
      </c>
      <c r="B26" s="122"/>
      <c r="C26" s="229" t="s">
        <v>126</v>
      </c>
      <c r="D26" s="229"/>
      <c r="E26" s="236"/>
      <c r="F26" s="218"/>
      <c r="G26" s="2"/>
      <c r="H26" s="2"/>
      <c r="I26" s="2"/>
      <c r="J26" s="2"/>
      <c r="K26" s="2"/>
      <c r="L26" s="2"/>
    </row>
    <row r="27" spans="1:13" x14ac:dyDescent="0.2">
      <c r="A27" s="12" t="s">
        <v>53</v>
      </c>
      <c r="B27" s="119">
        <v>0</v>
      </c>
      <c r="C27" s="229" t="s">
        <v>46</v>
      </c>
      <c r="D27" s="229"/>
      <c r="E27" s="231"/>
      <c r="F27" s="14" t="s">
        <v>15</v>
      </c>
      <c r="G27" s="2"/>
      <c r="H27" s="2"/>
      <c r="I27" s="2"/>
      <c r="J27" s="2"/>
      <c r="K27" s="2"/>
      <c r="L27" s="2"/>
    </row>
    <row r="28" spans="1:13" x14ac:dyDescent="0.2">
      <c r="A28" s="12"/>
      <c r="B28" s="14"/>
      <c r="C28" s="14"/>
      <c r="D28" s="229"/>
      <c r="E28" s="231"/>
      <c r="F28" s="14" t="s">
        <v>15</v>
      </c>
      <c r="G28" s="2"/>
      <c r="H28" s="2"/>
      <c r="I28" s="2"/>
      <c r="J28" s="2"/>
      <c r="K28" s="2"/>
      <c r="L28" s="2"/>
    </row>
    <row r="29" spans="1:13" x14ac:dyDescent="0.2">
      <c r="A29" s="12" t="s">
        <v>0</v>
      </c>
      <c r="B29" s="57"/>
      <c r="C29" s="232" t="s">
        <v>131</v>
      </c>
      <c r="D29" s="233">
        <f>IF(ISNUMBER(B29),B29,IF(ISNUMBER(B27),(IF(ABS(B21+B22)&gt;0,ROUND(COS(ATAN(B27/(B21+B22))),3),1)),1))</f>
        <v>1</v>
      </c>
      <c r="E29" s="231"/>
      <c r="F29" s="14" t="s">
        <v>15</v>
      </c>
      <c r="G29" s="2"/>
      <c r="H29" s="2"/>
      <c r="I29" s="2"/>
      <c r="J29" s="2"/>
      <c r="K29" s="2"/>
      <c r="L29" s="2"/>
    </row>
    <row r="30" spans="1:13" x14ac:dyDescent="0.2">
      <c r="A30" s="12"/>
      <c r="B30" s="14"/>
      <c r="C30" s="14"/>
      <c r="D30" s="234">
        <f>IF(D29&lt;&gt;0,SIGN(D29)*ROUND(1/D29,3),0)</f>
        <v>1</v>
      </c>
      <c r="E30" s="12"/>
      <c r="F30" s="65"/>
      <c r="G30" s="2"/>
      <c r="H30" s="2"/>
      <c r="I30" s="2"/>
      <c r="J30" s="2"/>
      <c r="K30" s="2"/>
      <c r="L30" s="2"/>
    </row>
    <row r="31" spans="1:13" ht="12" customHeight="1" x14ac:dyDescent="0.2">
      <c r="A31" s="62"/>
      <c r="B31" s="213"/>
      <c r="C31" s="248"/>
      <c r="D31" s="235"/>
      <c r="E31" s="12" t="s">
        <v>15</v>
      </c>
      <c r="F31" s="216"/>
      <c r="G31" s="2"/>
      <c r="H31" s="2"/>
      <c r="I31" s="2"/>
      <c r="J31" s="2"/>
      <c r="K31" s="2"/>
      <c r="L31" s="2"/>
    </row>
    <row r="32" spans="1:13" ht="12.75" customHeight="1" x14ac:dyDescent="0.2">
      <c r="A32" s="63" t="s">
        <v>125</v>
      </c>
      <c r="B32" s="213"/>
      <c r="C32" s="248" t="b">
        <v>0</v>
      </c>
      <c r="D32" s="235"/>
      <c r="E32" s="231"/>
      <c r="F32" s="231"/>
    </row>
    <row r="33" spans="1:6" ht="12" customHeight="1" x14ac:dyDescent="0.2">
      <c r="A33" s="63" t="s">
        <v>128</v>
      </c>
      <c r="B33" s="214"/>
      <c r="C33" s="248" t="b">
        <v>0</v>
      </c>
      <c r="D33" s="235"/>
      <c r="E33" s="231"/>
      <c r="F33" s="231"/>
    </row>
    <row r="34" spans="1:6" x14ac:dyDescent="0.2">
      <c r="A34" s="256" t="s">
        <v>218</v>
      </c>
      <c r="B34" s="214"/>
      <c r="C34" s="257" t="b">
        <v>0</v>
      </c>
      <c r="D34" s="215"/>
      <c r="E34" s="12"/>
      <c r="F34" s="216"/>
    </row>
    <row r="35" spans="1:6" ht="12" customHeight="1" x14ac:dyDescent="0.2">
      <c r="A35" s="63"/>
      <c r="B35" s="74"/>
      <c r="C35" s="215"/>
      <c r="D35" s="215"/>
      <c r="E35" s="12"/>
      <c r="F35" s="216"/>
    </row>
    <row r="36" spans="1:6" x14ac:dyDescent="0.2">
      <c r="A36" s="343" t="s">
        <v>25</v>
      </c>
      <c r="B36" s="343"/>
      <c r="C36" s="343"/>
      <c r="D36" s="223"/>
      <c r="E36" s="231"/>
      <c r="F36" s="286" t="s">
        <v>319</v>
      </c>
    </row>
    <row r="37" spans="1:6" x14ac:dyDescent="0.2">
      <c r="A37" s="12"/>
      <c r="B37" s="12"/>
      <c r="C37" s="12"/>
      <c r="D37" s="12"/>
      <c r="E37" s="12"/>
      <c r="F37" s="244"/>
    </row>
    <row r="39" spans="1:6" x14ac:dyDescent="0.2">
      <c r="B39" s="3"/>
    </row>
  </sheetData>
  <sheetProtection algorithmName="SHA-512" hashValue="eiVuy+UD7bJE3sqPQ3gEvCFD8BIhkuNaglgigHiVjO8cAtJAJAynb1TcmQBUkArFlqEs8I8zVIqx0N6BAzi/0Q==" saltValue="RZ6u5+sTyJlxsjFytWyihA==" spinCount="100000" sheet="1" objects="1" scenarios="1"/>
  <mergeCells count="8">
    <mergeCell ref="A3:F3"/>
    <mergeCell ref="A5:F5"/>
    <mergeCell ref="A1:F1"/>
    <mergeCell ref="A2:F2"/>
    <mergeCell ref="A36:C36"/>
    <mergeCell ref="B8:C8"/>
    <mergeCell ref="B11:F11"/>
    <mergeCell ref="B7:E7"/>
  </mergeCells>
  <phoneticPr fontId="0" type="noConversion"/>
  <hyperlinks>
    <hyperlink ref="M13:N13" location="'Bundled GS-2 Subtran-Trans'!A1" display="GS-2 Sub Bundled" xr:uid="{00000000-0004-0000-0000-000000000000}"/>
    <hyperlink ref="M23:N23" location="'Bundled GS-3 Subtran-Trans'!A1" display="GS-3 Subtrans/Trans Bundled" xr:uid="{00000000-0004-0000-0000-000001000000}"/>
    <hyperlink ref="G25:M25" location="'Bundled GS-4 Pri'!A1" display="GS-4 Pri Bundled" xr:uid="{00000000-0004-0000-0000-000002000000}"/>
    <hyperlink ref="M17:N17" location="'Bundled GS-3 Pri'!A1" display="GS-3 Pri Bundled" xr:uid="{00000000-0004-0000-0000-000003000000}"/>
    <hyperlink ref="M16:N16" location="'Bundled GS-3 Sec'!A1" display="GS-3 Sec Bundled" xr:uid="{00000000-0004-0000-0000-000004000000}"/>
    <hyperlink ref="M15:N15" location="'Bundled GS-TOD Sec'!Print_Area" display="GS-TOD Bundled" xr:uid="{00000000-0004-0000-0000-000005000000}"/>
    <hyperlink ref="M11:N11" location="'Bundled GS-2 Pri'!A1" display="GS-2 Pri Bundled" xr:uid="{00000000-0004-0000-0000-000006000000}"/>
    <hyperlink ref="M10:N10" location="'Bundled GS-2 Sec'!A1" display="GS-2 Sec Bundled" xr:uid="{00000000-0004-0000-0000-000007000000}"/>
    <hyperlink ref="M9:N9" location="'Bundled GS-1 Sec'!A1" display="GS-1 Bundled" xr:uid="{00000000-0004-0000-0000-000008000000}"/>
    <hyperlink ref="M8:N8" location="'Bundled RS-TOD Sec'!A1" display="RS-TOD Bundled" xr:uid="{00000000-0004-0000-0000-000009000000}"/>
    <hyperlink ref="M7:N7" location="'Bundled RS Sec'!A1" display="RS Bundled" xr:uid="{00000000-0004-0000-0000-00000A000000}"/>
  </hyperlinks>
  <printOptions horizontalCentered="1"/>
  <pageMargins left="0.5" right="0.5" top="0.5" bottom="0.5" header="0.25" footer="0.25"/>
  <pageSetup orientation="landscape" r:id="rId1"/>
  <headerFooter alignWithMargins="0"/>
  <cellWatches>
    <cellWatch r="G31"/>
    <cellWatch r="G24"/>
  </cellWatches>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1</xdr:col>
                    <xdr:colOff>19050</xdr:colOff>
                    <xdr:row>30</xdr:row>
                    <xdr:rowOff>142875</xdr:rowOff>
                  </from>
                  <to>
                    <xdr:col>1</xdr:col>
                    <xdr:colOff>685800</xdr:colOff>
                    <xdr:row>32</xdr:row>
                    <xdr:rowOff>47625</xdr:rowOff>
                  </to>
                </anchor>
              </controlPr>
            </control>
          </mc:Choice>
        </mc:AlternateContent>
        <mc:AlternateContent xmlns:mc="http://schemas.openxmlformats.org/markup-compatibility/2006">
          <mc:Choice Requires="x14">
            <control shapeId="2066" r:id="rId5" name="Option Button 18">
              <controlPr defaultSize="0" autoFill="0" autoLine="0" autoPict="0" macro="[0]!OptionButton18_Click">
                <anchor moveWithCells="1">
                  <from>
                    <xdr:col>4</xdr:col>
                    <xdr:colOff>457200</xdr:colOff>
                    <xdr:row>12</xdr:row>
                    <xdr:rowOff>142875</xdr:rowOff>
                  </from>
                  <to>
                    <xdr:col>5</xdr:col>
                    <xdr:colOff>1009650</xdr:colOff>
                    <xdr:row>14</xdr:row>
                    <xdr:rowOff>38100</xdr:rowOff>
                  </to>
                </anchor>
              </controlPr>
            </control>
          </mc:Choice>
        </mc:AlternateContent>
        <mc:AlternateContent xmlns:mc="http://schemas.openxmlformats.org/markup-compatibility/2006">
          <mc:Choice Requires="x14">
            <control shapeId="2067" r:id="rId6" name="Option Button 19">
              <controlPr defaultSize="0" autoFill="0" autoLine="0" autoPict="0">
                <anchor moveWithCells="1">
                  <from>
                    <xdr:col>4</xdr:col>
                    <xdr:colOff>457200</xdr:colOff>
                    <xdr:row>14</xdr:row>
                    <xdr:rowOff>38100</xdr:rowOff>
                  </from>
                  <to>
                    <xdr:col>5</xdr:col>
                    <xdr:colOff>1009650</xdr:colOff>
                    <xdr:row>15</xdr:row>
                    <xdr:rowOff>95250</xdr:rowOff>
                  </to>
                </anchor>
              </controlPr>
            </control>
          </mc:Choice>
        </mc:AlternateContent>
        <mc:AlternateContent xmlns:mc="http://schemas.openxmlformats.org/markup-compatibility/2006">
          <mc:Choice Requires="x14">
            <control shapeId="2068" r:id="rId7" name="Option Button 20">
              <controlPr defaultSize="0" autoFill="0" autoLine="0" autoPict="0">
                <anchor moveWithCells="1">
                  <from>
                    <xdr:col>4</xdr:col>
                    <xdr:colOff>457200</xdr:colOff>
                    <xdr:row>15</xdr:row>
                    <xdr:rowOff>95250</xdr:rowOff>
                  </from>
                  <to>
                    <xdr:col>5</xdr:col>
                    <xdr:colOff>1009650</xdr:colOff>
                    <xdr:row>16</xdr:row>
                    <xdr:rowOff>152400</xdr:rowOff>
                  </to>
                </anchor>
              </controlPr>
            </control>
          </mc:Choice>
        </mc:AlternateContent>
        <mc:AlternateContent xmlns:mc="http://schemas.openxmlformats.org/markup-compatibility/2006">
          <mc:Choice Requires="x14">
            <control shapeId="2069" r:id="rId8" name="Group Box 21">
              <controlPr defaultSize="0" autoFill="0" autoPict="0">
                <anchor moveWithCells="1">
                  <from>
                    <xdr:col>4</xdr:col>
                    <xdr:colOff>457200</xdr:colOff>
                    <xdr:row>12</xdr:row>
                    <xdr:rowOff>76200</xdr:rowOff>
                  </from>
                  <to>
                    <xdr:col>5</xdr:col>
                    <xdr:colOff>1009650</xdr:colOff>
                    <xdr:row>16</xdr:row>
                    <xdr:rowOff>152400</xdr:rowOff>
                  </to>
                </anchor>
              </controlPr>
            </control>
          </mc:Choice>
        </mc:AlternateContent>
        <mc:AlternateContent xmlns:mc="http://schemas.openxmlformats.org/markup-compatibility/2006">
          <mc:Choice Requires="x14">
            <control shapeId="2157" r:id="rId9" name="Check Box 109">
              <controlPr defaultSize="0" autoFill="0" autoLine="0" autoPict="0" macro="[0]!Info">
                <anchor moveWithCells="1">
                  <from>
                    <xdr:col>1</xdr:col>
                    <xdr:colOff>19050</xdr:colOff>
                    <xdr:row>31</xdr:row>
                    <xdr:rowOff>104775</xdr:rowOff>
                  </from>
                  <to>
                    <xdr:col>2</xdr:col>
                    <xdr:colOff>161925</xdr:colOff>
                    <xdr:row>33</xdr:row>
                    <xdr:rowOff>66675</xdr:rowOff>
                  </to>
                </anchor>
              </controlPr>
            </control>
          </mc:Choice>
        </mc:AlternateContent>
        <mc:AlternateContent xmlns:mc="http://schemas.openxmlformats.org/markup-compatibility/2006">
          <mc:Choice Requires="x14">
            <control shapeId="2193" r:id="rId10" name="Check Box 145">
              <controlPr defaultSize="0" autoFill="0" autoLine="0" autoPict="0">
                <anchor moveWithCells="1">
                  <from>
                    <xdr:col>1</xdr:col>
                    <xdr:colOff>19050</xdr:colOff>
                    <xdr:row>32</xdr:row>
                    <xdr:rowOff>123825</xdr:rowOff>
                  </from>
                  <to>
                    <xdr:col>1</xdr:col>
                    <xdr:colOff>904875</xdr:colOff>
                    <xdr:row>34</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A1:HM71"/>
  <sheetViews>
    <sheetView showGridLines="0" topLeftCell="A10" zoomScale="80" zoomScaleNormal="80" workbookViewId="0">
      <selection activeCell="K60" sqref="K60"/>
    </sheetView>
  </sheetViews>
  <sheetFormatPr defaultRowHeight="12.75" x14ac:dyDescent="0.2"/>
  <cols>
    <col min="1" max="1" width="37.5703125" customWidth="1"/>
    <col min="2" max="2" width="2.140625" customWidth="1"/>
    <col min="3" max="3" width="14.5703125" customWidth="1"/>
    <col min="4" max="4" width="16.28515625" bestFit="1" customWidth="1"/>
    <col min="5" max="5" width="9.85546875" customWidth="1"/>
    <col min="6" max="6" width="5.5703125" customWidth="1"/>
    <col min="7" max="8" width="13.28515625" customWidth="1"/>
    <col min="9" max="9" width="14.5703125" customWidth="1"/>
    <col min="10" max="10" width="13.28515625" customWidth="1"/>
    <col min="11" max="11" width="7" customWidth="1"/>
    <col min="12" max="12" width="15" customWidth="1"/>
    <col min="13" max="13" width="16" customWidth="1"/>
    <col min="14" max="14" width="15.140625" bestFit="1" customWidth="1"/>
    <col min="15" max="15" width="17.28515625" bestFit="1" customWidth="1"/>
    <col min="16" max="16" width="12.85546875" bestFit="1" customWidth="1"/>
    <col min="18" max="18" width="13"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255</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6">
        <f ca="1">TODAY()</f>
        <v>45371</v>
      </c>
      <c r="B5" s="75"/>
      <c r="C5" s="75"/>
      <c r="D5" s="75"/>
      <c r="E5" s="75"/>
      <c r="F5" s="75"/>
      <c r="G5" s="75"/>
      <c r="H5" s="75"/>
      <c r="I5" s="75"/>
      <c r="J5" s="75"/>
      <c r="K5" s="75"/>
      <c r="L5" s="75"/>
      <c r="M5" s="75"/>
      <c r="N5" s="75"/>
      <c r="O5" s="75"/>
      <c r="P5" s="75"/>
    </row>
    <row r="6" spans="1:30" x14ac:dyDescent="0.2">
      <c r="A6" s="370" t="s">
        <v>252</v>
      </c>
      <c r="B6" s="370"/>
      <c r="C6" s="370"/>
      <c r="D6" s="370"/>
      <c r="E6" s="370"/>
      <c r="F6" s="370"/>
      <c r="G6" s="370"/>
      <c r="H6" s="370"/>
      <c r="I6" s="370"/>
      <c r="J6" s="370"/>
      <c r="K6" s="370"/>
      <c r="L6" s="370"/>
      <c r="M6" s="370"/>
      <c r="N6" s="370"/>
      <c r="O6" s="370"/>
      <c r="P6" s="370"/>
      <c r="Q6" s="370"/>
    </row>
    <row r="7" spans="1:30" x14ac:dyDescent="0.2">
      <c r="A7" s="351" t="s">
        <v>15</v>
      </c>
      <c r="B7" s="351"/>
      <c r="C7" s="351"/>
      <c r="D7" s="351"/>
      <c r="E7" s="351"/>
      <c r="F7" s="351"/>
      <c r="G7" s="351"/>
      <c r="H7" s="351"/>
      <c r="I7" s="351"/>
      <c r="J7" s="351"/>
      <c r="K7" s="351"/>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4"/>
      <c r="K12" s="94"/>
      <c r="L12" s="94"/>
      <c r="M12" s="94"/>
      <c r="N12" s="94"/>
      <c r="O12" s="94"/>
      <c r="P12" s="9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97" t="s">
        <v>27</v>
      </c>
      <c r="B13" s="18"/>
      <c r="C13" s="18"/>
      <c r="D13" s="18"/>
      <c r="E13" s="18"/>
      <c r="F13" s="18"/>
      <c r="G13" s="18"/>
      <c r="H13" s="18"/>
      <c r="I13" s="18"/>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221"/>
      <c r="T14" s="221"/>
      <c r="U14" s="221"/>
      <c r="V14" s="221"/>
      <c r="W14" s="221"/>
      <c r="X14" s="220"/>
      <c r="Y14" s="220"/>
      <c r="Z14" s="220"/>
      <c r="AA14" s="220"/>
      <c r="AB14" s="221"/>
      <c r="AC14" s="221"/>
      <c r="AD14" s="221"/>
    </row>
    <row r="15" spans="1:30" x14ac:dyDescent="0.2">
      <c r="A15" s="31" t="s">
        <v>43</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202"/>
      <c r="Y15" s="202"/>
      <c r="Z15" s="202"/>
      <c r="AA15" s="202"/>
      <c r="AB15" s="193"/>
      <c r="AC15" s="193"/>
      <c r="AD15" s="193"/>
    </row>
    <row r="16" spans="1:30" x14ac:dyDescent="0.2">
      <c r="A16" s="31"/>
      <c r="B16" s="31"/>
      <c r="C16" s="33"/>
      <c r="D16" s="33"/>
      <c r="E16" s="33"/>
      <c r="F16" s="33"/>
      <c r="G16" s="23"/>
      <c r="H16" s="31"/>
      <c r="I16" s="31"/>
      <c r="R16" s="78"/>
      <c r="S16" s="193"/>
      <c r="T16" s="193"/>
      <c r="U16" s="193"/>
      <c r="V16" s="193"/>
      <c r="W16" s="193"/>
      <c r="X16" s="193"/>
      <c r="Y16" s="193"/>
      <c r="Z16" s="193"/>
      <c r="AA16" s="193"/>
      <c r="AB16" s="193"/>
      <c r="AC16" s="193"/>
      <c r="AD16" s="193"/>
    </row>
    <row r="17" spans="1:221" x14ac:dyDescent="0.2">
      <c r="A17" s="28" t="s">
        <v>76</v>
      </c>
      <c r="B17" s="22"/>
      <c r="C17" s="22"/>
      <c r="D17" s="22"/>
      <c r="E17" s="22"/>
      <c r="F17" s="22"/>
      <c r="G17" s="362" t="s">
        <v>68</v>
      </c>
      <c r="H17" s="363"/>
      <c r="I17" s="363"/>
      <c r="J17" s="364"/>
      <c r="K17" s="22"/>
      <c r="L17" s="365" t="s">
        <v>69</v>
      </c>
      <c r="M17" s="365"/>
      <c r="N17" s="365"/>
      <c r="O17" s="365"/>
    </row>
    <row r="18" spans="1:221" x14ac:dyDescent="0.2">
      <c r="A18" s="18"/>
      <c r="B18" s="18"/>
      <c r="C18" s="18"/>
      <c r="D18" s="18"/>
      <c r="E18" s="18"/>
      <c r="F18" s="18"/>
      <c r="G18" s="8" t="s">
        <v>65</v>
      </c>
      <c r="H18" s="8" t="s">
        <v>66</v>
      </c>
      <c r="I18" s="8" t="s">
        <v>67</v>
      </c>
      <c r="J18" s="112" t="s">
        <v>34</v>
      </c>
      <c r="K18" s="18"/>
      <c r="L18" s="131" t="s">
        <v>65</v>
      </c>
      <c r="M18" s="131" t="s">
        <v>66</v>
      </c>
      <c r="N18" s="131" t="s">
        <v>67</v>
      </c>
      <c r="O18" s="132" t="s">
        <v>34</v>
      </c>
      <c r="P18" s="43" t="s">
        <v>57</v>
      </c>
    </row>
    <row r="19" spans="1:221" x14ac:dyDescent="0.2">
      <c r="A19" t="s">
        <v>32</v>
      </c>
      <c r="G19" s="83"/>
      <c r="H19" s="83"/>
      <c r="I19" s="125">
        <v>9.4</v>
      </c>
      <c r="J19" s="125">
        <f>SUM(G19:I19)</f>
        <v>9.4</v>
      </c>
      <c r="L19" s="125"/>
      <c r="M19" s="125"/>
      <c r="N19" s="125">
        <f>I19</f>
        <v>9.4</v>
      </c>
      <c r="O19" s="105">
        <f>+SUM(L19:N19)</f>
        <v>9.4</v>
      </c>
      <c r="P19" s="245">
        <v>44531</v>
      </c>
    </row>
    <row r="20" spans="1:221" x14ac:dyDescent="0.2">
      <c r="A20" t="s">
        <v>299</v>
      </c>
      <c r="D20" s="1">
        <f>C15</f>
        <v>1000</v>
      </c>
      <c r="E20" s="35" t="s">
        <v>41</v>
      </c>
      <c r="F20" s="4" t="s">
        <v>8</v>
      </c>
      <c r="G20" s="126"/>
      <c r="H20" s="127"/>
      <c r="I20" s="127">
        <v>2.05802E-2</v>
      </c>
      <c r="J20" s="127">
        <f>SUM(G20:I20)</f>
        <v>2.05802E-2</v>
      </c>
      <c r="K20" s="36" t="s">
        <v>42</v>
      </c>
      <c r="L20" s="129"/>
      <c r="M20" s="129"/>
      <c r="N20" s="129">
        <f>ROUND($D20*I20,2)</f>
        <v>20.58</v>
      </c>
      <c r="O20" s="105">
        <f>+SUM(L20:N20)</f>
        <v>20.58</v>
      </c>
      <c r="P20" s="245">
        <v>44531</v>
      </c>
    </row>
    <row r="21" spans="1:221" x14ac:dyDescent="0.2">
      <c r="A21" s="96" t="s">
        <v>75</v>
      </c>
      <c r="B21" s="37"/>
      <c r="C21" s="37"/>
      <c r="D21" s="38"/>
      <c r="E21" s="38"/>
      <c r="F21" s="37"/>
      <c r="G21" s="37"/>
      <c r="I21" s="40"/>
      <c r="K21" s="39"/>
      <c r="L21" s="95"/>
      <c r="M21" s="54"/>
      <c r="N21" s="95">
        <f>SUM(N19:N20)</f>
        <v>29.979999999999997</v>
      </c>
      <c r="O21" s="95">
        <f>SUM(O19:O20)</f>
        <v>29.979999999999997</v>
      </c>
    </row>
    <row r="22" spans="1:221" x14ac:dyDescent="0.2">
      <c r="A22" s="170"/>
      <c r="B22" s="170"/>
      <c r="C22" s="170"/>
      <c r="D22" s="171"/>
      <c r="E22" s="171"/>
      <c r="F22" s="170"/>
      <c r="G22" s="171"/>
      <c r="H22" s="171"/>
      <c r="I22" s="171"/>
      <c r="J22" s="171"/>
      <c r="K22" s="172"/>
      <c r="L22" s="171"/>
      <c r="M22" s="171"/>
      <c r="N22" s="171"/>
      <c r="O22" s="171"/>
      <c r="P22" s="171"/>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70</v>
      </c>
      <c r="B23" s="166"/>
      <c r="C23" s="166"/>
      <c r="D23" s="167"/>
      <c r="E23" s="167"/>
      <c r="F23" s="166"/>
      <c r="G23" s="167"/>
      <c r="H23" s="167"/>
      <c r="I23" s="167"/>
      <c r="J23" s="167"/>
      <c r="K23" s="167"/>
      <c r="L23" s="167"/>
      <c r="M23" s="167"/>
      <c r="N23" s="167"/>
      <c r="O23" s="167"/>
      <c r="P23" s="78"/>
      <c r="R23" s="175"/>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
      <c r="A24" s="151"/>
      <c r="B24" s="151"/>
      <c r="C24" s="151"/>
      <c r="D24" s="151"/>
      <c r="E24" s="151"/>
      <c r="F24" s="151"/>
      <c r="G24" s="151"/>
      <c r="H24" s="151"/>
      <c r="I24" s="151"/>
      <c r="J24" s="151"/>
      <c r="K24" s="151"/>
      <c r="L24" s="151"/>
      <c r="M24" s="151"/>
      <c r="N24" s="151"/>
      <c r="O24" s="151"/>
      <c r="P24" s="106"/>
      <c r="Q24" s="254"/>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
      <c r="A25" s="99" t="s">
        <v>79</v>
      </c>
      <c r="B25" s="176"/>
      <c r="C25" s="176"/>
      <c r="D25" s="100">
        <f>IF($C$15&lt;0,0,IF($C$15&gt;833000,833000,$C$15))</f>
        <v>1000</v>
      </c>
      <c r="E25" s="101" t="s">
        <v>41</v>
      </c>
      <c r="F25" s="102" t="s">
        <v>8</v>
      </c>
      <c r="G25" s="103"/>
      <c r="H25" s="103"/>
      <c r="I25" s="103">
        <f>'Rider Rates'!$B$4</f>
        <v>5.9216E-3</v>
      </c>
      <c r="J25" s="201">
        <f t="shared" ref="J25:J46" si="0">SUM(G25:I25)</f>
        <v>5.9216E-3</v>
      </c>
      <c r="K25" s="104" t="s">
        <v>42</v>
      </c>
      <c r="L25" s="105"/>
      <c r="M25" s="105"/>
      <c r="N25" s="105">
        <f>ROUND(D25*I25,2)</f>
        <v>5.92</v>
      </c>
      <c r="O25" s="105">
        <f>SUM(L25:N25)</f>
        <v>5.92</v>
      </c>
      <c r="P25" s="245">
        <f>'Rider Rates'!$D$4</f>
        <v>45293</v>
      </c>
      <c r="Q25" s="254"/>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99" t="s">
        <v>80</v>
      </c>
      <c r="B26" s="78"/>
      <c r="C26" s="78"/>
      <c r="D26" s="123">
        <f>IF($C$15&gt;833000,$C$15-833000,0)</f>
        <v>0</v>
      </c>
      <c r="E26" s="101" t="s">
        <v>41</v>
      </c>
      <c r="F26" s="102" t="s">
        <v>8</v>
      </c>
      <c r="G26" s="103"/>
      <c r="H26" s="103"/>
      <c r="I26" s="103">
        <f>'Rider Rates'!$B$5</f>
        <v>1.7560000000000001E-4</v>
      </c>
      <c r="J26" s="201">
        <f t="shared" si="0"/>
        <v>1.7560000000000001E-4</v>
      </c>
      <c r="K26" s="104" t="s">
        <v>42</v>
      </c>
      <c r="L26" s="105"/>
      <c r="M26" s="105"/>
      <c r="N26" s="105">
        <f>ROUND(D26*I26,2)</f>
        <v>0</v>
      </c>
      <c r="O26" s="105">
        <f>SUM(L26:N26)</f>
        <v>0</v>
      </c>
      <c r="P26" s="245">
        <f>'Rider Rates'!$D$4</f>
        <v>45293</v>
      </c>
      <c r="Q26" s="254"/>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97</v>
      </c>
      <c r="B27" s="78"/>
      <c r="C27" s="78"/>
      <c r="D27" s="1">
        <f>IF('Customer Info'!$C$32=TRUE,0,IF(C15&lt;0,0,IF(C15&gt;2000,2000,C15)))</f>
        <v>1000</v>
      </c>
      <c r="E27" s="101" t="s">
        <v>41</v>
      </c>
      <c r="F27" s="102" t="s">
        <v>8</v>
      </c>
      <c r="G27" s="103"/>
      <c r="H27" s="103"/>
      <c r="I27" s="177">
        <f>'Rider Rates'!$B$8</f>
        <v>4.6499999999999996E-3</v>
      </c>
      <c r="J27" s="177">
        <f t="shared" si="0"/>
        <v>4.6499999999999996E-3</v>
      </c>
      <c r="K27" s="104" t="s">
        <v>42</v>
      </c>
      <c r="L27" s="105"/>
      <c r="M27" s="105"/>
      <c r="N27" s="105">
        <f>ROUND(D27*I27,2)</f>
        <v>4.6500000000000004</v>
      </c>
      <c r="O27" s="105">
        <f>SUM(L27:N27)</f>
        <v>4.6500000000000004</v>
      </c>
      <c r="P27" s="245">
        <f>'Rider Rates'!$D$7</f>
        <v>44531</v>
      </c>
      <c r="Q27" s="254"/>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98</v>
      </c>
      <c r="B28" s="78"/>
      <c r="C28" s="78"/>
      <c r="D28" s="1">
        <f>IF('Customer Info'!$C$32=TRUE,0,IF(C15&gt;15000,13000,IF(C15&gt;2000,C15-2000,0)))</f>
        <v>0</v>
      </c>
      <c r="E28" s="101" t="s">
        <v>41</v>
      </c>
      <c r="F28" s="102" t="s">
        <v>8</v>
      </c>
      <c r="G28" s="103"/>
      <c r="H28" s="103"/>
      <c r="I28" s="177">
        <f>'Rider Rates'!$B$9</f>
        <v>4.1900000000000001E-3</v>
      </c>
      <c r="J28" s="177">
        <f t="shared" si="0"/>
        <v>4.1900000000000001E-3</v>
      </c>
      <c r="K28" s="104" t="s">
        <v>42</v>
      </c>
      <c r="L28" s="105"/>
      <c r="M28" s="105"/>
      <c r="N28" s="105">
        <f>ROUND(D28*I28,2)</f>
        <v>0</v>
      </c>
      <c r="O28" s="105">
        <f>SUM(L28:N28)</f>
        <v>0</v>
      </c>
      <c r="P28" s="245">
        <f>'Rider Rates'!$D$7</f>
        <v>44531</v>
      </c>
      <c r="Q28" s="254"/>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99</v>
      </c>
      <c r="B29" s="78"/>
      <c r="C29" s="78"/>
      <c r="D29" s="1">
        <f>IF('Customer Info'!$C$32=TRUE,0,IF(C15-D27-D28&gt;0,C15-D27-D28,0))</f>
        <v>0</v>
      </c>
      <c r="E29" s="101" t="s">
        <v>41</v>
      </c>
      <c r="F29" s="102" t="s">
        <v>8</v>
      </c>
      <c r="G29" s="103"/>
      <c r="H29" s="103"/>
      <c r="I29" s="177">
        <f>'Rider Rates'!$B$10</f>
        <v>3.63E-3</v>
      </c>
      <c r="J29" s="177">
        <f t="shared" si="0"/>
        <v>3.63E-3</v>
      </c>
      <c r="K29" s="104" t="s">
        <v>42</v>
      </c>
      <c r="L29" s="105"/>
      <c r="M29" s="105"/>
      <c r="N29" s="105">
        <f>ROUND(D29*I29,2)</f>
        <v>0</v>
      </c>
      <c r="O29" s="105">
        <f>SUM(L29:N29)</f>
        <v>0</v>
      </c>
      <c r="P29" s="245">
        <f>'Rider Rates'!$D$7</f>
        <v>44531</v>
      </c>
      <c r="Q29" s="254"/>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210" t="s">
        <v>239</v>
      </c>
      <c r="B30" s="78"/>
      <c r="C30" s="78"/>
      <c r="D30" s="195">
        <f>$N$21</f>
        <v>29.979999999999997</v>
      </c>
      <c r="E30" s="101" t="s">
        <v>122</v>
      </c>
      <c r="F30" s="102" t="s">
        <v>8</v>
      </c>
      <c r="G30" s="103"/>
      <c r="H30" s="103"/>
      <c r="I30" s="178">
        <f>'Rider Rates'!$B$18+'Rider Rates'!$E$18</f>
        <v>0</v>
      </c>
      <c r="J30" s="178">
        <f>SUM(G30:I30)</f>
        <v>0</v>
      </c>
      <c r="K30" s="104"/>
      <c r="L30" s="105"/>
      <c r="M30" s="105"/>
      <c r="N30" s="105">
        <f>ROUND($D$30*'Rider Rates'!$B$18,2)+ROUND($D$30*'Rider Rates'!$E$18,2)</f>
        <v>0</v>
      </c>
      <c r="O30" s="105">
        <f t="shared" ref="O30:O36" si="1">SUM(L30:N30)</f>
        <v>0</v>
      </c>
      <c r="P30" s="245">
        <f>MAX('Rider Rates'!$D$18,'Rider Rates'!$F$18)</f>
        <v>44531</v>
      </c>
      <c r="Q30" s="254"/>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210" t="s">
        <v>187</v>
      </c>
      <c r="B31" s="78"/>
      <c r="C31" s="78"/>
      <c r="D31" s="100">
        <f>'Customer Info'!$B$21+'Customer Info'!$B$22</f>
        <v>1000</v>
      </c>
      <c r="E31" s="101" t="s">
        <v>41</v>
      </c>
      <c r="F31" s="102" t="s">
        <v>8</v>
      </c>
      <c r="G31" s="103">
        <f>'Rider Rates'!B22</f>
        <v>0.10589</v>
      </c>
      <c r="H31" s="103"/>
      <c r="I31" s="103"/>
      <c r="J31" s="237">
        <f>SUM(G31:H31)</f>
        <v>0.10589</v>
      </c>
      <c r="K31" s="104" t="s">
        <v>42</v>
      </c>
      <c r="L31" s="105">
        <f>ROUND(D31*G31,2)</f>
        <v>105.89</v>
      </c>
      <c r="M31" s="105"/>
      <c r="N31" s="105"/>
      <c r="O31" s="105">
        <f t="shared" si="1"/>
        <v>105.89</v>
      </c>
      <c r="P31" s="245">
        <f>'Rider Rates'!$D$21</f>
        <v>45078</v>
      </c>
      <c r="Q31" s="254"/>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41" t="s">
        <v>163</v>
      </c>
      <c r="B32" s="78"/>
      <c r="C32" s="78"/>
      <c r="D32" s="1">
        <f>'Customer Info'!$B$21</f>
        <v>1000</v>
      </c>
      <c r="E32" s="101" t="s">
        <v>41</v>
      </c>
      <c r="F32" s="102" t="s">
        <v>8</v>
      </c>
      <c r="G32" s="103">
        <f>'Rider Rates'!B39</f>
        <v>9.9068000000000003E-3</v>
      </c>
      <c r="H32" s="103"/>
      <c r="I32" s="103"/>
      <c r="J32" s="237">
        <f>SUM(G32:H32)</f>
        <v>9.9068000000000003E-3</v>
      </c>
      <c r="K32" s="104" t="s">
        <v>42</v>
      </c>
      <c r="L32" s="105">
        <f>ROUND(D32*G32,2)</f>
        <v>9.91</v>
      </c>
      <c r="M32" s="105"/>
      <c r="N32" s="105"/>
      <c r="O32" s="105">
        <f t="shared" si="1"/>
        <v>9.91</v>
      </c>
      <c r="P32" s="245">
        <f>'Rider Rates'!D29</f>
        <v>45078</v>
      </c>
      <c r="Q32" s="254"/>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41" t="s">
        <v>221</v>
      </c>
      <c r="B33" s="78"/>
      <c r="C33" s="78"/>
      <c r="D33" s="1">
        <f>'Customer Info'!$B$22</f>
        <v>0</v>
      </c>
      <c r="E33" s="101" t="s">
        <v>41</v>
      </c>
      <c r="F33" s="102" t="s">
        <v>8</v>
      </c>
      <c r="G33" s="103">
        <f>'Rider Rates'!B40</f>
        <v>3.3899999999999997E-5</v>
      </c>
      <c r="H33" s="103"/>
      <c r="I33" s="103"/>
      <c r="J33" s="237">
        <f>SUM(G33:H33)</f>
        <v>3.3899999999999997E-5</v>
      </c>
      <c r="K33" s="104" t="s">
        <v>42</v>
      </c>
      <c r="L33" s="105">
        <f>ROUND(D33*G33,2)</f>
        <v>0</v>
      </c>
      <c r="M33" s="105"/>
      <c r="N33" s="105"/>
      <c r="O33" s="105">
        <f t="shared" si="1"/>
        <v>0</v>
      </c>
      <c r="P33" s="245">
        <f>'Rider Rates'!D30</f>
        <v>45078</v>
      </c>
      <c r="Q33" s="254"/>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194</v>
      </c>
      <c r="B34" s="78"/>
      <c r="C34" s="78"/>
      <c r="D34" s="100">
        <f>'Customer Info'!$B$21+'Customer Info'!$B$22</f>
        <v>1000</v>
      </c>
      <c r="E34" s="101" t="s">
        <v>41</v>
      </c>
      <c r="F34" s="102" t="s">
        <v>8</v>
      </c>
      <c r="G34" s="103">
        <f>'Rider Rates'!$B$42</f>
        <v>-4.8640000000000001E-4</v>
      </c>
      <c r="H34" s="103"/>
      <c r="I34" s="103"/>
      <c r="J34" s="237">
        <f>SUM(G34:H34)</f>
        <v>-4.8640000000000001E-4</v>
      </c>
      <c r="K34" s="104" t="s">
        <v>42</v>
      </c>
      <c r="L34" s="105">
        <f>ROUND(D34*G34,2)</f>
        <v>-0.49</v>
      </c>
      <c r="M34" s="105"/>
      <c r="N34" s="105"/>
      <c r="O34" s="105">
        <f t="shared" si="1"/>
        <v>-0.49</v>
      </c>
      <c r="P34" s="245">
        <f>'Rider Rates'!$D$42</f>
        <v>45383</v>
      </c>
      <c r="Q34" s="254"/>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41" t="s">
        <v>212</v>
      </c>
      <c r="B35" s="78"/>
      <c r="C35" s="78"/>
      <c r="D35" s="100">
        <f>IF($C$15&lt;0,0,IF($C$15&gt;833000,833000,$C$15))</f>
        <v>1000</v>
      </c>
      <c r="E35" s="101" t="s">
        <v>41</v>
      </c>
      <c r="F35" s="102" t="s">
        <v>8</v>
      </c>
      <c r="G35" s="103"/>
      <c r="H35" s="103"/>
      <c r="I35" s="103">
        <f>'Rider Rates'!D46</f>
        <v>1.7826999999999999E-3</v>
      </c>
      <c r="J35" s="103">
        <f>SUM(G35:I35)</f>
        <v>1.7826999999999999E-3</v>
      </c>
      <c r="K35" s="104" t="s">
        <v>42</v>
      </c>
      <c r="L35" s="105"/>
      <c r="M35" s="105"/>
      <c r="N35" s="105">
        <f>D35*J35</f>
        <v>1.7827</v>
      </c>
      <c r="O35" s="105">
        <f t="shared" si="1"/>
        <v>1.7827</v>
      </c>
      <c r="P35" s="245">
        <f>'Rider Rates'!E46</f>
        <v>45292</v>
      </c>
      <c r="Q35" s="254"/>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190</v>
      </c>
      <c r="B36" s="78"/>
      <c r="C36" s="78"/>
      <c r="D36" s="100">
        <f>IF($C$15&lt;0,0,$C$15)</f>
        <v>1000</v>
      </c>
      <c r="E36" s="113" t="s">
        <v>41</v>
      </c>
      <c r="F36" s="102" t="s">
        <v>8</v>
      </c>
      <c r="G36" s="103"/>
      <c r="H36" s="103">
        <f>'Rider Rates'!$B$53</f>
        <v>2.3467399999999999E-2</v>
      </c>
      <c r="I36" s="103"/>
      <c r="J36" s="103">
        <f>SUM(G36:I36)</f>
        <v>2.3467399999999999E-2</v>
      </c>
      <c r="K36" s="104" t="s">
        <v>42</v>
      </c>
      <c r="L36" s="105"/>
      <c r="M36" s="105">
        <f>ROUND(D36*H36,2)</f>
        <v>23.47</v>
      </c>
      <c r="N36" s="205"/>
      <c r="O36" s="105">
        <f t="shared" si="1"/>
        <v>23.47</v>
      </c>
      <c r="P36" s="245">
        <f>'Rider Rates'!$D$53</f>
        <v>45383</v>
      </c>
      <c r="Q36" s="254"/>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99" t="s">
        <v>96</v>
      </c>
      <c r="B37" s="78"/>
      <c r="C37" s="78"/>
      <c r="D37" s="100">
        <f>IF('Customer Info'!C34=TRUE,0,IF($C$15&lt;0,0,$C$15))</f>
        <v>1000</v>
      </c>
      <c r="E37" s="101" t="s">
        <v>41</v>
      </c>
      <c r="F37" s="102" t="s">
        <v>8</v>
      </c>
      <c r="G37" s="103"/>
      <c r="H37" s="103"/>
      <c r="I37" s="103">
        <f>'Rider Rates'!$B$67+'Rider Rates'!$C$67</f>
        <v>0</v>
      </c>
      <c r="J37" s="103">
        <f>SUM(G37:I37)</f>
        <v>0</v>
      </c>
      <c r="K37" s="104" t="s">
        <v>42</v>
      </c>
      <c r="L37" s="105"/>
      <c r="M37" s="105"/>
      <c r="N37" s="87">
        <f>ROUND($D$37*'Rider Rates'!$B$67,2)+ROUND($D$37*'Rider Rates'!$C$67,2)</f>
        <v>0</v>
      </c>
      <c r="O37" s="105">
        <f>SUM(L37:N37)</f>
        <v>0</v>
      </c>
      <c r="P37" s="245">
        <f>'Rider Rates'!$D$67</f>
        <v>44531</v>
      </c>
      <c r="Q37" s="254"/>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99" t="s">
        <v>96</v>
      </c>
      <c r="B38" s="78"/>
      <c r="C38" s="78"/>
      <c r="D38" s="100"/>
      <c r="E38" s="101" t="s">
        <v>115</v>
      </c>
      <c r="F38" s="102"/>
      <c r="G38" s="103"/>
      <c r="H38" s="103"/>
      <c r="I38" s="196">
        <f>'Rider Rates'!$B$73</f>
        <v>0</v>
      </c>
      <c r="J38" s="196">
        <f>IF('Customer Info'!C34=TRUE,0,SUM(G38:I38))</f>
        <v>0</v>
      </c>
      <c r="K38" s="104"/>
      <c r="L38" s="105"/>
      <c r="M38" s="105"/>
      <c r="N38" s="105">
        <f>J38</f>
        <v>0</v>
      </c>
      <c r="O38" s="105">
        <f>SUM(L38:N38)</f>
        <v>0</v>
      </c>
      <c r="P38" s="245">
        <f>'Rider Rates'!$D$73</f>
        <v>44197</v>
      </c>
      <c r="Q38" s="254"/>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81</v>
      </c>
      <c r="B39" s="78"/>
      <c r="C39" s="78"/>
      <c r="D39" s="195">
        <f>$N$21</f>
        <v>29.979999999999997</v>
      </c>
      <c r="E39" s="101" t="s">
        <v>122</v>
      </c>
      <c r="F39" s="102" t="s">
        <v>8</v>
      </c>
      <c r="G39" s="111"/>
      <c r="H39" s="112"/>
      <c r="I39" s="120">
        <f>'Rider Rates'!$B$80</f>
        <v>2.9347000000000002E-2</v>
      </c>
      <c r="J39" s="120">
        <f t="shared" si="0"/>
        <v>2.9347000000000002E-2</v>
      </c>
      <c r="K39" s="104"/>
      <c r="L39" s="105"/>
      <c r="M39" s="105"/>
      <c r="N39" s="105">
        <f>ROUND(D39*I39,2)</f>
        <v>0.88</v>
      </c>
      <c r="O39" s="105">
        <f>SUM(L39:N39)</f>
        <v>0.88</v>
      </c>
      <c r="P39" s="245">
        <f>'Rider Rates'!$D$80</f>
        <v>45383</v>
      </c>
      <c r="Q39" s="254"/>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82</v>
      </c>
      <c r="B40" s="78"/>
      <c r="C40" s="78"/>
      <c r="D40" s="195">
        <f>$N$21</f>
        <v>29.979999999999997</v>
      </c>
      <c r="E40" s="101" t="s">
        <v>122</v>
      </c>
      <c r="F40" s="102" t="s">
        <v>8</v>
      </c>
      <c r="G40" s="114"/>
      <c r="H40" s="115"/>
      <c r="I40" s="120">
        <f>'Rider Rates'!$B$82</f>
        <v>6.6985699999999995E-2</v>
      </c>
      <c r="J40" s="120">
        <f t="shared" si="0"/>
        <v>6.6985699999999995E-2</v>
      </c>
      <c r="K40" s="104"/>
      <c r="L40" s="105"/>
      <c r="M40" s="105"/>
      <c r="N40" s="105">
        <f>ROUND(D40*I40,2)</f>
        <v>2.0099999999999998</v>
      </c>
      <c r="O40" s="105">
        <f>SUM(L40:N40)</f>
        <v>2.0099999999999998</v>
      </c>
      <c r="P40" s="245">
        <f>'Rider Rates'!$D$82</f>
        <v>45167</v>
      </c>
      <c r="Q40" s="254"/>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208</v>
      </c>
      <c r="B41" s="78"/>
      <c r="C41" s="78"/>
      <c r="D41" s="195"/>
      <c r="E41" s="113" t="s">
        <v>115</v>
      </c>
      <c r="F41" s="106"/>
      <c r="G41" s="114"/>
      <c r="H41" s="115"/>
      <c r="I41" s="196">
        <f>'Rider Rates'!$B$86</f>
        <v>15.91</v>
      </c>
      <c r="J41" s="196">
        <f t="shared" si="0"/>
        <v>15.91</v>
      </c>
      <c r="K41" s="104"/>
      <c r="L41" s="105"/>
      <c r="M41" s="105"/>
      <c r="N41" s="105">
        <f>I41</f>
        <v>15.91</v>
      </c>
      <c r="O41" s="105">
        <f>SUM(L41:N41)</f>
        <v>15.91</v>
      </c>
      <c r="P41" s="245">
        <f>'Rider Rates'!$D$86</f>
        <v>45351</v>
      </c>
      <c r="Q41" s="254"/>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253</v>
      </c>
      <c r="B42" s="78"/>
      <c r="C42" s="78"/>
      <c r="D42" s="100">
        <f>$D$25</f>
        <v>1000</v>
      </c>
      <c r="E42" s="101" t="s">
        <v>41</v>
      </c>
      <c r="F42" s="102" t="s">
        <v>8</v>
      </c>
      <c r="G42" s="103"/>
      <c r="H42" s="103"/>
      <c r="I42" s="103"/>
      <c r="J42" s="103">
        <f>'Rider Rates'!$B$93</f>
        <v>0</v>
      </c>
      <c r="K42" s="104" t="s">
        <v>42</v>
      </c>
      <c r="L42" s="105"/>
      <c r="M42" s="105"/>
      <c r="N42" s="105"/>
      <c r="O42" s="105">
        <f>ROUND($D42*('Rider Rates'!B$93),2)</f>
        <v>0</v>
      </c>
      <c r="P42" s="245">
        <f>'Rider Rates'!$D$93</f>
        <v>44531</v>
      </c>
      <c r="Q42" s="253"/>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10" t="s">
        <v>254</v>
      </c>
      <c r="B43" s="78"/>
      <c r="C43" s="78"/>
      <c r="D43" s="100">
        <f>$D$26</f>
        <v>0</v>
      </c>
      <c r="E43" s="101"/>
      <c r="F43" s="102"/>
      <c r="G43" s="103"/>
      <c r="H43" s="103"/>
      <c r="I43" s="103"/>
      <c r="J43" s="103">
        <f>'Rider Rates'!$B$94</f>
        <v>0</v>
      </c>
      <c r="K43" s="104" t="s">
        <v>42</v>
      </c>
      <c r="L43" s="105"/>
      <c r="M43" s="105"/>
      <c r="N43" s="105"/>
      <c r="O43" s="105">
        <f>ROUND($D43*('Rider Rates'!B$94),2)</f>
        <v>0</v>
      </c>
      <c r="P43" s="245">
        <f>'Rider Rates'!$D$94</f>
        <v>44531</v>
      </c>
      <c r="Q43" s="253"/>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99" t="s">
        <v>157</v>
      </c>
      <c r="B44" s="78"/>
      <c r="C44" s="78"/>
      <c r="D44" s="195">
        <f>$N$21</f>
        <v>29.979999999999997</v>
      </c>
      <c r="E44" s="101" t="s">
        <v>122</v>
      </c>
      <c r="F44" s="102" t="s">
        <v>8</v>
      </c>
      <c r="G44" s="114"/>
      <c r="H44" s="115"/>
      <c r="I44" s="120">
        <f>'Rider Rates'!$B$100</f>
        <v>0.21398439999999999</v>
      </c>
      <c r="J44" s="120">
        <f t="shared" si="0"/>
        <v>0.21398439999999999</v>
      </c>
      <c r="K44" s="104"/>
      <c r="L44" s="105"/>
      <c r="M44" s="105"/>
      <c r="N44" s="105">
        <f>ROUND(D44*I44,2)</f>
        <v>6.42</v>
      </c>
      <c r="O44" s="105">
        <f t="shared" ref="O44:O50" si="2">SUM(L44:N44)</f>
        <v>6.42</v>
      </c>
      <c r="P44" s="245">
        <f>'Rider Rates'!$D$100</f>
        <v>45351</v>
      </c>
      <c r="Q44" s="253"/>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211</v>
      </c>
      <c r="B45" s="78"/>
      <c r="C45" s="78"/>
      <c r="D45" s="195"/>
      <c r="E45" s="113" t="s">
        <v>115</v>
      </c>
      <c r="F45" s="106"/>
      <c r="G45" s="114"/>
      <c r="H45" s="115"/>
      <c r="I45" s="196">
        <f>'Rider Rates'!$B$104</f>
        <v>0</v>
      </c>
      <c r="J45" s="196">
        <f t="shared" si="0"/>
        <v>0</v>
      </c>
      <c r="K45" s="104"/>
      <c r="L45" s="105"/>
      <c r="M45" s="105"/>
      <c r="N45" s="105">
        <f>I45</f>
        <v>0</v>
      </c>
      <c r="O45" s="105">
        <f t="shared" si="2"/>
        <v>0</v>
      </c>
      <c r="P45" s="245">
        <f>'Rider Rates'!$D$104</f>
        <v>44894</v>
      </c>
      <c r="Q45" s="253"/>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210" t="s">
        <v>220</v>
      </c>
      <c r="B46" s="78"/>
      <c r="C46" s="78"/>
      <c r="D46" s="195"/>
      <c r="E46" s="113" t="s">
        <v>115</v>
      </c>
      <c r="F46" s="106"/>
      <c r="G46" s="114"/>
      <c r="H46" s="115"/>
      <c r="I46" s="258">
        <f>'Rider Rates'!B117</f>
        <v>5.83</v>
      </c>
      <c r="J46" s="196">
        <f t="shared" si="0"/>
        <v>5.83</v>
      </c>
      <c r="K46" s="104"/>
      <c r="L46" s="105"/>
      <c r="M46" s="105"/>
      <c r="N46" s="260">
        <f>'Rider Rates'!B117</f>
        <v>5.83</v>
      </c>
      <c r="O46" s="105">
        <f t="shared" si="2"/>
        <v>5.83</v>
      </c>
      <c r="P46" s="245">
        <f>'Rider Rates'!D117</f>
        <v>45226</v>
      </c>
      <c r="Q46" s="253"/>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99" t="s">
        <v>158</v>
      </c>
      <c r="B47" s="78"/>
      <c r="C47" s="78"/>
      <c r="D47" s="100">
        <f>'Customer Info'!$B$21+'Customer Info'!$B$22</f>
        <v>1000</v>
      </c>
      <c r="E47" s="101" t="s">
        <v>41</v>
      </c>
      <c r="F47" s="102" t="s">
        <v>8</v>
      </c>
      <c r="G47" s="103">
        <f>'Rider Rates'!$B$107</f>
        <v>3.8972999999999998E-3</v>
      </c>
      <c r="H47" s="103"/>
      <c r="I47" s="120"/>
      <c r="J47" s="237">
        <f>SUM(G47:H47)</f>
        <v>3.8972999999999998E-3</v>
      </c>
      <c r="K47" s="104" t="s">
        <v>42</v>
      </c>
      <c r="L47" s="105">
        <f>ROUND(D47*G47,2)</f>
        <v>3.9</v>
      </c>
      <c r="M47" s="105"/>
      <c r="N47" s="105"/>
      <c r="O47" s="105">
        <f t="shared" si="2"/>
        <v>3.9</v>
      </c>
      <c r="P47" s="245">
        <f>'Rider Rates'!$D$107</f>
        <v>44531</v>
      </c>
      <c r="Q47" s="253"/>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210</v>
      </c>
      <c r="B48" s="78"/>
      <c r="C48" s="78"/>
      <c r="D48" s="100">
        <f>IF($C$15&lt;1,0,$C$15)</f>
        <v>1000</v>
      </c>
      <c r="E48" s="101" t="s">
        <v>41</v>
      </c>
      <c r="F48" s="249" t="s">
        <v>8</v>
      </c>
      <c r="G48" s="165"/>
      <c r="H48" s="165"/>
      <c r="I48" s="251">
        <f>'Rider Rates'!B113</f>
        <v>-6.2E-4</v>
      </c>
      <c r="J48" s="251">
        <f>SUM(G48:I48)</f>
        <v>-6.2E-4</v>
      </c>
      <c r="K48" s="104" t="s">
        <v>42</v>
      </c>
      <c r="L48" s="105"/>
      <c r="M48" s="105"/>
      <c r="N48" s="105">
        <f>D48*J48</f>
        <v>-0.62</v>
      </c>
      <c r="O48" s="105">
        <f t="shared" si="2"/>
        <v>-0.62</v>
      </c>
      <c r="P48" s="245">
        <f>'Rider Rates'!D113</f>
        <v>44531</v>
      </c>
      <c r="Q48" s="253"/>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78" t="s">
        <v>235</v>
      </c>
      <c r="B49" s="78"/>
      <c r="C49" s="78"/>
      <c r="D49" s="100">
        <f>IF(C15&lt;0,0,IF(C15&gt;833000,833000,C15))</f>
        <v>1000</v>
      </c>
      <c r="E49" s="101" t="s">
        <v>41</v>
      </c>
      <c r="F49" s="102" t="s">
        <v>8</v>
      </c>
      <c r="G49" s="265"/>
      <c r="H49" s="265"/>
      <c r="I49" s="265">
        <f>'Rider Rates'!$B$121</f>
        <v>2.9050000000000001E-4</v>
      </c>
      <c r="J49" s="265">
        <f>SUM(G49:I49)</f>
        <v>2.9050000000000001E-4</v>
      </c>
      <c r="K49" s="104" t="s">
        <v>42</v>
      </c>
      <c r="L49" s="266"/>
      <c r="M49" s="266"/>
      <c r="N49" s="266">
        <f>IF(D49*J49&gt;'Rider Rates'!$C$121,'Rider Rates'!$C$121,D49*J49)</f>
        <v>0.29050000000000004</v>
      </c>
      <c r="O49" s="266">
        <f t="shared" si="2"/>
        <v>0.29050000000000004</v>
      </c>
      <c r="P49" s="264">
        <f>'Rider Rates'!$E$121</f>
        <v>45292</v>
      </c>
      <c r="Q49" s="253"/>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78" t="s">
        <v>236</v>
      </c>
      <c r="B50" s="78"/>
      <c r="C50" s="78"/>
      <c r="D50" s="123">
        <f>IF(C15&gt;833000,C15-833000,0)</f>
        <v>0</v>
      </c>
      <c r="E50" s="101" t="s">
        <v>41</v>
      </c>
      <c r="F50" s="102" t="s">
        <v>8</v>
      </c>
      <c r="G50" s="265"/>
      <c r="H50" s="265"/>
      <c r="I50" s="265">
        <f>'Rider Rates'!$B$122</f>
        <v>0</v>
      </c>
      <c r="J50" s="265">
        <f>SUM(G50:I50)</f>
        <v>0</v>
      </c>
      <c r="K50" s="104" t="s">
        <v>42</v>
      </c>
      <c r="L50" s="266"/>
      <c r="M50" s="266"/>
      <c r="N50" s="266">
        <f>D50*J50</f>
        <v>0</v>
      </c>
      <c r="O50" s="266">
        <f t="shared" si="2"/>
        <v>0</v>
      </c>
      <c r="P50" s="264">
        <f>'Rider Rates'!$E$122</f>
        <v>44927</v>
      </c>
      <c r="Q50" s="253"/>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41" t="s">
        <v>244</v>
      </c>
      <c r="B51" s="78"/>
      <c r="C51" s="78"/>
      <c r="D51" s="100">
        <f>C14</f>
        <v>0</v>
      </c>
      <c r="E51" s="101" t="s">
        <v>41</v>
      </c>
      <c r="F51" s="249" t="s">
        <v>8</v>
      </c>
      <c r="G51" s="103"/>
      <c r="H51" s="103"/>
      <c r="I51" s="103">
        <f>'Rider Rates'!$B$126</f>
        <v>0</v>
      </c>
      <c r="J51" s="237">
        <f>SUM(G51:I51)</f>
        <v>0</v>
      </c>
      <c r="K51" s="104" t="s">
        <v>42</v>
      </c>
      <c r="L51" s="105"/>
      <c r="M51" s="105"/>
      <c r="N51" s="105">
        <f>D51*J51</f>
        <v>0</v>
      </c>
      <c r="O51" s="105">
        <f>SUM(L51:N51)</f>
        <v>0</v>
      </c>
      <c r="P51" s="245">
        <f>'Rider Rates'!$D$126</f>
        <v>44531</v>
      </c>
      <c r="Q51" s="253"/>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41" t="s">
        <v>243</v>
      </c>
      <c r="B52" s="78"/>
      <c r="C52" s="78"/>
      <c r="D52" s="100"/>
      <c r="E52" s="101" t="s">
        <v>115</v>
      </c>
      <c r="F52" s="102" t="s">
        <v>8</v>
      </c>
      <c r="G52" s="263"/>
      <c r="H52" s="263"/>
      <c r="I52" s="263">
        <f>'Rider Rates'!$B$133</f>
        <v>0</v>
      </c>
      <c r="J52" s="263">
        <f>SUM(G52:I52)</f>
        <v>0</v>
      </c>
      <c r="K52" s="104"/>
      <c r="L52" s="209"/>
      <c r="M52" s="209"/>
      <c r="N52" s="209">
        <f>J52</f>
        <v>0</v>
      </c>
      <c r="O52" s="209">
        <f>SUM(L52:N52)</f>
        <v>0</v>
      </c>
      <c r="P52" s="264">
        <f>'Rider Rates'!$D$133</f>
        <v>44531</v>
      </c>
      <c r="Q52" s="253"/>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41" t="s">
        <v>245</v>
      </c>
      <c r="B53" s="78"/>
      <c r="C53" s="78"/>
      <c r="D53" s="100"/>
      <c r="E53" s="101"/>
      <c r="F53" s="102"/>
      <c r="G53" s="263"/>
      <c r="H53" s="263"/>
      <c r="I53" s="263"/>
      <c r="J53" s="263"/>
      <c r="K53" s="104"/>
      <c r="L53" s="209"/>
      <c r="M53" s="209"/>
      <c r="N53" s="209"/>
      <c r="O53" s="209"/>
      <c r="P53" s="264"/>
      <c r="Q53" s="253"/>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179" t="s">
        <v>71</v>
      </c>
      <c r="B54" s="148"/>
      <c r="C54" s="148"/>
      <c r="D54" s="180"/>
      <c r="E54" s="181"/>
      <c r="F54" s="182"/>
      <c r="G54" s="182"/>
      <c r="H54" s="182"/>
      <c r="I54" s="182"/>
      <c r="J54" s="182"/>
      <c r="K54" s="183"/>
      <c r="L54" s="169">
        <f>SUM(L25:L53)</f>
        <v>119.21000000000001</v>
      </c>
      <c r="M54" s="169">
        <f t="shared" ref="M54:O54" si="3">SUM(M25:M53)</f>
        <v>23.47</v>
      </c>
      <c r="N54" s="169">
        <f t="shared" si="3"/>
        <v>43.073200000000007</v>
      </c>
      <c r="O54" s="169">
        <f t="shared" si="3"/>
        <v>185.75319999999999</v>
      </c>
      <c r="P54" s="184"/>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78"/>
      <c r="B55" s="78"/>
      <c r="C55" s="78"/>
      <c r="D55" s="100"/>
      <c r="E55" s="113"/>
      <c r="F55" s="106"/>
      <c r="G55" s="106"/>
      <c r="H55" s="106"/>
      <c r="I55" s="106"/>
      <c r="J55" s="107"/>
      <c r="K55" s="104"/>
      <c r="L55" s="106"/>
      <c r="M55" s="169"/>
      <c r="N55" s="106"/>
      <c r="O55" s="106"/>
      <c r="P55" s="164"/>
      <c r="Q55" s="106"/>
      <c r="R55" s="188"/>
      <c r="S55" s="108"/>
      <c r="T55" s="109"/>
      <c r="U55" s="78"/>
      <c r="V55" s="10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81" t="s">
        <v>72</v>
      </c>
      <c r="B56" s="170"/>
      <c r="C56" s="170"/>
      <c r="D56" s="170"/>
      <c r="E56" s="170"/>
      <c r="F56" s="170"/>
      <c r="G56" s="170"/>
      <c r="H56" s="170"/>
      <c r="I56" s="170"/>
      <c r="J56" s="170"/>
      <c r="K56" s="170"/>
      <c r="L56" s="186">
        <f>L21+L54</f>
        <v>119.21000000000001</v>
      </c>
      <c r="M56" s="186">
        <f>M21+M54</f>
        <v>23.47</v>
      </c>
      <c r="N56" s="186">
        <f>N21+N54</f>
        <v>73.053200000000004</v>
      </c>
      <c r="O56" s="187">
        <f>O21+O54</f>
        <v>215.73319999999998</v>
      </c>
      <c r="P56" s="187"/>
      <c r="Q56" s="106"/>
      <c r="R56" s="166"/>
      <c r="S56" s="166"/>
      <c r="T56" s="189"/>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04"/>
      <c r="B57" s="78"/>
      <c r="C57" s="78"/>
      <c r="D57" s="78"/>
      <c r="E57" s="78"/>
      <c r="F57" s="78"/>
      <c r="G57" s="78"/>
      <c r="H57" s="78"/>
      <c r="I57" s="78"/>
      <c r="J57" s="78"/>
      <c r="K57" s="78"/>
      <c r="L57" s="78"/>
      <c r="M57" s="78"/>
      <c r="N57" s="151"/>
      <c r="O57" s="151"/>
      <c r="P57" s="151"/>
      <c r="Q57" s="166"/>
      <c r="R57" s="166"/>
      <c r="S57" s="166"/>
      <c r="T57" s="189"/>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147"/>
      <c r="B58" s="78"/>
      <c r="C58" s="78"/>
      <c r="D58" s="78"/>
      <c r="E58" s="78"/>
      <c r="F58" s="78"/>
      <c r="G58" s="78"/>
      <c r="H58" s="78"/>
      <c r="I58" s="78"/>
      <c r="J58" s="78"/>
      <c r="K58" s="78"/>
      <c r="L58" s="78"/>
      <c r="M58" s="78"/>
      <c r="N58" s="151"/>
      <c r="O58" s="151"/>
      <c r="P58" s="151"/>
      <c r="Q58" s="16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166" t="s">
        <v>93</v>
      </c>
      <c r="B59" s="78"/>
      <c r="C59" s="78"/>
      <c r="D59" s="166"/>
      <c r="E59" s="78"/>
      <c r="F59" s="78"/>
      <c r="G59" s="78"/>
      <c r="H59" s="78"/>
      <c r="I59" s="78"/>
      <c r="J59" s="78"/>
      <c r="K59" s="78"/>
      <c r="L59" s="78"/>
      <c r="M59" s="78"/>
      <c r="N59" s="78"/>
      <c r="O59" s="109">
        <f>O19+O54</f>
        <v>195.1532</v>
      </c>
      <c r="P59" s="151"/>
      <c r="Q59" s="16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147"/>
      <c r="B60" s="166"/>
      <c r="C60" s="166"/>
      <c r="D60" s="166"/>
      <c r="E60" s="166"/>
      <c r="F60" s="166"/>
      <c r="G60" s="166"/>
      <c r="H60" s="166"/>
      <c r="I60" s="78"/>
      <c r="J60" s="78"/>
      <c r="K60" s="78"/>
      <c r="L60" s="78"/>
      <c r="M60" s="78"/>
      <c r="N60" s="151"/>
      <c r="O60" s="151"/>
      <c r="P60" s="151"/>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148" t="s">
        <v>117</v>
      </c>
      <c r="B61" s="151"/>
      <c r="C61" s="151"/>
      <c r="D61" s="151"/>
      <c r="E61" s="151"/>
      <c r="F61" s="151"/>
      <c r="G61" s="151"/>
      <c r="H61" s="151"/>
      <c r="I61" s="151"/>
      <c r="J61" s="151"/>
      <c r="K61" s="151"/>
      <c r="L61" s="151"/>
      <c r="M61" s="151"/>
      <c r="N61" s="151"/>
      <c r="O61" s="190">
        <f>IF($C$15&lt;0,O56,IF(O56&gt;O59,O56,O59))</f>
        <v>215.73319999999998</v>
      </c>
      <c r="P61" s="160"/>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147"/>
    </row>
    <row r="63" spans="1:221" x14ac:dyDescent="0.2">
      <c r="A63" s="147"/>
      <c r="I63" s="166" t="s">
        <v>121</v>
      </c>
      <c r="J63" s="166"/>
      <c r="K63" s="166"/>
      <c r="L63" s="191"/>
      <c r="M63" s="191"/>
      <c r="N63" s="191"/>
      <c r="O63" s="191">
        <f>ROUND(IF($C$15&lt;1,0,O56/($C$15*100)*10000),2)</f>
        <v>21.57</v>
      </c>
      <c r="P63" s="37" t="s">
        <v>87</v>
      </c>
    </row>
    <row r="64" spans="1:221" x14ac:dyDescent="0.2">
      <c r="A64" s="147"/>
      <c r="I64" s="242"/>
      <c r="J64" s="78"/>
      <c r="K64" s="78"/>
      <c r="L64" s="78"/>
      <c r="M64" s="78"/>
      <c r="N64" s="78"/>
      <c r="O64" s="243"/>
      <c r="P64" s="25"/>
    </row>
    <row r="65" spans="1:1" x14ac:dyDescent="0.2">
      <c r="A65" s="147"/>
    </row>
    <row r="66" spans="1:1" x14ac:dyDescent="0.2">
      <c r="A66" s="147"/>
    </row>
    <row r="67" spans="1:1" x14ac:dyDescent="0.2">
      <c r="A67" s="147"/>
    </row>
    <row r="68" spans="1:1" x14ac:dyDescent="0.2">
      <c r="A68" s="147"/>
    </row>
    <row r="69" spans="1:1" x14ac:dyDescent="0.2">
      <c r="A69" s="147"/>
    </row>
    <row r="70" spans="1:1" x14ac:dyDescent="0.2">
      <c r="A70" s="147"/>
    </row>
    <row r="71" spans="1:1" x14ac:dyDescent="0.2">
      <c r="A71" s="147"/>
    </row>
  </sheetData>
  <sheetProtection algorithmName="SHA-512" hashValue="27ZV2gC/wHeMbSxP7N8WV769fX8ps3i+bRntEJy7ChRZwPJo4WQfsGSdrZrlXf0xX//xDfZ0lM4pDXM2qmnwZQ==" saltValue="h9erxfIk09d32A8kxD1ApQ==" spinCount="100000" sheet="1" objects="1" scenarios="1"/>
  <mergeCells count="9">
    <mergeCell ref="A1:P1"/>
    <mergeCell ref="A2:P2"/>
    <mergeCell ref="G17:J17"/>
    <mergeCell ref="L17:O17"/>
    <mergeCell ref="A12:I12"/>
    <mergeCell ref="A7:K7"/>
    <mergeCell ref="A3:P3"/>
    <mergeCell ref="A4:P4"/>
    <mergeCell ref="A6:Q6"/>
  </mergeCells>
  <phoneticPr fontId="0" type="noConversion"/>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64514" r:id="rId5" name="Button 2">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64515"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64516"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64517" r:id="rId8" name="Button 5">
              <controlPr defaultSize="0" print="0" autoFill="0" autoPict="0" macro="[0]!Info">
                <anchor moveWithCells="1">
                  <from>
                    <xdr:col>14</xdr:col>
                    <xdr:colOff>561975</xdr:colOff>
                    <xdr:row>77</xdr:row>
                    <xdr:rowOff>9525</xdr:rowOff>
                  </from>
                  <to>
                    <xdr:col>14</xdr:col>
                    <xdr:colOff>1085850</xdr:colOff>
                    <xdr:row>78</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D162A-2283-4A6A-9D34-CE3E3998CE30}">
  <dimension ref="A1:IB66"/>
  <sheetViews>
    <sheetView showGridLines="0" topLeftCell="A13" zoomScale="80" zoomScaleNormal="80" workbookViewId="0">
      <selection activeCell="O63" sqref="O63"/>
    </sheetView>
  </sheetViews>
  <sheetFormatPr defaultRowHeight="12.75" x14ac:dyDescent="0.2"/>
  <cols>
    <col min="1" max="1" width="31" customWidth="1"/>
    <col min="2" max="2" width="2.140625" customWidth="1"/>
    <col min="3" max="3" width="21.140625" customWidth="1"/>
    <col min="4" max="4" width="15.28515625" customWidth="1"/>
    <col min="5" max="5" width="10.140625" customWidth="1"/>
    <col min="6" max="6" width="5.5703125" customWidth="1"/>
    <col min="7" max="8" width="13.28515625" customWidth="1"/>
    <col min="9" max="9" width="14.5703125" customWidth="1"/>
    <col min="10" max="10" width="13.28515625" customWidth="1"/>
    <col min="11" max="11" width="7" customWidth="1"/>
    <col min="12" max="12" width="15.140625" customWidth="1"/>
    <col min="13" max="13" width="17.28515625" bestFit="1" customWidth="1"/>
    <col min="14" max="14" width="16.7109375" customWidth="1"/>
    <col min="15" max="15" width="19.140625" bestFit="1" customWidth="1"/>
    <col min="16" max="16" width="12.85546875" bestFit="1" customWidth="1"/>
    <col min="18" max="18" width="9.1406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84</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row>
    <row r="6" spans="1:30" x14ac:dyDescent="0.2">
      <c r="A6" s="335">
        <f ca="1">TODAY()</f>
        <v>45371</v>
      </c>
      <c r="B6" s="210" t="s">
        <v>231</v>
      </c>
      <c r="C6" s="335"/>
      <c r="D6" s="335"/>
      <c r="E6" s="335"/>
      <c r="F6" s="335"/>
      <c r="G6" s="335"/>
      <c r="H6" s="335"/>
      <c r="I6" s="335"/>
    </row>
    <row r="7" spans="1:30" ht="26.25" x14ac:dyDescent="0.4">
      <c r="A7" s="369"/>
      <c r="B7" s="369"/>
      <c r="C7" s="369"/>
      <c r="D7" s="369"/>
      <c r="E7" s="369"/>
      <c r="F7" s="369"/>
      <c r="G7" s="369"/>
      <c r="H7" s="369"/>
      <c r="I7" s="369"/>
      <c r="J7" s="369"/>
      <c r="K7" s="369"/>
      <c r="L7" s="369"/>
      <c r="M7" s="369"/>
      <c r="N7" s="369"/>
      <c r="O7" s="369"/>
      <c r="P7" s="369"/>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2"/>
      <c r="K12" s="92"/>
      <c r="L12" s="128"/>
      <c r="M12" s="128"/>
      <c r="N12" s="128"/>
      <c r="O12" s="128"/>
      <c r="P12" s="12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28" t="s">
        <v>27</v>
      </c>
      <c r="B13" s="22"/>
      <c r="C13" s="22"/>
      <c r="D13" s="22"/>
      <c r="E13" s="22"/>
      <c r="F13" s="22"/>
      <c r="G13" s="22"/>
      <c r="H13" s="22"/>
      <c r="I13" s="22"/>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
      <c r="A15" s="31" t="s">
        <v>52</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193"/>
      <c r="Y15" s="193"/>
      <c r="Z15" s="193"/>
      <c r="AA15" s="193"/>
      <c r="AB15" s="193"/>
      <c r="AC15" s="193"/>
      <c r="AD15" s="193"/>
    </row>
    <row r="16" spans="1:30" x14ac:dyDescent="0.2">
      <c r="A16" s="31" t="s">
        <v>227</v>
      </c>
      <c r="B16" s="31"/>
      <c r="C16" s="32">
        <f>'Customer Info'!B21</f>
        <v>1000</v>
      </c>
      <c r="D16" s="31" t="s">
        <v>41</v>
      </c>
      <c r="E16" s="31"/>
      <c r="F16" s="33"/>
      <c r="G16" s="23" t="s">
        <v>15</v>
      </c>
      <c r="H16" s="31"/>
    </row>
    <row r="17" spans="1:221" x14ac:dyDescent="0.2">
      <c r="A17" s="31" t="s">
        <v>228</v>
      </c>
      <c r="B17" s="31"/>
      <c r="C17" s="32">
        <f>'Customer Info'!B22</f>
        <v>0</v>
      </c>
      <c r="D17" s="262" t="s">
        <v>41</v>
      </c>
      <c r="E17" s="33"/>
      <c r="F17" s="33"/>
      <c r="G17" s="23" t="s">
        <v>15</v>
      </c>
      <c r="H17" s="31"/>
      <c r="I17" s="52" t="s">
        <v>15</v>
      </c>
    </row>
    <row r="19" spans="1:221" x14ac:dyDescent="0.2">
      <c r="A19" s="28" t="s">
        <v>31</v>
      </c>
      <c r="B19" s="22"/>
      <c r="C19" s="22"/>
      <c r="D19" s="22"/>
      <c r="E19" s="22"/>
      <c r="F19" s="22"/>
      <c r="G19" s="362" t="s">
        <v>68</v>
      </c>
      <c r="H19" s="363"/>
      <c r="I19" s="363"/>
      <c r="J19" s="364"/>
      <c r="K19" s="22"/>
      <c r="L19" s="365" t="s">
        <v>69</v>
      </c>
      <c r="M19" s="365"/>
      <c r="N19" s="365"/>
      <c r="O19" s="365"/>
    </row>
    <row r="20" spans="1:221" x14ac:dyDescent="0.2">
      <c r="A20" s="18"/>
      <c r="B20" s="18"/>
      <c r="C20" s="18"/>
      <c r="D20" s="18"/>
      <c r="E20" s="18"/>
      <c r="F20" s="18"/>
      <c r="G20" s="8" t="s">
        <v>65</v>
      </c>
      <c r="H20" s="8" t="s">
        <v>66</v>
      </c>
      <c r="I20" s="8" t="s">
        <v>67</v>
      </c>
      <c r="J20" s="112" t="s">
        <v>34</v>
      </c>
      <c r="K20" s="18"/>
      <c r="L20" s="336" t="s">
        <v>65</v>
      </c>
      <c r="M20" s="336" t="s">
        <v>66</v>
      </c>
      <c r="N20" s="336" t="s">
        <v>67</v>
      </c>
      <c r="O20" s="132" t="s">
        <v>34</v>
      </c>
      <c r="P20" s="43" t="s">
        <v>57</v>
      </c>
    </row>
    <row r="21" spans="1:221" x14ac:dyDescent="0.2">
      <c r="A21" t="s">
        <v>32</v>
      </c>
      <c r="G21" s="86"/>
      <c r="H21" s="86"/>
      <c r="I21" s="86">
        <v>9.4</v>
      </c>
      <c r="J21" s="86">
        <f>SUM(G21:I21)</f>
        <v>9.4</v>
      </c>
      <c r="L21" s="88"/>
      <c r="M21" s="88"/>
      <c r="N21" s="88">
        <f>I21</f>
        <v>9.4</v>
      </c>
      <c r="O21" s="209">
        <f>SUM(L21:N21)</f>
        <v>9.4</v>
      </c>
      <c r="P21" s="245">
        <v>44531</v>
      </c>
    </row>
    <row r="22" spans="1:221" x14ac:dyDescent="0.2">
      <c r="A22" s="287" t="s">
        <v>132</v>
      </c>
      <c r="D22" s="1">
        <f>C15</f>
        <v>1000</v>
      </c>
      <c r="E22" s="35" t="s">
        <v>41</v>
      </c>
      <c r="F22" s="4" t="s">
        <v>8</v>
      </c>
      <c r="G22" s="84"/>
      <c r="H22" s="84"/>
      <c r="I22" s="84">
        <v>2.05802E-2</v>
      </c>
      <c r="J22" s="84">
        <f>SUM(G22:I22)</f>
        <v>2.05802E-2</v>
      </c>
      <c r="K22" s="36" t="s">
        <v>42</v>
      </c>
      <c r="L22" s="87"/>
      <c r="M22" s="87"/>
      <c r="N22" s="87">
        <f>IF(C15&lt;0,0,ROUND($D22*I22,2))</f>
        <v>20.58</v>
      </c>
      <c r="O22" s="209">
        <f>SUM(L22:N22)</f>
        <v>20.58</v>
      </c>
      <c r="P22" s="245">
        <v>44531</v>
      </c>
    </row>
    <row r="23" spans="1:221" x14ac:dyDescent="0.2">
      <c r="A23" s="37" t="s">
        <v>50</v>
      </c>
      <c r="B23" s="37"/>
      <c r="C23" s="37"/>
      <c r="D23" s="38"/>
      <c r="E23" s="38"/>
      <c r="F23" s="37"/>
      <c r="G23" s="37"/>
      <c r="H23" s="37"/>
      <c r="I23" s="37"/>
      <c r="J23" s="37"/>
      <c r="K23" s="39"/>
      <c r="L23" s="40"/>
      <c r="M23" s="40"/>
      <c r="N23" s="40">
        <f>SUM(N21:N22)</f>
        <v>29.979999999999997</v>
      </c>
      <c r="O23" s="40">
        <f>SUM(O21:O22)</f>
        <v>29.979999999999997</v>
      </c>
    </row>
    <row r="24" spans="1:221" x14ac:dyDescent="0.2">
      <c r="A24" s="89"/>
      <c r="B24" s="89"/>
      <c r="C24" s="90"/>
      <c r="D24" s="90"/>
      <c r="E24" s="90"/>
      <c r="F24" s="90"/>
      <c r="G24" s="91"/>
      <c r="H24" s="91"/>
      <c r="I24" s="91"/>
      <c r="J24" s="91"/>
      <c r="K24" s="89"/>
      <c r="L24" s="89"/>
      <c r="M24" s="89"/>
      <c r="N24" s="89"/>
      <c r="O24" s="89"/>
      <c r="P24" s="89"/>
    </row>
    <row r="25" spans="1:221" x14ac:dyDescent="0.2">
      <c r="A25" s="148" t="s">
        <v>70</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79</v>
      </c>
      <c r="B27" s="176"/>
      <c r="C27" s="176"/>
      <c r="D27" s="100">
        <f>IF($C$15&lt;0,0,IF($C$15&gt;833000,833000,$C$15))</f>
        <v>1000</v>
      </c>
      <c r="E27" s="101" t="s">
        <v>41</v>
      </c>
      <c r="F27" s="102" t="s">
        <v>8</v>
      </c>
      <c r="G27" s="103"/>
      <c r="H27" s="103"/>
      <c r="I27" s="103">
        <f>'Rider Rates'!$B$4</f>
        <v>5.9216E-3</v>
      </c>
      <c r="J27" s="103">
        <f t="shared" ref="J27:J48" si="0">SUM(G27:I27)</f>
        <v>5.9216E-3</v>
      </c>
      <c r="K27" s="104" t="s">
        <v>42</v>
      </c>
      <c r="L27" s="105"/>
      <c r="M27" s="105"/>
      <c r="N27" s="105">
        <f t="shared" ref="N27:N32" si="1">ROUND(D27*I27,2)</f>
        <v>5.92</v>
      </c>
      <c r="O27" s="105">
        <f t="shared" ref="O27:O49" si="2">SUM(L27:N27)</f>
        <v>5.92</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80</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97</v>
      </c>
      <c r="B29" s="78"/>
      <c r="C29" s="78"/>
      <c r="D29" s="100">
        <f>IF('Customer Info'!$C$32=TRUE,0,IF($C$15&lt;0,0,IF($C$15&gt;2000,2000,$C$15)))</f>
        <v>1000</v>
      </c>
      <c r="E29" s="101" t="s">
        <v>41</v>
      </c>
      <c r="F29" s="102" t="s">
        <v>8</v>
      </c>
      <c r="G29" s="103"/>
      <c r="H29" s="103"/>
      <c r="I29" s="177">
        <f>'Rider Rates'!$B$8</f>
        <v>4.6499999999999996E-3</v>
      </c>
      <c r="J29" s="177">
        <f t="shared" si="0"/>
        <v>4.6499999999999996E-3</v>
      </c>
      <c r="K29" s="104" t="s">
        <v>42</v>
      </c>
      <c r="L29" s="105"/>
      <c r="M29" s="105"/>
      <c r="N29" s="105">
        <f t="shared" si="1"/>
        <v>4.6500000000000004</v>
      </c>
      <c r="O29" s="105">
        <f t="shared" si="2"/>
        <v>4.6500000000000004</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98</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99</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10" t="s">
        <v>160</v>
      </c>
      <c r="B32" s="78"/>
      <c r="C32" s="78"/>
      <c r="D32" s="100">
        <f>IF($C$15&lt;0,0,$C$15)</f>
        <v>1000</v>
      </c>
      <c r="E32" s="101" t="s">
        <v>41</v>
      </c>
      <c r="F32" s="102" t="s">
        <v>8</v>
      </c>
      <c r="G32" s="103"/>
      <c r="H32" s="103"/>
      <c r="I32" s="103">
        <f>'Rider Rates'!$B$16</f>
        <v>0</v>
      </c>
      <c r="J32" s="103">
        <f>SUM(G32:I32)</f>
        <v>0</v>
      </c>
      <c r="K32" s="104" t="s">
        <v>42</v>
      </c>
      <c r="L32" s="105"/>
      <c r="M32" s="105"/>
      <c r="N32" s="105">
        <f t="shared" si="1"/>
        <v>0</v>
      </c>
      <c r="O32" s="105">
        <f t="shared" si="2"/>
        <v>0</v>
      </c>
      <c r="P32" s="245">
        <f>'Rider Rates'!$D$16</f>
        <v>45322</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239</v>
      </c>
      <c r="B33" s="78"/>
      <c r="C33" s="78"/>
      <c r="D33" s="195">
        <f>$N$23</f>
        <v>29.979999999999997</v>
      </c>
      <c r="E33" s="101" t="s">
        <v>122</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187</v>
      </c>
      <c r="B34" s="78"/>
      <c r="C34" s="78"/>
      <c r="D34" s="100">
        <f>'GS-PEV'!C16+'GS-PEV'!C17</f>
        <v>1000</v>
      </c>
      <c r="E34" s="101" t="s">
        <v>41</v>
      </c>
      <c r="F34" s="102" t="s">
        <v>8</v>
      </c>
      <c r="G34" s="103">
        <f>'Rider Rates'!B22</f>
        <v>0.10589</v>
      </c>
      <c r="H34" s="103"/>
      <c r="I34" s="103"/>
      <c r="J34" s="237">
        <f>SUM(G34:H34)</f>
        <v>0.10589</v>
      </c>
      <c r="K34" s="104" t="s">
        <v>42</v>
      </c>
      <c r="L34" s="105">
        <f>ROUND(D34*G34,2)</f>
        <v>105.89</v>
      </c>
      <c r="M34" s="105"/>
      <c r="N34" s="105"/>
      <c r="O34" s="105">
        <f t="shared" si="2"/>
        <v>105.89</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10" t="s">
        <v>163</v>
      </c>
      <c r="B35" s="78"/>
      <c r="C35" s="78"/>
      <c r="D35" s="100">
        <f>C16</f>
        <v>1000</v>
      </c>
      <c r="E35" s="101" t="s">
        <v>41</v>
      </c>
      <c r="F35" s="102" t="s">
        <v>8</v>
      </c>
      <c r="G35" s="103">
        <f>'Rider Rates'!B35</f>
        <v>2.7757E-2</v>
      </c>
      <c r="H35" s="103"/>
      <c r="I35" s="103"/>
      <c r="J35" s="237">
        <f>SUM(G35:H35)</f>
        <v>2.7757E-2</v>
      </c>
      <c r="K35" s="104" t="s">
        <v>42</v>
      </c>
      <c r="L35" s="105">
        <f>ROUND(D35*G35,2)</f>
        <v>27.76</v>
      </c>
      <c r="M35" s="105"/>
      <c r="N35" s="105"/>
      <c r="O35" s="105">
        <f t="shared" si="2"/>
        <v>27.76</v>
      </c>
      <c r="P35" s="245">
        <f>'Rider Rates'!$D$35</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221</v>
      </c>
      <c r="B36" s="78"/>
      <c r="C36" s="78"/>
      <c r="D36" s="100">
        <f>C17</f>
        <v>0</v>
      </c>
      <c r="E36" s="101" t="s">
        <v>41</v>
      </c>
      <c r="F36" s="249" t="s">
        <v>8</v>
      </c>
      <c r="G36" s="103">
        <f>'Rider Rates'!B36</f>
        <v>0</v>
      </c>
      <c r="H36" s="103"/>
      <c r="I36" s="103"/>
      <c r="J36" s="237">
        <f>SUM(G36:H36)</f>
        <v>0</v>
      </c>
      <c r="K36" s="104" t="s">
        <v>42</v>
      </c>
      <c r="L36" s="105">
        <f>ROUND(D36*G36,2)</f>
        <v>0</v>
      </c>
      <c r="M36" s="105"/>
      <c r="N36" s="105"/>
      <c r="O36" s="105">
        <f t="shared" si="2"/>
        <v>0</v>
      </c>
      <c r="P36" s="245">
        <f>'Rider Rates'!D36</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194</v>
      </c>
      <c r="B37" s="78"/>
      <c r="C37" s="78"/>
      <c r="D37" s="100">
        <f>C16+C17</f>
        <v>1000</v>
      </c>
      <c r="E37" s="101" t="s">
        <v>41</v>
      </c>
      <c r="F37" s="102" t="s">
        <v>8</v>
      </c>
      <c r="G37" s="103">
        <f>'Rider Rates'!$B$42</f>
        <v>-4.8640000000000001E-4</v>
      </c>
      <c r="H37" s="103"/>
      <c r="I37" s="103"/>
      <c r="J37" s="237">
        <f>SUM(G37:H37)</f>
        <v>-4.8640000000000001E-4</v>
      </c>
      <c r="K37" s="104" t="s">
        <v>42</v>
      </c>
      <c r="L37" s="105">
        <f>ROUND(D37*G37,2)</f>
        <v>-0.49</v>
      </c>
      <c r="M37" s="105"/>
      <c r="N37" s="105"/>
      <c r="O37" s="105">
        <f t="shared" si="2"/>
        <v>-0.49</v>
      </c>
      <c r="P37" s="245">
        <f>'Rider Rates'!$D$42</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41" t="s">
        <v>212</v>
      </c>
      <c r="B38" s="78"/>
      <c r="C38" s="78"/>
      <c r="D38" s="100">
        <f>IF($C$15&lt;0,0,IF($C$15&gt;833000,833000,$C$15))</f>
        <v>1000</v>
      </c>
      <c r="E38" s="101" t="s">
        <v>41</v>
      </c>
      <c r="F38" s="102" t="s">
        <v>8</v>
      </c>
      <c r="G38" s="103"/>
      <c r="H38" s="103"/>
      <c r="I38" s="103">
        <f>'Rider Rates'!D46</f>
        <v>1.7826999999999999E-3</v>
      </c>
      <c r="J38" s="103">
        <f>SUM(G38:I38)</f>
        <v>1.7826999999999999E-3</v>
      </c>
      <c r="K38" s="104" t="s">
        <v>42</v>
      </c>
      <c r="L38" s="105"/>
      <c r="M38" s="105"/>
      <c r="N38" s="105">
        <f>D38*J38</f>
        <v>1.7827</v>
      </c>
      <c r="O38" s="105">
        <f t="shared" si="2"/>
        <v>1.7827</v>
      </c>
      <c r="P38" s="245">
        <f>'Rider Rates'!E46</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10" t="s">
        <v>190</v>
      </c>
      <c r="B39" s="78"/>
      <c r="C39" s="78"/>
      <c r="D39" s="100">
        <f>IF($C$15&lt;0,0,$C$15)</f>
        <v>1000</v>
      </c>
      <c r="E39" s="113" t="s">
        <v>41</v>
      </c>
      <c r="F39" s="102" t="s">
        <v>8</v>
      </c>
      <c r="G39" s="103"/>
      <c r="H39" s="103">
        <f>'Rider Rates'!$B$53</f>
        <v>2.3467399999999999E-2</v>
      </c>
      <c r="I39" s="103"/>
      <c r="J39" s="103">
        <f>SUM(G39:I39)</f>
        <v>2.3467399999999999E-2</v>
      </c>
      <c r="K39" s="104" t="s">
        <v>42</v>
      </c>
      <c r="L39" s="105"/>
      <c r="M39" s="105">
        <f>ROUND(D39*H39,2)</f>
        <v>23.47</v>
      </c>
      <c r="N39" s="205"/>
      <c r="O39" s="105">
        <f t="shared" si="2"/>
        <v>23.47</v>
      </c>
      <c r="P39" s="245">
        <f>'Rider Rates'!$D$53</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96</v>
      </c>
      <c r="B40" s="78"/>
      <c r="C40" s="78"/>
      <c r="D40" s="100">
        <f>IF('Customer Info'!C34=TRUE,0,IF($C$15&lt;0,0,$C$15))</f>
        <v>1000</v>
      </c>
      <c r="E40" s="101" t="s">
        <v>41</v>
      </c>
      <c r="F40" s="102" t="s">
        <v>8</v>
      </c>
      <c r="G40" s="103"/>
      <c r="H40" s="103"/>
      <c r="I40" s="103">
        <f>'Rider Rates'!$B$65+'Rider Rates'!$C$65</f>
        <v>0</v>
      </c>
      <c r="J40" s="103">
        <f t="shared" si="0"/>
        <v>0</v>
      </c>
      <c r="K40" s="104" t="s">
        <v>42</v>
      </c>
      <c r="L40" s="105"/>
      <c r="M40" s="105"/>
      <c r="N40" s="105">
        <f>ROUND($D$40*'Rider Rates'!$B$65,2)+ROUND($D$40*'Rider Rates'!$C$65,2)</f>
        <v>0</v>
      </c>
      <c r="O40" s="105">
        <f t="shared" si="2"/>
        <v>0</v>
      </c>
      <c r="P40" s="245">
        <f>'Rider Rates'!$D$65</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96</v>
      </c>
      <c r="B41" s="78"/>
      <c r="C41" s="78"/>
      <c r="D41" s="100"/>
      <c r="E41" s="101" t="s">
        <v>115</v>
      </c>
      <c r="F41" s="102"/>
      <c r="G41" s="103"/>
      <c r="H41" s="103"/>
      <c r="I41" s="196">
        <f>'Rider Rates'!$B$72</f>
        <v>0</v>
      </c>
      <c r="J41" s="196">
        <f>IF('Customer Info'!C34=TRUE,0,SUM(G41:I41))</f>
        <v>0</v>
      </c>
      <c r="K41" s="104"/>
      <c r="L41" s="105"/>
      <c r="M41" s="105"/>
      <c r="N41" s="105">
        <f>J41</f>
        <v>0</v>
      </c>
      <c r="O41" s="105">
        <f>SUM(L41:N41)</f>
        <v>0</v>
      </c>
      <c r="P41" s="245">
        <f>'Rider Rates'!$D$72</f>
        <v>44197</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81</v>
      </c>
      <c r="B42" s="78"/>
      <c r="C42" s="78"/>
      <c r="D42" s="195">
        <f>$N$23</f>
        <v>29.979999999999997</v>
      </c>
      <c r="E42" s="101" t="s">
        <v>122</v>
      </c>
      <c r="F42" s="102" t="s">
        <v>8</v>
      </c>
      <c r="G42" s="111"/>
      <c r="H42" s="112"/>
      <c r="I42" s="120">
        <f>'Rider Rates'!$B$80</f>
        <v>2.9347000000000002E-2</v>
      </c>
      <c r="J42" s="120">
        <f t="shared" si="0"/>
        <v>2.9347000000000002E-2</v>
      </c>
      <c r="K42" s="104"/>
      <c r="L42" s="105"/>
      <c r="M42" s="105"/>
      <c r="N42" s="105">
        <f>ROUND(D42*I42,2)</f>
        <v>0.88</v>
      </c>
      <c r="O42" s="105">
        <f t="shared" si="2"/>
        <v>0.88</v>
      </c>
      <c r="P42" s="245">
        <f>'Rider Rates'!$D$80</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99" t="s">
        <v>82</v>
      </c>
      <c r="B43" s="78"/>
      <c r="C43" s="78"/>
      <c r="D43" s="195">
        <f>$N$23</f>
        <v>29.979999999999997</v>
      </c>
      <c r="E43" s="101" t="s">
        <v>122</v>
      </c>
      <c r="F43" s="102" t="s">
        <v>8</v>
      </c>
      <c r="G43" s="114"/>
      <c r="H43" s="115"/>
      <c r="I43" s="120">
        <f>'Rider Rates'!$B$82</f>
        <v>6.6985699999999995E-2</v>
      </c>
      <c r="J43" s="120">
        <f t="shared" si="0"/>
        <v>6.6985699999999995E-2</v>
      </c>
      <c r="K43" s="104"/>
      <c r="L43" s="105"/>
      <c r="M43" s="105"/>
      <c r="N43" s="105">
        <f>ROUND(D43*I43,2)</f>
        <v>2.0099999999999998</v>
      </c>
      <c r="O43" s="105">
        <f t="shared" si="2"/>
        <v>2.0099999999999998</v>
      </c>
      <c r="P43" s="245">
        <f>'Rider Rates'!$D$82</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208</v>
      </c>
      <c r="B44" s="78"/>
      <c r="C44" s="78"/>
      <c r="D44" s="195"/>
      <c r="E44" s="113" t="s">
        <v>115</v>
      </c>
      <c r="F44" s="106"/>
      <c r="G44" s="114"/>
      <c r="H44" s="115"/>
      <c r="I44" s="196">
        <f>'Rider Rates'!$B$86</f>
        <v>15.91</v>
      </c>
      <c r="J44" s="196">
        <f t="shared" si="0"/>
        <v>15.91</v>
      </c>
      <c r="K44" s="104"/>
      <c r="L44" s="105"/>
      <c r="M44" s="105"/>
      <c r="N44" s="105">
        <f>I44</f>
        <v>15.91</v>
      </c>
      <c r="O44" s="105">
        <f t="shared" si="2"/>
        <v>15.91</v>
      </c>
      <c r="P44" s="245">
        <f>'Rider Rates'!$D$86</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241</v>
      </c>
      <c r="B45" s="78"/>
      <c r="C45" s="78"/>
      <c r="D45" s="100">
        <f>IF($C$15&lt;0,0,$C$15)</f>
        <v>1000</v>
      </c>
      <c r="E45" s="101" t="s">
        <v>41</v>
      </c>
      <c r="F45" s="102" t="s">
        <v>8</v>
      </c>
      <c r="G45" s="103"/>
      <c r="H45" s="103"/>
      <c r="I45" s="103"/>
      <c r="J45" s="103">
        <f>'Rider Rates'!$B$90</f>
        <v>0</v>
      </c>
      <c r="K45" s="104" t="s">
        <v>42</v>
      </c>
      <c r="L45" s="105"/>
      <c r="M45" s="105"/>
      <c r="N45" s="105"/>
      <c r="O45" s="105">
        <f>ROUND($D45*('Rider Rates'!B$90),2)</f>
        <v>0</v>
      </c>
      <c r="P45" s="245">
        <f>'Rider Rates'!$D$90</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157</v>
      </c>
      <c r="B46" s="78"/>
      <c r="C46" s="78"/>
      <c r="D46" s="195">
        <f>$N$23</f>
        <v>29.979999999999997</v>
      </c>
      <c r="E46" s="101" t="s">
        <v>122</v>
      </c>
      <c r="F46" s="102" t="s">
        <v>8</v>
      </c>
      <c r="G46" s="114"/>
      <c r="H46" s="115"/>
      <c r="I46" s="120">
        <f>'Rider Rates'!$B$100</f>
        <v>0.21398439999999999</v>
      </c>
      <c r="J46" s="120">
        <f t="shared" si="0"/>
        <v>0.21398439999999999</v>
      </c>
      <c r="K46" s="104"/>
      <c r="L46" s="105"/>
      <c r="M46" s="105"/>
      <c r="N46" s="105">
        <f>ROUND(D46*I46,2)</f>
        <v>6.42</v>
      </c>
      <c r="O46" s="105">
        <f t="shared" si="2"/>
        <v>6.42</v>
      </c>
      <c r="P46" s="245">
        <f>'Rider Rates'!$D$100</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211</v>
      </c>
      <c r="B47" s="78"/>
      <c r="C47" s="78"/>
      <c r="D47" s="195"/>
      <c r="E47" s="113" t="s">
        <v>115</v>
      </c>
      <c r="F47" s="106"/>
      <c r="G47" s="114"/>
      <c r="H47" s="115"/>
      <c r="I47" s="196">
        <f>'Rider Rates'!$B$104</f>
        <v>0</v>
      </c>
      <c r="J47" s="196">
        <f t="shared" si="0"/>
        <v>0</v>
      </c>
      <c r="K47" s="104"/>
      <c r="L47" s="105"/>
      <c r="M47" s="105"/>
      <c r="N47" s="105">
        <f>I47</f>
        <v>0</v>
      </c>
      <c r="O47" s="105">
        <f t="shared" si="2"/>
        <v>0</v>
      </c>
      <c r="P47" s="245">
        <f>'Rider Rates'!$D$104</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219</v>
      </c>
      <c r="B48" s="78"/>
      <c r="C48" s="78"/>
      <c r="D48" s="195"/>
      <c r="E48" s="113" t="s">
        <v>115</v>
      </c>
      <c r="F48" s="106"/>
      <c r="G48" s="114"/>
      <c r="H48" s="115"/>
      <c r="I48" s="258">
        <f>'Rider Rates'!B117</f>
        <v>5.83</v>
      </c>
      <c r="J48" s="196">
        <f t="shared" si="0"/>
        <v>5.83</v>
      </c>
      <c r="K48" s="104"/>
      <c r="L48" s="105"/>
      <c r="M48" s="105"/>
      <c r="N48" s="260">
        <f>I48</f>
        <v>5.83</v>
      </c>
      <c r="O48" s="105">
        <f t="shared" si="2"/>
        <v>5.83</v>
      </c>
      <c r="P48" s="245">
        <f>'Rider Rates'!D117</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99" t="s">
        <v>158</v>
      </c>
      <c r="B49" s="78"/>
      <c r="C49" s="78"/>
      <c r="D49" s="100">
        <f>C16+C17</f>
        <v>1000</v>
      </c>
      <c r="E49" s="101" t="s">
        <v>41</v>
      </c>
      <c r="F49" s="102" t="s">
        <v>8</v>
      </c>
      <c r="G49" s="103">
        <f>'Rider Rates'!$B$107</f>
        <v>3.8972999999999998E-3</v>
      </c>
      <c r="H49" s="103"/>
      <c r="I49" s="120"/>
      <c r="J49" s="237">
        <f>SUM(G49:H49)</f>
        <v>3.8972999999999998E-3</v>
      </c>
      <c r="K49" s="104" t="s">
        <v>42</v>
      </c>
      <c r="L49" s="105">
        <f>ROUND(D49*G49,2)</f>
        <v>3.9</v>
      </c>
      <c r="M49" s="105"/>
      <c r="N49" s="105"/>
      <c r="O49" s="105">
        <f t="shared" si="2"/>
        <v>3.9</v>
      </c>
      <c r="P49" s="245">
        <f>'Rider Rates'!$D$107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10" t="s">
        <v>210</v>
      </c>
      <c r="B50" s="78"/>
      <c r="C50" s="78"/>
      <c r="D50" s="100">
        <f>IF($C$15&lt;1,0,$C$15)</f>
        <v>1000</v>
      </c>
      <c r="E50" s="101" t="s">
        <v>41</v>
      </c>
      <c r="F50" s="249" t="s">
        <v>8</v>
      </c>
      <c r="G50" s="165"/>
      <c r="H50" s="165"/>
      <c r="I50" s="251">
        <f>'Rider Rates'!B113</f>
        <v>-6.2E-4</v>
      </c>
      <c r="J50" s="251">
        <f>SUM(G50:I50)</f>
        <v>-6.2E-4</v>
      </c>
      <c r="K50" s="104" t="s">
        <v>42</v>
      </c>
      <c r="L50" s="105"/>
      <c r="M50" s="105"/>
      <c r="N50" s="105">
        <f>D50*J50</f>
        <v>-0.62</v>
      </c>
      <c r="O50" s="105">
        <f>SUM(L50:N50)</f>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78" t="s">
        <v>235</v>
      </c>
      <c r="B51" s="78"/>
      <c r="C51" s="78"/>
      <c r="D51" s="100">
        <f>IF(C15&lt;0,0,IF(C15&gt;833000,833000,C15))</f>
        <v>1000</v>
      </c>
      <c r="E51" s="101" t="s">
        <v>41</v>
      </c>
      <c r="F51" s="102" t="s">
        <v>8</v>
      </c>
      <c r="G51" s="265"/>
      <c r="H51" s="265"/>
      <c r="I51" s="265">
        <f>'Rider Rates'!$B$121</f>
        <v>2.9050000000000001E-4</v>
      </c>
      <c r="J51" s="265">
        <f>SUM(G51:I51)</f>
        <v>2.9050000000000001E-4</v>
      </c>
      <c r="K51" s="104" t="s">
        <v>42</v>
      </c>
      <c r="L51" s="266"/>
      <c r="M51" s="266"/>
      <c r="N51" s="266">
        <f>IF(D51*J51&gt;'Rider Rates'!$C$121,'Rider Rates'!$C$121,D51*J51)</f>
        <v>0.29050000000000004</v>
      </c>
      <c r="O51" s="266">
        <f>SUM(L51:N51)</f>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78" t="s">
        <v>236</v>
      </c>
      <c r="B52" s="78"/>
      <c r="C52" s="78"/>
      <c r="D52" s="123">
        <f>IF(C15&gt;833000,C15-833000,0)</f>
        <v>0</v>
      </c>
      <c r="E52" s="101" t="s">
        <v>41</v>
      </c>
      <c r="F52" s="102" t="s">
        <v>8</v>
      </c>
      <c r="G52" s="265"/>
      <c r="H52" s="265"/>
      <c r="I52" s="265">
        <f>'Rider Rates'!$B$122</f>
        <v>0</v>
      </c>
      <c r="J52" s="265">
        <f>SUM(G52:I52)</f>
        <v>0</v>
      </c>
      <c r="K52" s="104" t="s">
        <v>42</v>
      </c>
      <c r="L52" s="266"/>
      <c r="M52" s="266"/>
      <c r="N52" s="266">
        <f>D52*J52</f>
        <v>0</v>
      </c>
      <c r="O52" s="266">
        <f>SUM(L52:N52)</f>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241" t="s">
        <v>244</v>
      </c>
      <c r="B53" s="78"/>
      <c r="C53" s="78"/>
      <c r="D53" s="100">
        <f>C15</f>
        <v>1000</v>
      </c>
      <c r="E53" s="101" t="s">
        <v>41</v>
      </c>
      <c r="F53" s="249" t="s">
        <v>8</v>
      </c>
      <c r="G53" s="103"/>
      <c r="H53" s="103"/>
      <c r="I53" s="103">
        <f>'Rider Rates'!$B$126</f>
        <v>0</v>
      </c>
      <c r="J53" s="237">
        <f>SUM(G53:I53)</f>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241" t="s">
        <v>243</v>
      </c>
      <c r="B54" s="78"/>
      <c r="C54" s="78"/>
      <c r="D54" s="100"/>
      <c r="E54" s="101" t="s">
        <v>115</v>
      </c>
      <c r="F54" s="102" t="s">
        <v>8</v>
      </c>
      <c r="G54" s="263"/>
      <c r="H54" s="263"/>
      <c r="I54" s="263">
        <f>'Rider Rates'!$B$133</f>
        <v>0</v>
      </c>
      <c r="J54" s="263">
        <f>SUM(G54:I54)</f>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179" t="s">
        <v>71</v>
      </c>
      <c r="B56" s="148"/>
      <c r="C56" s="148"/>
      <c r="D56" s="180"/>
      <c r="E56" s="181"/>
      <c r="F56" s="182"/>
      <c r="G56" s="182"/>
      <c r="H56" s="182"/>
      <c r="I56" s="182"/>
      <c r="J56" s="182"/>
      <c r="K56" s="183"/>
      <c r="L56" s="169">
        <f>SUM(L27:L55)</f>
        <v>137.06</v>
      </c>
      <c r="M56" s="169">
        <f t="shared" ref="M56:O56" si="3">SUM(M27:M55)</f>
        <v>23.47</v>
      </c>
      <c r="N56" s="169">
        <f t="shared" si="3"/>
        <v>43.073200000000007</v>
      </c>
      <c r="O56" s="169">
        <f t="shared" si="3"/>
        <v>203.60319999999999</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85" t="s">
        <v>94</v>
      </c>
      <c r="B58" s="170"/>
      <c r="C58" s="170"/>
      <c r="D58" s="170"/>
      <c r="E58" s="170"/>
      <c r="F58" s="170"/>
      <c r="G58" s="170"/>
      <c r="H58" s="170"/>
      <c r="I58" s="170"/>
      <c r="J58" s="170"/>
      <c r="K58" s="170"/>
      <c r="L58" s="186">
        <f>L23+L56</f>
        <v>137.06</v>
      </c>
      <c r="M58" s="186">
        <f>M23+M56</f>
        <v>23.47</v>
      </c>
      <c r="N58" s="186">
        <f>N23+N56</f>
        <v>73.053200000000004</v>
      </c>
      <c r="O58" s="187">
        <f>O23+O56</f>
        <v>233.58319999999998</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x14ac:dyDescent="0.2">
      <c r="A61" s="166" t="s">
        <v>93</v>
      </c>
      <c r="B61" s="78"/>
      <c r="C61" s="78"/>
      <c r="D61" s="78"/>
      <c r="E61" s="78"/>
      <c r="F61" s="78"/>
      <c r="G61" s="78"/>
      <c r="H61" s="78"/>
      <c r="I61" s="78"/>
      <c r="J61" s="78"/>
      <c r="K61" s="78"/>
      <c r="L61" s="78"/>
      <c r="M61" s="78"/>
      <c r="N61" s="78"/>
      <c r="O61" s="109">
        <f>O21+O56</f>
        <v>213.00319999999999</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x14ac:dyDescent="0.2">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x14ac:dyDescent="0.2">
      <c r="A63" s="148" t="s">
        <v>117</v>
      </c>
      <c r="B63" s="151"/>
      <c r="C63" s="151"/>
      <c r="D63" s="151"/>
      <c r="E63" s="151"/>
      <c r="F63" s="151"/>
      <c r="G63" s="151"/>
      <c r="H63" s="151"/>
      <c r="I63" s="151"/>
      <c r="J63" s="151"/>
      <c r="K63" s="151"/>
      <c r="L63" s="151"/>
      <c r="M63" s="151"/>
      <c r="N63" s="151"/>
      <c r="O63" s="190">
        <f>IF($D$17&lt;0,O58,IF(O58&gt;O61,O58,O61))</f>
        <v>233.58319999999998</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2">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x14ac:dyDescent="0.2">
      <c r="A65" s="148"/>
      <c r="B65" s="166"/>
      <c r="C65" s="166"/>
      <c r="D65" s="166"/>
      <c r="E65" s="166"/>
      <c r="F65" s="166"/>
      <c r="G65" s="166"/>
      <c r="H65" s="166"/>
      <c r="I65" s="166" t="s">
        <v>121</v>
      </c>
      <c r="J65" s="166"/>
      <c r="K65" s="166"/>
      <c r="L65" s="191"/>
      <c r="M65" s="191"/>
      <c r="N65" s="191"/>
      <c r="O65" s="191">
        <f>ROUND(IF($C$15&lt;1,0,O58/($C$15*100)*10000),2)</f>
        <v>23.36</v>
      </c>
      <c r="P65" s="37" t="s">
        <v>87</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x14ac:dyDescent="0.2">
      <c r="B66" s="78"/>
      <c r="C66" s="78"/>
      <c r="D66" s="78"/>
      <c r="E66" s="78"/>
      <c r="F66" s="78"/>
      <c r="G66" s="78"/>
      <c r="H66" s="192"/>
      <c r="I66" s="242" t="s">
        <v>191</v>
      </c>
      <c r="J66" s="78"/>
      <c r="K66" s="78"/>
      <c r="L66" s="78"/>
      <c r="M66" s="78"/>
      <c r="N66" s="78"/>
      <c r="O66" s="243">
        <f>ROUND(IF($C$15&lt;1,0,(L58)/($C$15*100)*10000),2)</f>
        <v>13.71</v>
      </c>
      <c r="P66" s="25" t="s">
        <v>87</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y6w9QxuYBj2expW71aA3G1FrsR1nxGesHecmc2YQFwiv4Vmw+wOyYXsixEOhRfzU+E/ET+6zqQuJWsOHEelPmQ==" saltValue="bcTK6fsbtWnnW03V9ZDAdg=="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Button 1">
              <controlPr defaultSize="0" print="0" autoFill="0" autoPict="0" macro="[0]!Info">
                <anchor moveWithCells="1">
                  <from>
                    <xdr:col>0</xdr:col>
                    <xdr:colOff>57150</xdr:colOff>
                    <xdr:row>0</xdr:row>
                    <xdr:rowOff>38100</xdr:rowOff>
                  </from>
                  <to>
                    <xdr:col>0</xdr:col>
                    <xdr:colOff>571500</xdr:colOff>
                    <xdr:row>0</xdr:row>
                    <xdr:rowOff>247650</xdr:rowOff>
                  </to>
                </anchor>
              </controlPr>
            </control>
          </mc:Choice>
        </mc:AlternateContent>
        <mc:AlternateContent xmlns:mc="http://schemas.openxmlformats.org/markup-compatibility/2006">
          <mc:Choice Requires="x14">
            <control shapeId="128002" r:id="rId5" name="Button 2">
              <controlPr defaultSize="0" print="0" autoFill="0" autoPict="0" macro="[0]!Info">
                <anchor moveWithCells="1">
                  <from>
                    <xdr:col>15</xdr:col>
                    <xdr:colOff>285750</xdr:colOff>
                    <xdr:row>73</xdr:row>
                    <xdr:rowOff>76200</xdr:rowOff>
                  </from>
                  <to>
                    <xdr:col>15</xdr:col>
                    <xdr:colOff>809625</xdr:colOff>
                    <xdr:row>74</xdr:row>
                    <xdr:rowOff>152400</xdr:rowOff>
                  </to>
                </anchor>
              </controlPr>
            </control>
          </mc:Choice>
        </mc:AlternateContent>
        <mc:AlternateContent xmlns:mc="http://schemas.openxmlformats.org/markup-compatibility/2006">
          <mc:Choice Requires="x14">
            <control shapeId="128003" r:id="rId6" name="Button 3">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8004" r:id="rId7" name="Button 4">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8005" r:id="rId8" name="Button 5">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8006" r:id="rId9" name="Button 6">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88"/>
  <sheetViews>
    <sheetView showGridLines="0" topLeftCell="A11" zoomScale="80" zoomScaleNormal="80" workbookViewId="0">
      <selection activeCell="P23" sqref="P23"/>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277</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267">
        <f ca="1">TODAY()</f>
        <v>45371</v>
      </c>
      <c r="B6" s="210" t="s">
        <v>276</v>
      </c>
      <c r="C6" s="267"/>
      <c r="D6" s="267"/>
      <c r="E6" s="267"/>
      <c r="F6" s="267"/>
      <c r="G6" s="267"/>
      <c r="H6" s="267"/>
      <c r="I6" s="267"/>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Rates'!$C$23</f>
        <v>0.10589</v>
      </c>
      <c r="T12" s="207">
        <f>'Rider Rates'!$C$23</f>
        <v>0.10589</v>
      </c>
      <c r="U12" s="207">
        <f>'Rider Rates'!$C$23</f>
        <v>0.10589</v>
      </c>
      <c r="V12" s="207">
        <f>'Rider Rates'!$C$23</f>
        <v>0.10589</v>
      </c>
      <c r="W12" s="207">
        <f>'Rider Rates'!$C$23</f>
        <v>0.10589</v>
      </c>
      <c r="X12" s="207">
        <f>'Rider Rates'!$B$23</f>
        <v>0.10589</v>
      </c>
      <c r="Y12" s="207">
        <f>'Rider Rates'!$B$23</f>
        <v>0.10589</v>
      </c>
      <c r="Z12" s="207">
        <f>'Rider Rates'!$B$23</f>
        <v>0.10589</v>
      </c>
      <c r="AA12" s="207">
        <f>'Rider Rates'!$B$23</f>
        <v>0.10589</v>
      </c>
      <c r="AB12" s="207">
        <f>'Rider Rates'!$C$23</f>
        <v>0.10589</v>
      </c>
      <c r="AC12" s="207">
        <f>'Rider Rates'!$C$23</f>
        <v>0.10589</v>
      </c>
      <c r="AD12" s="207">
        <f>'Rider Rates'!$C$23</f>
        <v>0.10589</v>
      </c>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ROUND(C14*C17,1)</f>
        <v>0</v>
      </c>
      <c r="E14" s="29" t="s">
        <v>45</v>
      </c>
      <c r="F14" s="30"/>
      <c r="G14" s="29" t="s">
        <v>15</v>
      </c>
      <c r="I14" s="53" t="s">
        <v>15</v>
      </c>
      <c r="J14" s="29"/>
      <c r="K14" s="29"/>
      <c r="L14" s="29"/>
      <c r="M14" s="29"/>
      <c r="N14" s="29"/>
    </row>
    <row r="15" spans="1:256" x14ac:dyDescent="0.2">
      <c r="A15" s="31" t="s">
        <v>29</v>
      </c>
      <c r="B15" s="31"/>
      <c r="C15" s="44">
        <f>'Customer Info'!B19</f>
        <v>0</v>
      </c>
      <c r="D15" s="44">
        <f>C15*C17</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C16*C17</f>
        <v>1000</v>
      </c>
      <c r="E16" s="31" t="s">
        <v>41</v>
      </c>
      <c r="F16" s="33"/>
      <c r="G16" s="31"/>
      <c r="H16" s="31"/>
      <c r="I16" s="31"/>
      <c r="J16" s="31"/>
      <c r="K16" s="31"/>
      <c r="L16" s="31"/>
      <c r="M16" s="31"/>
      <c r="N16" s="31"/>
      <c r="O16" s="31"/>
    </row>
    <row r="17" spans="1:30" x14ac:dyDescent="0.2">
      <c r="A17" s="31" t="s">
        <v>54</v>
      </c>
      <c r="B17" s="31"/>
      <c r="C17" s="58">
        <f>+'Customer Info'!E18</f>
        <v>1</v>
      </c>
      <c r="D17" s="31"/>
      <c r="E17" s="31"/>
      <c r="F17" s="33"/>
      <c r="G17" s="23"/>
      <c r="H17" s="23"/>
      <c r="I17" s="23"/>
      <c r="J17" s="23"/>
      <c r="K17" s="31"/>
      <c r="L17" s="31"/>
      <c r="M17" s="31"/>
      <c r="N17" s="31"/>
      <c r="S17" s="207"/>
      <c r="T17" s="207"/>
      <c r="U17" s="207"/>
      <c r="V17" s="207"/>
      <c r="W17" s="207"/>
      <c r="X17" s="207"/>
      <c r="Y17" s="207"/>
      <c r="Z17" s="207"/>
      <c r="AA17" s="207"/>
      <c r="AB17" s="207"/>
      <c r="AC17" s="207"/>
      <c r="AD17" s="207"/>
    </row>
    <row r="18" spans="1:30" x14ac:dyDescent="0.2">
      <c r="A18" s="31" t="s">
        <v>15</v>
      </c>
      <c r="B18" s="31"/>
      <c r="C18" s="82" t="s">
        <v>15</v>
      </c>
      <c r="D18" s="371" t="s">
        <v>15</v>
      </c>
      <c r="E18" s="371"/>
      <c r="F18" s="371"/>
      <c r="G18" s="371"/>
      <c r="H18" s="371"/>
      <c r="K18" s="31"/>
      <c r="L18" s="31"/>
      <c r="M18" s="31"/>
      <c r="N18" s="31"/>
      <c r="O18" s="50"/>
    </row>
    <row r="19" spans="1:30" x14ac:dyDescent="0.2">
      <c r="A19" s="31" t="s">
        <v>15</v>
      </c>
      <c r="B19" s="31"/>
      <c r="C19" s="82" t="s">
        <v>15</v>
      </c>
      <c r="D19" s="371" t="s">
        <v>15</v>
      </c>
      <c r="E19" s="371"/>
      <c r="F19" s="371"/>
      <c r="G19" s="371"/>
      <c r="H19" s="371"/>
      <c r="I19" s="23"/>
      <c r="J19" s="23"/>
      <c r="K19" s="31"/>
      <c r="L19" s="31"/>
      <c r="M19" s="31"/>
      <c r="N19" s="31"/>
      <c r="O19" s="50"/>
    </row>
    <row r="20" spans="1:30" x14ac:dyDescent="0.2">
      <c r="A20" s="31"/>
      <c r="B20" s="31"/>
      <c r="C20" s="33"/>
      <c r="D20" s="33"/>
      <c r="E20" s="33"/>
      <c r="F20" s="33"/>
      <c r="G20" s="23"/>
      <c r="H20" s="23"/>
      <c r="I20" s="23"/>
      <c r="J20" s="23"/>
      <c r="K20" s="31"/>
      <c r="L20" s="31"/>
      <c r="M20" s="31"/>
      <c r="N20" s="31"/>
      <c r="O20" s="31"/>
    </row>
    <row r="21" spans="1:30" x14ac:dyDescent="0.2">
      <c r="A21" s="28" t="s">
        <v>31</v>
      </c>
      <c r="B21" s="22"/>
      <c r="C21" s="22"/>
      <c r="D21" s="22"/>
      <c r="E21" s="22"/>
      <c r="F21" s="22"/>
      <c r="G21" s="362" t="s">
        <v>68</v>
      </c>
      <c r="H21" s="363"/>
      <c r="I21" s="363"/>
      <c r="J21" s="364"/>
      <c r="K21" s="22"/>
      <c r="L21" s="365" t="s">
        <v>69</v>
      </c>
      <c r="M21" s="365"/>
      <c r="N21" s="365"/>
      <c r="O21" s="365"/>
    </row>
    <row r="22" spans="1:30" x14ac:dyDescent="0.2">
      <c r="A22" s="18"/>
      <c r="B22" s="18"/>
      <c r="C22" s="18"/>
      <c r="D22" s="18"/>
      <c r="E22" s="18"/>
      <c r="F22" s="18"/>
      <c r="G22" s="8" t="s">
        <v>65</v>
      </c>
      <c r="H22" s="8" t="s">
        <v>66</v>
      </c>
      <c r="I22" s="8" t="s">
        <v>67</v>
      </c>
      <c r="J22" s="112" t="s">
        <v>34</v>
      </c>
      <c r="K22" s="18"/>
      <c r="L22" s="268" t="s">
        <v>65</v>
      </c>
      <c r="M22" s="268" t="s">
        <v>66</v>
      </c>
      <c r="N22" s="268" t="s">
        <v>67</v>
      </c>
      <c r="O22" s="132" t="s">
        <v>34</v>
      </c>
      <c r="P22" s="43" t="s">
        <v>57</v>
      </c>
    </row>
    <row r="23" spans="1:30" x14ac:dyDescent="0.2">
      <c r="A23" t="s">
        <v>32</v>
      </c>
      <c r="G23" s="86"/>
      <c r="H23" s="86"/>
      <c r="I23" s="86">
        <v>9.4</v>
      </c>
      <c r="J23" s="86">
        <f>SUM(G23:I23)</f>
        <v>9.4</v>
      </c>
      <c r="L23" s="88"/>
      <c r="M23" s="88"/>
      <c r="N23" s="88">
        <f>I23</f>
        <v>9.4</v>
      </c>
      <c r="O23" s="209">
        <f>SUM(L23:N23)</f>
        <v>9.4</v>
      </c>
      <c r="P23" s="245">
        <v>44531</v>
      </c>
    </row>
    <row r="24" spans="1:30" x14ac:dyDescent="0.2">
      <c r="A24" t="s">
        <v>132</v>
      </c>
      <c r="D24" s="1">
        <f>D16</f>
        <v>1000</v>
      </c>
      <c r="E24" s="101" t="s">
        <v>41</v>
      </c>
      <c r="F24" s="102" t="s">
        <v>8</v>
      </c>
      <c r="G24" s="84"/>
      <c r="H24" s="86"/>
      <c r="I24" s="279">
        <v>2.05802E-2</v>
      </c>
      <c r="J24" s="279">
        <f>SUM(G24:I24)</f>
        <v>2.05802E-2</v>
      </c>
      <c r="K24" s="104" t="s">
        <v>42</v>
      </c>
      <c r="L24" s="87"/>
      <c r="M24" s="88"/>
      <c r="N24" s="280">
        <f>D24*J24</f>
        <v>20.580200000000001</v>
      </c>
      <c r="O24" s="209">
        <f>N24</f>
        <v>20.580200000000001</v>
      </c>
      <c r="P24" s="245"/>
    </row>
    <row r="25" spans="1:30" x14ac:dyDescent="0.2">
      <c r="A25" s="37" t="s">
        <v>50</v>
      </c>
      <c r="B25" s="37"/>
      <c r="C25" s="37"/>
      <c r="D25" s="38"/>
      <c r="E25" s="38"/>
      <c r="F25" s="37"/>
      <c r="G25" s="37"/>
      <c r="H25" s="37"/>
      <c r="I25" s="37"/>
      <c r="J25" s="37"/>
      <c r="K25" s="39"/>
      <c r="L25" s="40"/>
      <c r="M25" s="40"/>
      <c r="N25" s="40">
        <f>SUM(N23:N24)</f>
        <v>29.980200000000004</v>
      </c>
      <c r="O25" s="40">
        <f>SUM(O23:O24)</f>
        <v>29.980200000000004</v>
      </c>
    </row>
    <row r="26" spans="1:30" x14ac:dyDescent="0.2">
      <c r="A26" s="89"/>
      <c r="B26" s="89"/>
      <c r="C26" s="90"/>
      <c r="D26" s="90"/>
      <c r="E26" s="90"/>
      <c r="F26" s="90"/>
      <c r="G26" s="91"/>
      <c r="H26" s="91"/>
      <c r="I26" s="91"/>
      <c r="J26" s="91"/>
      <c r="K26" s="89"/>
      <c r="L26" s="89"/>
      <c r="M26" s="89"/>
      <c r="N26" s="89"/>
      <c r="O26" s="89"/>
      <c r="P26" s="89"/>
    </row>
    <row r="27" spans="1:30" x14ac:dyDescent="0.2">
      <c r="A27" s="41" t="s">
        <v>70</v>
      </c>
      <c r="D27" s="1"/>
      <c r="E27" s="1"/>
      <c r="K27" s="36"/>
      <c r="L27" s="36"/>
      <c r="M27" s="36"/>
      <c r="N27" s="36"/>
      <c r="O27" s="34"/>
      <c r="P27" s="34"/>
    </row>
    <row r="28" spans="1:30" x14ac:dyDescent="0.2">
      <c r="A28" s="37"/>
      <c r="D28" s="1"/>
      <c r="E28" s="1"/>
      <c r="K28" s="36"/>
      <c r="L28" s="36"/>
      <c r="M28" s="36"/>
      <c r="N28" s="36"/>
      <c r="O28" s="34"/>
    </row>
    <row r="29" spans="1:30" x14ac:dyDescent="0.2">
      <c r="A29" s="78" t="s">
        <v>79</v>
      </c>
      <c r="D29" s="1">
        <f>IF($C$16&lt;0,0,IF($C$16&gt;833000,833000,$C$16))</f>
        <v>1000</v>
      </c>
      <c r="E29" s="35" t="s">
        <v>41</v>
      </c>
      <c r="F29" s="4" t="s">
        <v>8</v>
      </c>
      <c r="G29" s="83"/>
      <c r="H29" s="84"/>
      <c r="I29" s="103">
        <f>'Rider Rates'!$B$4</f>
        <v>5.9216E-3</v>
      </c>
      <c r="J29" s="6">
        <f>SUM(G29:I29)</f>
        <v>5.9216E-3</v>
      </c>
      <c r="K29" s="36" t="s">
        <v>42</v>
      </c>
      <c r="L29" s="87"/>
      <c r="M29" s="87"/>
      <c r="N29" s="87">
        <f>ROUND($D29*I29,2)</f>
        <v>5.92</v>
      </c>
      <c r="O29" s="87">
        <f>SUM(L29:N29)</f>
        <v>5.92</v>
      </c>
      <c r="P29" s="245">
        <f>'Rider Rates'!$D$4</f>
        <v>45293</v>
      </c>
    </row>
    <row r="30" spans="1:30" x14ac:dyDescent="0.2">
      <c r="A30" s="78" t="s">
        <v>80</v>
      </c>
      <c r="D30" s="1">
        <f>IF($C$16-833000&gt;0,$C$16-D29,0)</f>
        <v>0</v>
      </c>
      <c r="E30" s="35" t="s">
        <v>41</v>
      </c>
      <c r="F30" s="4" t="s">
        <v>8</v>
      </c>
      <c r="G30" s="83"/>
      <c r="H30" s="84"/>
      <c r="I30" s="103">
        <f>'Rider Rates'!$B$5</f>
        <v>1.7560000000000001E-4</v>
      </c>
      <c r="J30" s="118">
        <f>SUM(G30:I30)</f>
        <v>1.7560000000000001E-4</v>
      </c>
      <c r="K30" s="36" t="s">
        <v>42</v>
      </c>
      <c r="L30" s="87"/>
      <c r="M30" s="87"/>
      <c r="N30" s="87">
        <f>ROUND($D30*I30,2)</f>
        <v>0</v>
      </c>
      <c r="O30" s="87">
        <f>SUM(L30:N30)</f>
        <v>0</v>
      </c>
      <c r="P30" s="245">
        <f>'Rider Rates'!$D$4</f>
        <v>45293</v>
      </c>
    </row>
    <row r="31" spans="1:30" x14ac:dyDescent="0.2">
      <c r="A31" s="78" t="s">
        <v>47</v>
      </c>
      <c r="B31" t="s">
        <v>15</v>
      </c>
      <c r="D31" s="1">
        <f>IF('Customer Info'!$C$32=TRUE,0,IF(C16&lt;0,0,IF(C16&gt;2000,2000,C16)))</f>
        <v>1000</v>
      </c>
      <c r="E31" s="35" t="s">
        <v>41</v>
      </c>
      <c r="F31" s="4" t="s">
        <v>8</v>
      </c>
      <c r="G31" s="83"/>
      <c r="H31" s="84"/>
      <c r="I31" s="177">
        <f>'Rider Rates'!$B$8</f>
        <v>4.6499999999999996E-3</v>
      </c>
      <c r="J31" s="117">
        <f>SUM(G31:I31)</f>
        <v>4.6499999999999996E-3</v>
      </c>
      <c r="K31" s="36" t="s">
        <v>42</v>
      </c>
      <c r="L31" s="87"/>
      <c r="M31" s="87"/>
      <c r="N31" s="87">
        <f>ROUND($D31*I31,2)</f>
        <v>4.6500000000000004</v>
      </c>
      <c r="O31" s="87">
        <f>SUM(L31:N31)</f>
        <v>4.6500000000000004</v>
      </c>
      <c r="P31" s="245">
        <f>'Rider Rates'!$D$7</f>
        <v>44531</v>
      </c>
    </row>
    <row r="32" spans="1:30" x14ac:dyDescent="0.2">
      <c r="A32" s="78" t="s">
        <v>48</v>
      </c>
      <c r="B32" t="s">
        <v>15</v>
      </c>
      <c r="D32" s="1">
        <f>IF('Customer Info'!$C$32=TRUE,0,IF(C16&gt;15000,13000,IF(C16&gt;2000,C16-2000,0)))</f>
        <v>0</v>
      </c>
      <c r="E32" s="35" t="s">
        <v>41</v>
      </c>
      <c r="F32" s="4" t="s">
        <v>8</v>
      </c>
      <c r="G32" s="83"/>
      <c r="H32" s="84"/>
      <c r="I32" s="177">
        <f>'Rider Rates'!$B$9</f>
        <v>4.1900000000000001E-3</v>
      </c>
      <c r="J32" s="117">
        <f>SUM(G32:I32)</f>
        <v>4.1900000000000001E-3</v>
      </c>
      <c r="K32" s="36" t="s">
        <v>42</v>
      </c>
      <c r="L32" s="87"/>
      <c r="M32" s="87"/>
      <c r="N32" s="87">
        <f>ROUND($D32*I32,2)</f>
        <v>0</v>
      </c>
      <c r="O32" s="87">
        <f>SUM(L32:N32)</f>
        <v>0</v>
      </c>
      <c r="P32" s="245">
        <f>'Rider Rates'!$D$7</f>
        <v>44531</v>
      </c>
    </row>
    <row r="33" spans="1:221" x14ac:dyDescent="0.2">
      <c r="A33" s="78" t="s">
        <v>49</v>
      </c>
      <c r="B33" t="s">
        <v>15</v>
      </c>
      <c r="D33" s="1">
        <f>IF('Customer Info'!$C$32=TRUE,0,IF(C16-D31-D32&gt;0,C16-D31-D32,0))</f>
        <v>0</v>
      </c>
      <c r="E33" s="35" t="s">
        <v>41</v>
      </c>
      <c r="F33" s="4" t="s">
        <v>8</v>
      </c>
      <c r="G33" s="83"/>
      <c r="H33" s="84"/>
      <c r="I33" s="177">
        <f>'Rider Rates'!$B$10</f>
        <v>3.63E-3</v>
      </c>
      <c r="J33" s="117">
        <f>SUM(G33:I33)</f>
        <v>3.63E-3</v>
      </c>
      <c r="K33" s="36" t="s">
        <v>42</v>
      </c>
      <c r="L33" s="87"/>
      <c r="M33" s="87"/>
      <c r="N33" s="87">
        <f>ROUND($D33*I33,2)</f>
        <v>0</v>
      </c>
      <c r="O33" s="87">
        <f>SUM(L33:N33)</f>
        <v>0</v>
      </c>
      <c r="P33" s="245">
        <f>'Rider Rates'!$D$7</f>
        <v>44531</v>
      </c>
    </row>
    <row r="34" spans="1:221" x14ac:dyDescent="0.2">
      <c r="A34" s="241" t="s">
        <v>239</v>
      </c>
      <c r="B34" s="78"/>
      <c r="C34" s="78"/>
      <c r="D34" s="208">
        <f>$N$25</f>
        <v>29.980200000000004</v>
      </c>
      <c r="E34" s="101" t="s">
        <v>122</v>
      </c>
      <c r="F34" s="102" t="s">
        <v>8</v>
      </c>
      <c r="G34" s="103"/>
      <c r="H34" s="103"/>
      <c r="I34" s="178">
        <f>'Rider Rates'!$B$18+'Rider Rates'!$E$18</f>
        <v>0</v>
      </c>
      <c r="J34" s="120">
        <f>SUM(H34:I34)</f>
        <v>0</v>
      </c>
      <c r="K34" s="104"/>
      <c r="L34" s="105"/>
      <c r="M34" s="105"/>
      <c r="N34" s="105">
        <f>ROUND($D$34*'Rider Rates'!$B$18,2)+ROUND($D$34*'Rider Rates'!$E$18,2)</f>
        <v>0</v>
      </c>
      <c r="O34" s="105">
        <f t="shared" ref="O34:O46" si="0">SUM(L34:N34)</f>
        <v>0</v>
      </c>
      <c r="P34" s="245">
        <f>MAX('Rider Rates'!$D$18,'Rider Rates'!$F$18)</f>
        <v>44531</v>
      </c>
    </row>
    <row r="35" spans="1:221" x14ac:dyDescent="0.2">
      <c r="A35" s="210" t="s">
        <v>187</v>
      </c>
      <c r="B35" s="78"/>
      <c r="C35" s="78"/>
      <c r="D35" s="100">
        <f>'Customer Info'!$B$21+'Customer Info'!$B$22-'Customer Info'!$B$23</f>
        <v>1000</v>
      </c>
      <c r="E35" s="101" t="s">
        <v>41</v>
      </c>
      <c r="F35" s="102" t="s">
        <v>8</v>
      </c>
      <c r="G35" s="103">
        <f>'Rider Rates'!B23</f>
        <v>0.10589</v>
      </c>
      <c r="H35" s="103"/>
      <c r="I35" s="103"/>
      <c r="J35" s="237">
        <f>SUM(G35:H35)</f>
        <v>0.10589</v>
      </c>
      <c r="K35" s="104" t="s">
        <v>42</v>
      </c>
      <c r="L35" s="105">
        <f>ROUND(D35*G35,2)</f>
        <v>105.89</v>
      </c>
      <c r="M35" s="105"/>
      <c r="N35" s="105"/>
      <c r="O35" s="105">
        <f t="shared" si="0"/>
        <v>105.89</v>
      </c>
      <c r="P35" s="245">
        <f>'Rider Rates'!$D$23</f>
        <v>45078</v>
      </c>
    </row>
    <row r="36" spans="1:221" x14ac:dyDescent="0.2">
      <c r="A36" s="241" t="s">
        <v>162</v>
      </c>
      <c r="B36" s="78"/>
      <c r="C36" s="78"/>
      <c r="D36" s="100">
        <f>'Customer Info'!$B$21+'Customer Info'!$B$22-'Customer Info'!$B$23</f>
        <v>1000</v>
      </c>
      <c r="E36" s="101" t="s">
        <v>41</v>
      </c>
      <c r="F36" s="102" t="s">
        <v>8</v>
      </c>
      <c r="G36" s="103">
        <f>'Rider Rates'!B34</f>
        <v>3.0899999999999999E-3</v>
      </c>
      <c r="H36" s="103"/>
      <c r="I36" s="103"/>
      <c r="J36" s="237">
        <f>SUM(G36:H36)</f>
        <v>3.0899999999999999E-3</v>
      </c>
      <c r="K36" s="104" t="s">
        <v>42</v>
      </c>
      <c r="L36" s="105">
        <f>ROUND(D36*G36,2)</f>
        <v>3.09</v>
      </c>
      <c r="M36" s="105"/>
      <c r="N36" s="105"/>
      <c r="O36" s="105">
        <f t="shared" si="0"/>
        <v>3.09</v>
      </c>
      <c r="P36" s="245">
        <f>'Rider Rates'!$D$34</f>
        <v>45078</v>
      </c>
    </row>
    <row r="37" spans="1:221" x14ac:dyDescent="0.2">
      <c r="A37" s="210" t="s">
        <v>194</v>
      </c>
      <c r="B37" s="78"/>
      <c r="C37" s="78"/>
      <c r="D37" s="100">
        <f>'Customer Info'!$B$21+'Customer Info'!$B$22-'Customer Info'!$B$23</f>
        <v>1000</v>
      </c>
      <c r="E37" s="101" t="s">
        <v>41</v>
      </c>
      <c r="F37" s="102" t="s">
        <v>8</v>
      </c>
      <c r="G37" s="103">
        <f>'Rider Rates'!$B$42</f>
        <v>-4.8640000000000001E-4</v>
      </c>
      <c r="H37" s="103"/>
      <c r="I37" s="103"/>
      <c r="J37" s="237">
        <f>SUM(G37:H37)</f>
        <v>-4.8640000000000001E-4</v>
      </c>
      <c r="K37" s="104" t="s">
        <v>42</v>
      </c>
      <c r="L37" s="105">
        <f>ROUND(D37*G37,2)</f>
        <v>-0.49</v>
      </c>
      <c r="M37" s="105"/>
      <c r="N37" s="105"/>
      <c r="O37" s="105">
        <f t="shared" si="0"/>
        <v>-0.49</v>
      </c>
      <c r="P37" s="245">
        <f>'Rider Rates'!$D$42</f>
        <v>45383</v>
      </c>
    </row>
    <row r="38" spans="1:221" x14ac:dyDescent="0.2">
      <c r="A38" s="241" t="s">
        <v>212</v>
      </c>
      <c r="B38" s="78"/>
      <c r="C38" s="78"/>
      <c r="D38" s="1">
        <f>IF($C$16&lt;0,0,IF($C$16&gt;833000,833000,$C$16))</f>
        <v>1000</v>
      </c>
      <c r="E38" s="101" t="s">
        <v>41</v>
      </c>
      <c r="F38" s="102" t="s">
        <v>8</v>
      </c>
      <c r="G38" s="103"/>
      <c r="H38" s="103"/>
      <c r="I38" s="103">
        <f>'Rider Rates'!D46</f>
        <v>1.7826999999999999E-3</v>
      </c>
      <c r="J38" s="103">
        <f>SUM(G38:I38)</f>
        <v>1.7826999999999999E-3</v>
      </c>
      <c r="K38" s="104" t="s">
        <v>42</v>
      </c>
      <c r="L38" s="105"/>
      <c r="M38" s="105"/>
      <c r="N38" s="87">
        <f>D38*J38</f>
        <v>1.7827</v>
      </c>
      <c r="O38" s="105">
        <f t="shared" si="0"/>
        <v>1.7827</v>
      </c>
      <c r="P38" s="245">
        <f>'Rider Rates'!E46</f>
        <v>45292</v>
      </c>
    </row>
    <row r="39" spans="1:221" x14ac:dyDescent="0.2">
      <c r="A39" s="210" t="s">
        <v>190</v>
      </c>
      <c r="B39" s="78"/>
      <c r="C39" s="78"/>
      <c r="D39" s="1">
        <f>IF($C$16&lt;0,0,$C$16)</f>
        <v>1000</v>
      </c>
      <c r="E39" s="113" t="s">
        <v>41</v>
      </c>
      <c r="F39" s="102" t="s">
        <v>8</v>
      </c>
      <c r="G39" s="103"/>
      <c r="H39" s="103">
        <f>'Rider Rates'!G52</f>
        <v>2.3467399999999999E-2</v>
      </c>
      <c r="I39" s="103"/>
      <c r="J39" s="103">
        <f>SUM(G39:I39)</f>
        <v>2.3467399999999999E-2</v>
      </c>
      <c r="K39" s="104" t="s">
        <v>42</v>
      </c>
      <c r="L39" s="105"/>
      <c r="M39" s="105">
        <f>ROUND(D39*H39,2)</f>
        <v>23.47</v>
      </c>
      <c r="N39" s="205"/>
      <c r="O39" s="105">
        <f t="shared" si="0"/>
        <v>23.47</v>
      </c>
      <c r="P39" s="245">
        <f>'Rider Rates'!H52</f>
        <v>45383</v>
      </c>
    </row>
    <row r="40" spans="1:221" x14ac:dyDescent="0.2">
      <c r="A40" s="99" t="s">
        <v>83</v>
      </c>
      <c r="B40" s="78"/>
      <c r="C40" s="78"/>
      <c r="D40" s="1">
        <f>IF('Customer Info'!C34=TRUE,0,IF($C$16&lt;0,0,$C$16))</f>
        <v>1000</v>
      </c>
      <c r="E40" s="101" t="s">
        <v>41</v>
      </c>
      <c r="F40" s="102" t="s">
        <v>8</v>
      </c>
      <c r="G40" s="103"/>
      <c r="H40" s="103"/>
      <c r="I40" s="103">
        <f>'Rider Rates'!$B$66+'Rider Rates'!$C$66</f>
        <v>0</v>
      </c>
      <c r="J40" s="103">
        <f>SUM(G40:I40)</f>
        <v>0</v>
      </c>
      <c r="K40" s="104" t="s">
        <v>42</v>
      </c>
      <c r="L40" s="105"/>
      <c r="M40" s="105"/>
      <c r="N40" s="87">
        <f>ROUND($D$40*'Rider Rates'!$B$66,2)+ROUND($D$40*'Rider Rates'!$C$66,2)</f>
        <v>0</v>
      </c>
      <c r="O40" s="209">
        <f t="shared" si="0"/>
        <v>0</v>
      </c>
      <c r="P40" s="245">
        <f>'Rider Rates'!$D$66</f>
        <v>44531</v>
      </c>
      <c r="Q40" s="107"/>
      <c r="R40" s="108"/>
      <c r="S40" s="109"/>
      <c r="T40" s="78"/>
      <c r="U40" s="110"/>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row>
    <row r="41" spans="1:221" x14ac:dyDescent="0.2">
      <c r="A41" s="99" t="s">
        <v>81</v>
      </c>
      <c r="B41" s="78"/>
      <c r="C41" s="78"/>
      <c r="D41" s="208">
        <f>$N$25</f>
        <v>29.980200000000004</v>
      </c>
      <c r="E41" s="101" t="s">
        <v>122</v>
      </c>
      <c r="F41" s="102" t="s">
        <v>8</v>
      </c>
      <c r="G41" s="111"/>
      <c r="H41" s="112"/>
      <c r="I41" s="120">
        <f>'Rider Rates'!$B$80</f>
        <v>2.9347000000000002E-2</v>
      </c>
      <c r="J41" s="120">
        <f>SUM(H41:I41)</f>
        <v>2.9347000000000002E-2</v>
      </c>
      <c r="K41" s="104"/>
      <c r="L41" s="105"/>
      <c r="M41" s="105"/>
      <c r="N41" s="105">
        <f>ROUND(N$25*I41,2)</f>
        <v>0.88</v>
      </c>
      <c r="O41" s="209">
        <f t="shared" si="0"/>
        <v>0.88</v>
      </c>
      <c r="P41" s="245">
        <f>'Rider Rates'!$D$80</f>
        <v>45383</v>
      </c>
      <c r="Q41" s="107"/>
      <c r="R41" s="108"/>
      <c r="S41" s="109"/>
      <c r="T41" s="78"/>
      <c r="U41" s="110"/>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row>
    <row r="42" spans="1:221" x14ac:dyDescent="0.2">
      <c r="A42" s="99" t="s">
        <v>82</v>
      </c>
      <c r="B42" s="78"/>
      <c r="C42" s="78"/>
      <c r="D42" s="208">
        <f>$N$25</f>
        <v>29.980200000000004</v>
      </c>
      <c r="E42" s="101" t="s">
        <v>122</v>
      </c>
      <c r="F42" s="102" t="s">
        <v>8</v>
      </c>
      <c r="G42" s="114"/>
      <c r="H42" s="115"/>
      <c r="I42" s="120">
        <f>'Rider Rates'!$B$82</f>
        <v>6.6985699999999995E-2</v>
      </c>
      <c r="J42" s="120">
        <f>SUM(H42:I42)</f>
        <v>6.6985699999999995E-2</v>
      </c>
      <c r="K42" s="104"/>
      <c r="L42" s="105"/>
      <c r="M42" s="105"/>
      <c r="N42" s="105">
        <f>ROUND(N$25*I42,2)</f>
        <v>2.0099999999999998</v>
      </c>
      <c r="O42" s="209">
        <f t="shared" si="0"/>
        <v>2.0099999999999998</v>
      </c>
      <c r="P42" s="245">
        <f>'Rider Rates'!$D$82</f>
        <v>45167</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x14ac:dyDescent="0.2">
      <c r="A43" s="210" t="s">
        <v>208</v>
      </c>
      <c r="B43" s="78"/>
      <c r="C43" s="78"/>
      <c r="D43" s="195"/>
      <c r="E43" s="113" t="s">
        <v>115</v>
      </c>
      <c r="F43" s="106"/>
      <c r="G43" s="114"/>
      <c r="H43" s="115"/>
      <c r="I43" s="196">
        <f>'Rider Rates'!$B$86</f>
        <v>15.91</v>
      </c>
      <c r="J43" s="196">
        <f>SUM(G43:I43)</f>
        <v>15.91</v>
      </c>
      <c r="K43" s="104"/>
      <c r="L43" s="105"/>
      <c r="M43" s="105"/>
      <c r="N43" s="105">
        <f>I43</f>
        <v>15.91</v>
      </c>
      <c r="O43" s="105">
        <f>SUM(L43:N43)</f>
        <v>15.91</v>
      </c>
      <c r="P43" s="245">
        <f>'Rider Rates'!$D$86</f>
        <v>45351</v>
      </c>
    </row>
    <row r="44" spans="1:221" x14ac:dyDescent="0.2">
      <c r="A44" s="241" t="s">
        <v>253</v>
      </c>
      <c r="B44" s="78"/>
      <c r="C44" s="78"/>
      <c r="D44" s="1">
        <f>$D$29</f>
        <v>1000</v>
      </c>
      <c r="E44" s="101" t="s">
        <v>41</v>
      </c>
      <c r="F44" s="102" t="s">
        <v>8</v>
      </c>
      <c r="G44" s="103"/>
      <c r="H44" s="103"/>
      <c r="I44" s="103"/>
      <c r="J44" s="103">
        <f>'Rider Rates'!$B$91</f>
        <v>0</v>
      </c>
      <c r="K44" s="104" t="s">
        <v>42</v>
      </c>
      <c r="L44" s="105"/>
      <c r="M44" s="105"/>
      <c r="N44" s="87"/>
      <c r="O44" s="105">
        <f>ROUND($D44*('Rider Rates'!B$91),2)</f>
        <v>0</v>
      </c>
      <c r="P44" s="245">
        <f>'Rider Rates'!$D$91</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41" t="s">
        <v>254</v>
      </c>
      <c r="B45" s="78"/>
      <c r="C45" s="78"/>
      <c r="D45" s="1">
        <f>$D$30</f>
        <v>0</v>
      </c>
      <c r="E45" s="101" t="s">
        <v>41</v>
      </c>
      <c r="F45" s="102" t="s">
        <v>8</v>
      </c>
      <c r="G45" s="103"/>
      <c r="H45" s="103"/>
      <c r="I45" s="103"/>
      <c r="J45" s="103">
        <f>'Rider Rates'!$B$92</f>
        <v>0</v>
      </c>
      <c r="K45" s="104" t="s">
        <v>42</v>
      </c>
      <c r="L45" s="105"/>
      <c r="M45" s="105"/>
      <c r="N45" s="87"/>
      <c r="O45" s="105">
        <f>ROUND($D45*('Rider Rates'!B$92),2)</f>
        <v>0</v>
      </c>
      <c r="P45" s="245">
        <f>'Rider Rates'!$D$92</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157</v>
      </c>
      <c r="B46" s="78"/>
      <c r="C46" s="78"/>
      <c r="D46" s="208">
        <f>$N$25</f>
        <v>29.980200000000004</v>
      </c>
      <c r="E46" s="101" t="s">
        <v>122</v>
      </c>
      <c r="F46" s="102" t="s">
        <v>8</v>
      </c>
      <c r="G46" s="114"/>
      <c r="H46" s="115"/>
      <c r="I46" s="120">
        <f>'Rider Rates'!$B$100</f>
        <v>0.21398439999999999</v>
      </c>
      <c r="J46" s="120">
        <f>SUM(H46:I46)</f>
        <v>0.21398439999999999</v>
      </c>
      <c r="K46" s="104"/>
      <c r="L46" s="105"/>
      <c r="M46" s="105"/>
      <c r="N46" s="105">
        <f>ROUND(N$25*I46,2)</f>
        <v>6.42</v>
      </c>
      <c r="O46" s="105">
        <f t="shared" si="0"/>
        <v>6.42</v>
      </c>
      <c r="P46" s="245">
        <f>'Rider Rates'!$D$100</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211</v>
      </c>
      <c r="B47" s="78"/>
      <c r="C47" s="78"/>
      <c r="D47" s="195"/>
      <c r="E47" s="113" t="s">
        <v>115</v>
      </c>
      <c r="F47" s="106"/>
      <c r="G47" s="114"/>
      <c r="H47" s="115"/>
      <c r="I47" s="196">
        <f>'Rider Rates'!$B$104</f>
        <v>0</v>
      </c>
      <c r="J47" s="196">
        <f>SUM(G47:I47)</f>
        <v>0</v>
      </c>
      <c r="K47" s="104"/>
      <c r="L47" s="105"/>
      <c r="M47" s="105"/>
      <c r="N47" s="105">
        <f>I47</f>
        <v>0</v>
      </c>
      <c r="O47" s="105">
        <f t="shared" ref="O47:O52" si="1">SUM(L47:N47)</f>
        <v>0</v>
      </c>
      <c r="P47" s="245">
        <f>'Rider Rates'!$D$104</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219</v>
      </c>
      <c r="B48" s="78"/>
      <c r="C48" s="78"/>
      <c r="D48" s="195"/>
      <c r="E48" s="113" t="s">
        <v>115</v>
      </c>
      <c r="F48" s="106"/>
      <c r="G48" s="114"/>
      <c r="H48" s="115"/>
      <c r="I48" s="258">
        <f>'Rider Rates'!B117</f>
        <v>5.83</v>
      </c>
      <c r="J48" s="196">
        <f>SUM(G48:I48)</f>
        <v>5.83</v>
      </c>
      <c r="K48" s="104"/>
      <c r="L48" s="105"/>
      <c r="M48" s="105"/>
      <c r="N48" s="260">
        <f>I48</f>
        <v>5.83</v>
      </c>
      <c r="O48" s="105">
        <f t="shared" si="1"/>
        <v>5.83</v>
      </c>
      <c r="P48" s="245">
        <f>'Rider Rates'!D117</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99" t="s">
        <v>158</v>
      </c>
      <c r="B49" s="78"/>
      <c r="C49" s="78"/>
      <c r="D49" s="100">
        <f>'Customer Info'!$B$21+'Customer Info'!$B$22-'Customer Info'!$B$23</f>
        <v>1000</v>
      </c>
      <c r="E49" s="101" t="s">
        <v>41</v>
      </c>
      <c r="F49" s="102" t="s">
        <v>8</v>
      </c>
      <c r="G49" s="103">
        <f>'Rider Rates'!$B$107</f>
        <v>3.8972999999999998E-3</v>
      </c>
      <c r="H49" s="103"/>
      <c r="I49" s="120"/>
      <c r="J49" s="237">
        <f>SUM(G49:H49)</f>
        <v>3.8972999999999998E-3</v>
      </c>
      <c r="K49" s="104" t="s">
        <v>42</v>
      </c>
      <c r="L49" s="105">
        <f>ROUND(D49*G49,2)</f>
        <v>3.9</v>
      </c>
      <c r="M49" s="105"/>
      <c r="N49" s="105"/>
      <c r="O49" s="105">
        <f t="shared" si="1"/>
        <v>3.9</v>
      </c>
      <c r="P49" s="245">
        <f>'Rider Rates'!$D$107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210</v>
      </c>
      <c r="B50" s="78"/>
      <c r="C50" s="78"/>
      <c r="D50" s="1">
        <f>IF($C$16&lt;1,0,$C$16)</f>
        <v>1000</v>
      </c>
      <c r="E50" s="101" t="s">
        <v>41</v>
      </c>
      <c r="F50" s="249" t="s">
        <v>8</v>
      </c>
      <c r="G50" s="165"/>
      <c r="H50" s="165"/>
      <c r="I50" s="251">
        <f>'Rider Rates'!B113</f>
        <v>-6.2E-4</v>
      </c>
      <c r="J50" s="251">
        <f>SUM(G50:I50)</f>
        <v>-6.2E-4</v>
      </c>
      <c r="K50" s="104" t="s">
        <v>42</v>
      </c>
      <c r="L50" s="105"/>
      <c r="M50" s="105"/>
      <c r="N50" s="105">
        <f>D50*I50</f>
        <v>-0.62</v>
      </c>
      <c r="O50" s="105">
        <f t="shared" si="1"/>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78" t="s">
        <v>235</v>
      </c>
      <c r="B51" s="78"/>
      <c r="C51" s="78"/>
      <c r="D51" s="100">
        <f>IF(C16&lt;0,0,IF(C16&gt;833000,833000,C16))</f>
        <v>1000</v>
      </c>
      <c r="E51" s="101" t="s">
        <v>41</v>
      </c>
      <c r="F51" s="102" t="s">
        <v>8</v>
      </c>
      <c r="G51" s="265"/>
      <c r="H51" s="265"/>
      <c r="I51" s="265">
        <f>'Rider Rates'!$B$121</f>
        <v>2.9050000000000001E-4</v>
      </c>
      <c r="J51" s="265">
        <f>SUM(G51:I51)</f>
        <v>2.9050000000000001E-4</v>
      </c>
      <c r="K51" s="104" t="s">
        <v>42</v>
      </c>
      <c r="L51" s="266"/>
      <c r="M51" s="266"/>
      <c r="N51" s="266">
        <f>IF(D51*J51&gt;'Rider Rates'!$C$121,'Rider Rates'!$C$121,D51*J51)</f>
        <v>0.29050000000000004</v>
      </c>
      <c r="O51" s="266">
        <f t="shared" si="1"/>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78" t="s">
        <v>236</v>
      </c>
      <c r="B52" s="78"/>
      <c r="C52" s="78"/>
      <c r="D52" s="123">
        <f>IF(C16&gt;833000,C16-833000,0)</f>
        <v>0</v>
      </c>
      <c r="E52" s="101" t="s">
        <v>41</v>
      </c>
      <c r="F52" s="102" t="s">
        <v>8</v>
      </c>
      <c r="G52" s="265"/>
      <c r="H52" s="265"/>
      <c r="I52" s="265">
        <f>'Rider Rates'!$B$122</f>
        <v>0</v>
      </c>
      <c r="J52" s="265">
        <f>SUM(G52:I52)</f>
        <v>0</v>
      </c>
      <c r="K52" s="104" t="s">
        <v>42</v>
      </c>
      <c r="L52" s="266"/>
      <c r="M52" s="266"/>
      <c r="N52" s="266">
        <f>D52*J52</f>
        <v>0</v>
      </c>
      <c r="O52" s="266">
        <f t="shared" si="1"/>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41" t="s">
        <v>244</v>
      </c>
      <c r="B53" s="78"/>
      <c r="C53" s="78"/>
      <c r="D53" s="100">
        <f>D16</f>
        <v>1000</v>
      </c>
      <c r="E53" s="101" t="s">
        <v>41</v>
      </c>
      <c r="F53" s="249" t="s">
        <v>8</v>
      </c>
      <c r="G53" s="103"/>
      <c r="H53" s="103"/>
      <c r="I53" s="103">
        <f>'Rider Rates'!$B$126</f>
        <v>0</v>
      </c>
      <c r="J53" s="237">
        <f>SUM(G53:I53)</f>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243</v>
      </c>
      <c r="B54" s="78"/>
      <c r="C54" s="78"/>
      <c r="D54" s="100"/>
      <c r="E54" s="101" t="s">
        <v>115</v>
      </c>
      <c r="F54" s="102" t="s">
        <v>8</v>
      </c>
      <c r="G54" s="263"/>
      <c r="H54" s="263"/>
      <c r="I54" s="263">
        <f>'Rider Rates'!$B$133</f>
        <v>0</v>
      </c>
      <c r="J54" s="263">
        <f>SUM(G54:I54)</f>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179" t="s">
        <v>71</v>
      </c>
      <c r="B56" s="148"/>
      <c r="C56" s="148"/>
      <c r="D56" s="180"/>
      <c r="E56" s="181"/>
      <c r="F56" s="182"/>
      <c r="G56" s="182"/>
      <c r="H56" s="182"/>
      <c r="I56" s="182"/>
      <c r="J56" s="182"/>
      <c r="K56" s="183"/>
      <c r="L56" s="169">
        <f>SUM(L29:L55)</f>
        <v>112.39000000000001</v>
      </c>
      <c r="M56" s="169">
        <f t="shared" ref="M56:O56" si="2">SUM(M29:M55)</f>
        <v>23.47</v>
      </c>
      <c r="N56" s="169">
        <f t="shared" si="2"/>
        <v>43.073200000000007</v>
      </c>
      <c r="O56" s="169">
        <f t="shared" si="2"/>
        <v>178.9332</v>
      </c>
      <c r="P56" s="184"/>
    </row>
    <row r="57" spans="1:221" x14ac:dyDescent="0.2">
      <c r="A57" s="37"/>
      <c r="D57" s="1"/>
      <c r="E57" s="35"/>
      <c r="F57" s="4"/>
      <c r="G57" s="42"/>
      <c r="H57" s="42"/>
      <c r="I57" s="42"/>
      <c r="J57" s="42"/>
      <c r="K57" s="36"/>
      <c r="L57" s="36"/>
      <c r="M57" s="36"/>
      <c r="N57" s="36"/>
      <c r="O57" s="34"/>
      <c r="P57" s="36"/>
    </row>
    <row r="58" spans="1:221" x14ac:dyDescent="0.2">
      <c r="A58" s="269" t="s">
        <v>72</v>
      </c>
      <c r="B58" s="92"/>
      <c r="C58" s="92"/>
      <c r="D58" s="92"/>
      <c r="E58" s="92"/>
      <c r="F58" s="92"/>
      <c r="G58" s="92"/>
      <c r="H58" s="92"/>
      <c r="I58" s="92"/>
      <c r="J58" s="92"/>
      <c r="K58" s="92"/>
      <c r="L58" s="98">
        <f>L25+L56</f>
        <v>112.39000000000001</v>
      </c>
      <c r="M58" s="98">
        <f>M25+M56</f>
        <v>23.47</v>
      </c>
      <c r="N58" s="98">
        <f>N25+N56</f>
        <v>73.053400000000011</v>
      </c>
      <c r="O58" s="98">
        <f>O25+O56</f>
        <v>208.9134</v>
      </c>
      <c r="P58" s="98"/>
    </row>
    <row r="59" spans="1:221" x14ac:dyDescent="0.2">
      <c r="A59" s="37"/>
      <c r="B59" s="37"/>
      <c r="C59" s="37"/>
      <c r="D59" s="37"/>
      <c r="E59" s="37"/>
      <c r="F59" s="37"/>
      <c r="G59" s="37"/>
      <c r="H59" s="37"/>
      <c r="I59" s="37"/>
      <c r="J59" s="37"/>
      <c r="K59" s="37"/>
      <c r="L59" s="37"/>
      <c r="M59" s="37"/>
      <c r="N59" s="37"/>
      <c r="O59" s="40"/>
      <c r="P59" s="40"/>
    </row>
    <row r="60" spans="1:221" x14ac:dyDescent="0.2">
      <c r="A60" s="37" t="s">
        <v>37</v>
      </c>
      <c r="B60" s="37"/>
      <c r="C60" s="37"/>
      <c r="D60" s="37"/>
      <c r="E60" s="37"/>
      <c r="F60" s="37"/>
      <c r="G60" s="37"/>
      <c r="H60" s="37"/>
      <c r="I60" s="37"/>
      <c r="J60" s="37"/>
      <c r="K60" s="37"/>
      <c r="L60" s="37"/>
      <c r="M60" s="37"/>
      <c r="N60" s="37"/>
      <c r="O60" s="45">
        <f>O23+O56</f>
        <v>188.33320000000001</v>
      </c>
      <c r="P60" s="245">
        <v>40967</v>
      </c>
    </row>
    <row r="61" spans="1:221" x14ac:dyDescent="0.2">
      <c r="A61" s="37"/>
      <c r="B61" s="37"/>
      <c r="C61" s="37"/>
      <c r="D61" s="37"/>
      <c r="E61" s="37"/>
      <c r="F61" s="37"/>
      <c r="G61" s="46"/>
      <c r="H61" s="46"/>
      <c r="I61" s="46"/>
      <c r="J61" s="46"/>
      <c r="K61" s="36"/>
      <c r="L61" s="36"/>
      <c r="M61" s="36"/>
      <c r="N61" s="36"/>
      <c r="O61" s="40"/>
    </row>
    <row r="62" spans="1:221" x14ac:dyDescent="0.2">
      <c r="A62" s="41" t="s">
        <v>117</v>
      </c>
      <c r="B62" s="37"/>
      <c r="C62" s="37"/>
      <c r="D62" s="37"/>
      <c r="E62" s="37"/>
      <c r="F62" s="37"/>
      <c r="G62" s="46"/>
      <c r="H62" s="46"/>
      <c r="I62" s="46"/>
      <c r="J62" s="46"/>
      <c r="K62" s="36"/>
      <c r="L62" s="36"/>
      <c r="M62" s="36"/>
      <c r="N62" s="36"/>
      <c r="O62" s="138">
        <f>MAX($O$58,$O$60)</f>
        <v>208.9134</v>
      </c>
    </row>
    <row r="63" spans="1:221" x14ac:dyDescent="0.2">
      <c r="A63" s="37"/>
      <c r="B63" s="37"/>
      <c r="C63" s="37"/>
      <c r="D63" s="37"/>
      <c r="E63" s="37"/>
      <c r="F63" s="37"/>
      <c r="G63" s="46"/>
      <c r="H63" s="46"/>
      <c r="I63" s="46"/>
      <c r="J63" s="46"/>
      <c r="K63" s="36"/>
      <c r="L63" s="36"/>
      <c r="M63" s="36"/>
      <c r="N63" s="36"/>
      <c r="O63" s="40"/>
    </row>
    <row r="64" spans="1:221" x14ac:dyDescent="0.2">
      <c r="A64" s="37"/>
      <c r="B64" s="37"/>
      <c r="C64" s="37"/>
      <c r="D64" s="37"/>
      <c r="E64" s="37"/>
      <c r="F64" s="37"/>
      <c r="G64" s="96" t="s">
        <v>86</v>
      </c>
      <c r="H64" s="46"/>
      <c r="I64" s="37"/>
      <c r="J64" s="46"/>
      <c r="K64" s="36"/>
      <c r="L64" s="191"/>
      <c r="M64" s="191"/>
      <c r="N64" s="191"/>
      <c r="O64" s="191">
        <f>ROUND(IF($C$16&lt;1,0,$O$62/($C$16*100)*10000),2)</f>
        <v>20.89</v>
      </c>
      <c r="P64" s="37" t="s">
        <v>87</v>
      </c>
    </row>
    <row r="65" spans="1:16" x14ac:dyDescent="0.2">
      <c r="A65" s="37"/>
      <c r="B65" s="37"/>
      <c r="C65" s="37"/>
      <c r="D65" s="37"/>
      <c r="E65" s="37"/>
      <c r="F65" s="37"/>
      <c r="G65" s="242" t="s">
        <v>191</v>
      </c>
      <c r="H65" s="136"/>
      <c r="I65" s="133"/>
      <c r="J65" s="136"/>
      <c r="K65" s="137"/>
      <c r="L65" s="78"/>
      <c r="M65" s="78"/>
      <c r="N65" s="78"/>
      <c r="O65" s="243">
        <f>ROUND(IF($C$16&lt;1,0,(L58)/($C$16*100)*10000),2)</f>
        <v>11.24</v>
      </c>
      <c r="P65" s="25" t="s">
        <v>87</v>
      </c>
    </row>
    <row r="66" spans="1:16" x14ac:dyDescent="0.2">
      <c r="A66" s="37"/>
      <c r="B66" s="37"/>
      <c r="C66" s="37"/>
      <c r="D66" s="37"/>
      <c r="E66" s="37"/>
      <c r="F66" s="37"/>
      <c r="G66" s="96"/>
      <c r="H66" s="46"/>
      <c r="I66" s="96"/>
      <c r="J66" s="46"/>
      <c r="K66" s="36"/>
      <c r="L66" s="36"/>
      <c r="M66" s="36"/>
      <c r="N66" s="36"/>
      <c r="O66" s="130"/>
      <c r="P66" s="37"/>
    </row>
    <row r="67" spans="1:16" ht="20.25" customHeight="1" x14ac:dyDescent="0.3">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x14ac:dyDescent="0.2">
      <c r="A68" s="37"/>
      <c r="B68" s="37"/>
      <c r="C68" s="37"/>
      <c r="D68" s="54"/>
      <c r="E68" s="3"/>
      <c r="F68" s="4"/>
      <c r="G68" s="55"/>
      <c r="H68" s="55"/>
      <c r="I68" s="93"/>
      <c r="J68" s="55"/>
      <c r="K68" s="37"/>
      <c r="L68" s="37"/>
      <c r="M68" s="37"/>
      <c r="N68" s="37"/>
      <c r="O68" s="40"/>
    </row>
    <row r="69" spans="1:16" x14ac:dyDescent="0.2">
      <c r="A69" s="37"/>
      <c r="B69" s="37"/>
      <c r="C69" s="37"/>
      <c r="D69" s="54"/>
      <c r="E69" s="3"/>
      <c r="F69" s="4"/>
      <c r="G69" s="55"/>
      <c r="H69" s="55"/>
      <c r="I69" s="55"/>
      <c r="J69" s="55"/>
      <c r="K69" s="37"/>
      <c r="L69" s="37"/>
      <c r="M69" s="37"/>
      <c r="N69" s="37"/>
      <c r="O69" s="40"/>
    </row>
    <row r="70" spans="1:16" x14ac:dyDescent="0.2">
      <c r="A70" s="41"/>
      <c r="B70" s="37"/>
      <c r="C70" s="37"/>
      <c r="D70" s="37"/>
      <c r="E70" s="37"/>
      <c r="F70" s="37"/>
      <c r="G70" s="37"/>
      <c r="H70" s="37"/>
      <c r="J70" s="37"/>
      <c r="K70" s="37"/>
      <c r="L70" s="40"/>
      <c r="M70" s="40"/>
      <c r="N70" s="40"/>
      <c r="O70" s="138"/>
    </row>
    <row r="71" spans="1:16" x14ac:dyDescent="0.2">
      <c r="B71" s="37"/>
      <c r="C71" s="37"/>
      <c r="D71" s="37"/>
      <c r="E71" s="37"/>
      <c r="F71" s="37"/>
      <c r="G71" s="96"/>
      <c r="H71" s="37"/>
      <c r="I71" s="37"/>
      <c r="J71" s="37"/>
      <c r="K71" s="37"/>
      <c r="L71" s="60"/>
      <c r="M71" s="60"/>
      <c r="N71" s="60"/>
      <c r="O71" s="130"/>
      <c r="P71" s="37"/>
    </row>
    <row r="72" spans="1:16" x14ac:dyDescent="0.2">
      <c r="G72" s="133"/>
      <c r="H72" s="56"/>
      <c r="I72" s="133"/>
      <c r="J72" s="56"/>
      <c r="K72" s="56"/>
      <c r="L72" s="134"/>
      <c r="M72" s="134"/>
      <c r="N72" s="134"/>
      <c r="O72" s="135"/>
      <c r="P72" s="25"/>
    </row>
    <row r="74" spans="1:16" x14ac:dyDescent="0.2">
      <c r="A74" s="350"/>
    </row>
    <row r="75" spans="1:16" x14ac:dyDescent="0.2">
      <c r="A75" s="350"/>
    </row>
    <row r="76" spans="1:16" x14ac:dyDescent="0.2">
      <c r="A76" s="350"/>
    </row>
    <row r="77" spans="1:16" x14ac:dyDescent="0.2">
      <c r="A77" s="350"/>
    </row>
    <row r="78" spans="1:16" x14ac:dyDescent="0.2">
      <c r="A78" s="350"/>
    </row>
    <row r="79" spans="1:16" x14ac:dyDescent="0.2">
      <c r="A79" s="350"/>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sheetData>
  <sheetProtection algorithmName="SHA-512" hashValue="mv1Zcwu7iOmGTqoDpUTz1Wr8Qm+SMFTFhAFTzDWe2poykJOJz3+JlfjJO9pFmhGUUVjAbWU5p+TbD23Teu22jA==" saltValue="kQe6uaqOU6fOtuD+n7Htxg==" spinCount="100000" sheet="1" objects="1" scenarios="1"/>
  <mergeCells count="26">
    <mergeCell ref="A74:A88"/>
    <mergeCell ref="A4:P4"/>
    <mergeCell ref="A7:P7"/>
    <mergeCell ref="A11:I11"/>
    <mergeCell ref="D18:H18"/>
    <mergeCell ref="D19:H19"/>
    <mergeCell ref="G21:J21"/>
    <mergeCell ref="L21:O21"/>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60"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93186" r:id="rId5" name="Button 2">
              <controlPr defaultSize="0" print="0" autoFill="0" autoPict="0" macro="[0]!Info">
                <anchor moveWithCells="1">
                  <from>
                    <xdr:col>15</xdr:col>
                    <xdr:colOff>409575</xdr:colOff>
                    <xdr:row>82</xdr:row>
                    <xdr:rowOff>76200</xdr:rowOff>
                  </from>
                  <to>
                    <xdr:col>16</xdr:col>
                    <xdr:colOff>38100</xdr:colOff>
                    <xdr:row>83</xdr:row>
                    <xdr:rowOff>133350</xdr:rowOff>
                  </to>
                </anchor>
              </controlPr>
            </control>
          </mc:Choice>
        </mc:AlternateContent>
        <mc:AlternateContent xmlns:mc="http://schemas.openxmlformats.org/markup-compatibility/2006">
          <mc:Choice Requires="x14">
            <control shapeId="93187"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3188"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3189"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3190"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3191"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3192"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3193"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3194"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3195"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3196"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3197"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3198"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3199"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3200"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3201"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3202"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3203"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3204"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3205"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3206"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3207"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3208"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3209"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3210"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3211"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3212"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3213"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3214"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3215"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3216"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3217"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3218"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3219"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3220"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3221"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3222"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3223"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3224"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3225"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3226"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3227"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3228"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3229"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3230"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3231"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3232"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3233"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3234"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3235"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3236"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3237"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3238"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3239"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3240"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3241"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3242"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88"/>
  <sheetViews>
    <sheetView showGridLines="0" topLeftCell="A8" zoomScale="80" zoomScaleNormal="80" workbookViewId="0">
      <selection activeCell="D14" sqref="D14"/>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 min="31" max="31" width="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264</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267">
        <f ca="1">TODAY()</f>
        <v>45371</v>
      </c>
      <c r="B6" s="210" t="s">
        <v>263</v>
      </c>
      <c r="C6" s="274"/>
      <c r="D6" s="274"/>
      <c r="E6" s="274"/>
      <c r="F6" s="274"/>
      <c r="G6" s="274"/>
      <c r="H6" s="274"/>
      <c r="I6" s="274"/>
      <c r="J6" s="274"/>
      <c r="K6" s="274"/>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ROUND(C14*C17,1)</f>
        <v>0</v>
      </c>
      <c r="E14" s="29" t="s">
        <v>45</v>
      </c>
      <c r="F14" s="30"/>
      <c r="G14" s="29" t="s">
        <v>15</v>
      </c>
      <c r="I14" s="53" t="s">
        <v>15</v>
      </c>
      <c r="J14" s="29"/>
      <c r="K14" s="29"/>
      <c r="L14" s="29"/>
      <c r="M14" s="29"/>
      <c r="N14" s="29"/>
    </row>
    <row r="15" spans="1:256" x14ac:dyDescent="0.2">
      <c r="A15" s="31" t="s">
        <v>29</v>
      </c>
      <c r="B15" s="31"/>
      <c r="C15" s="44">
        <f>'Customer Info'!B19</f>
        <v>0</v>
      </c>
      <c r="D15" s="44">
        <f>C15*C17</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C16*C17</f>
        <v>1000</v>
      </c>
      <c r="E16" s="31" t="s">
        <v>41</v>
      </c>
      <c r="F16" s="33"/>
      <c r="G16" s="31"/>
      <c r="H16" s="31"/>
      <c r="I16" s="31"/>
      <c r="J16" s="31"/>
      <c r="K16" s="31"/>
      <c r="L16" s="31"/>
      <c r="M16" s="31"/>
      <c r="N16" s="31"/>
      <c r="O16" s="31"/>
    </row>
    <row r="17" spans="1:30" x14ac:dyDescent="0.2">
      <c r="A17" s="31" t="s">
        <v>54</v>
      </c>
      <c r="B17" s="31"/>
      <c r="C17" s="58">
        <f>+'Customer Info'!E18</f>
        <v>1</v>
      </c>
      <c r="D17" s="31"/>
      <c r="E17" s="31"/>
      <c r="F17" s="33"/>
      <c r="G17" s="23"/>
      <c r="H17" s="23"/>
      <c r="I17" s="23"/>
      <c r="J17" s="23"/>
      <c r="K17" s="31"/>
      <c r="L17" s="31"/>
      <c r="M17" s="31"/>
      <c r="N17" s="31"/>
      <c r="S17" s="207"/>
      <c r="T17" s="207"/>
      <c r="U17" s="207"/>
      <c r="V17" s="207"/>
      <c r="W17" s="207"/>
      <c r="X17" s="207"/>
      <c r="Y17" s="207"/>
      <c r="Z17" s="207"/>
      <c r="AA17" s="207"/>
      <c r="AB17" s="207"/>
      <c r="AC17" s="207"/>
      <c r="AD17" s="207"/>
    </row>
    <row r="18" spans="1:30" x14ac:dyDescent="0.2">
      <c r="A18" s="31" t="s">
        <v>15</v>
      </c>
      <c r="B18" s="31"/>
      <c r="C18" s="82" t="s">
        <v>15</v>
      </c>
      <c r="D18" s="371" t="s">
        <v>15</v>
      </c>
      <c r="E18" s="371"/>
      <c r="F18" s="371"/>
      <c r="G18" s="371"/>
      <c r="H18" s="371"/>
      <c r="K18" s="31"/>
      <c r="L18" s="31"/>
      <c r="M18" s="31"/>
      <c r="N18" s="31"/>
      <c r="O18" s="50"/>
    </row>
    <row r="19" spans="1:30" x14ac:dyDescent="0.2">
      <c r="A19" s="31" t="s">
        <v>15</v>
      </c>
      <c r="B19" s="31"/>
      <c r="C19" s="82" t="s">
        <v>15</v>
      </c>
      <c r="D19" s="371" t="s">
        <v>15</v>
      </c>
      <c r="E19" s="371"/>
      <c r="F19" s="371"/>
      <c r="G19" s="371"/>
      <c r="H19" s="371"/>
      <c r="I19" s="23"/>
      <c r="J19" s="23"/>
      <c r="K19" s="31"/>
      <c r="L19" s="31"/>
      <c r="M19" s="31"/>
      <c r="N19" s="31"/>
      <c r="O19" s="50"/>
    </row>
    <row r="20" spans="1:30" x14ac:dyDescent="0.2">
      <c r="A20" s="31"/>
      <c r="B20" s="31"/>
      <c r="C20" s="33"/>
      <c r="D20" s="33"/>
      <c r="E20" s="33"/>
      <c r="F20" s="33"/>
      <c r="G20" s="23"/>
      <c r="H20" s="23"/>
      <c r="I20" s="23"/>
      <c r="J20" s="23"/>
      <c r="K20" s="31"/>
      <c r="L20" s="31"/>
      <c r="M20" s="31"/>
      <c r="N20" s="31"/>
      <c r="O20" s="31"/>
    </row>
    <row r="21" spans="1:30" x14ac:dyDescent="0.2">
      <c r="A21" s="28" t="s">
        <v>31</v>
      </c>
      <c r="B21" s="22"/>
      <c r="C21" s="22"/>
      <c r="D21" s="22"/>
      <c r="E21" s="22"/>
      <c r="F21" s="22"/>
      <c r="G21" s="362" t="s">
        <v>68</v>
      </c>
      <c r="H21" s="363"/>
      <c r="I21" s="363"/>
      <c r="J21" s="364"/>
      <c r="K21" s="22"/>
      <c r="L21" s="365" t="s">
        <v>69</v>
      </c>
      <c r="M21" s="365"/>
      <c r="N21" s="365"/>
      <c r="O21" s="365"/>
    </row>
    <row r="22" spans="1:30" x14ac:dyDescent="0.2">
      <c r="A22" s="18"/>
      <c r="B22" s="18"/>
      <c r="C22" s="18"/>
      <c r="D22" s="18"/>
      <c r="E22" s="18"/>
      <c r="F22" s="18"/>
      <c r="G22" s="8" t="s">
        <v>65</v>
      </c>
      <c r="H22" s="8" t="s">
        <v>66</v>
      </c>
      <c r="I22" s="8" t="s">
        <v>67</v>
      </c>
      <c r="J22" s="112" t="s">
        <v>34</v>
      </c>
      <c r="K22" s="18"/>
      <c r="L22" s="268" t="s">
        <v>65</v>
      </c>
      <c r="M22" s="268" t="s">
        <v>66</v>
      </c>
      <c r="N22" s="268" t="s">
        <v>67</v>
      </c>
      <c r="O22" s="132" t="s">
        <v>34</v>
      </c>
      <c r="P22" s="43" t="s">
        <v>57</v>
      </c>
    </row>
    <row r="23" spans="1:30" x14ac:dyDescent="0.2">
      <c r="A23" t="s">
        <v>32</v>
      </c>
      <c r="G23" s="86"/>
      <c r="H23" s="86"/>
      <c r="I23" s="86">
        <v>138.5</v>
      </c>
      <c r="J23" s="86">
        <f>SUM(G23:I23)</f>
        <v>138.5</v>
      </c>
      <c r="L23" s="88"/>
      <c r="M23" s="88"/>
      <c r="N23" s="88">
        <f>I23</f>
        <v>138.5</v>
      </c>
      <c r="O23" s="209">
        <f>SUM(L23:N23)</f>
        <v>138.5</v>
      </c>
      <c r="P23" s="245">
        <v>44531</v>
      </c>
    </row>
    <row r="24" spans="1:30" x14ac:dyDescent="0.2">
      <c r="A24" t="s">
        <v>132</v>
      </c>
      <c r="D24" s="1">
        <f>D16</f>
        <v>1000</v>
      </c>
      <c r="E24" s="101" t="s">
        <v>41</v>
      </c>
      <c r="F24" s="102" t="s">
        <v>8</v>
      </c>
      <c r="G24" s="84"/>
      <c r="H24" s="86"/>
      <c r="I24" s="84">
        <v>1.37173E-2</v>
      </c>
      <c r="J24" s="84">
        <f>I24</f>
        <v>1.37173E-2</v>
      </c>
      <c r="K24" s="104" t="s">
        <v>42</v>
      </c>
      <c r="L24" s="87"/>
      <c r="M24" s="88"/>
      <c r="N24" s="87">
        <f>D24*J24</f>
        <v>13.7173</v>
      </c>
      <c r="O24" s="209">
        <f>SUM(L24:N24)</f>
        <v>13.7173</v>
      </c>
      <c r="P24" s="245"/>
    </row>
    <row r="25" spans="1:30" x14ac:dyDescent="0.2">
      <c r="A25" s="37" t="s">
        <v>50</v>
      </c>
      <c r="B25" s="37"/>
      <c r="C25" s="37"/>
      <c r="D25" s="38"/>
      <c r="E25" s="38"/>
      <c r="F25" s="37"/>
      <c r="G25" s="37"/>
      <c r="H25" s="37"/>
      <c r="I25" s="37"/>
      <c r="J25" s="37"/>
      <c r="K25" s="39"/>
      <c r="L25" s="40"/>
      <c r="M25" s="40"/>
      <c r="N25" s="40">
        <f>SUM(N23:N24)</f>
        <v>152.21729999999999</v>
      </c>
      <c r="O25" s="40">
        <f>SUM(O23:O24)</f>
        <v>152.21729999999999</v>
      </c>
    </row>
    <row r="26" spans="1:30" x14ac:dyDescent="0.2">
      <c r="A26" s="89"/>
      <c r="B26" s="89"/>
      <c r="C26" s="90"/>
      <c r="D26" s="90"/>
      <c r="E26" s="90"/>
      <c r="F26" s="90"/>
      <c r="G26" s="91"/>
      <c r="H26" s="91"/>
      <c r="I26" s="91"/>
      <c r="J26" s="91"/>
      <c r="K26" s="89"/>
      <c r="L26" s="89"/>
      <c r="M26" s="89"/>
      <c r="N26" s="89"/>
      <c r="O26" s="89"/>
      <c r="P26" s="89"/>
    </row>
    <row r="27" spans="1:30" x14ac:dyDescent="0.2">
      <c r="A27" s="41" t="s">
        <v>70</v>
      </c>
      <c r="D27" s="1"/>
      <c r="E27" s="1"/>
      <c r="K27" s="36"/>
      <c r="L27" s="36"/>
      <c r="M27" s="36"/>
      <c r="N27" s="36"/>
      <c r="O27" s="34"/>
      <c r="P27" s="34"/>
    </row>
    <row r="28" spans="1:30" x14ac:dyDescent="0.2">
      <c r="A28" s="37"/>
      <c r="D28" s="1"/>
      <c r="E28" s="1"/>
      <c r="K28" s="36"/>
      <c r="L28" s="36"/>
      <c r="M28" s="36"/>
      <c r="N28" s="36"/>
      <c r="O28" s="34"/>
    </row>
    <row r="29" spans="1:30" x14ac:dyDescent="0.2">
      <c r="A29" s="78" t="s">
        <v>79</v>
      </c>
      <c r="D29" s="1">
        <f>IF($C$16&lt;0,0,IF($C$16&gt;833000,833000,$C$16))</f>
        <v>1000</v>
      </c>
      <c r="E29" s="35" t="s">
        <v>41</v>
      </c>
      <c r="F29" s="4" t="s">
        <v>8</v>
      </c>
      <c r="G29" s="83"/>
      <c r="H29" s="84"/>
      <c r="I29" s="103">
        <f>'Rider Rates'!$B$4</f>
        <v>5.9216E-3</v>
      </c>
      <c r="J29" s="6">
        <f>SUM(G29:I29)</f>
        <v>5.9216E-3</v>
      </c>
      <c r="K29" s="36" t="s">
        <v>42</v>
      </c>
      <c r="L29" s="87"/>
      <c r="M29" s="87"/>
      <c r="N29" s="87">
        <f>ROUND($D29*I29,2)</f>
        <v>5.92</v>
      </c>
      <c r="O29" s="87">
        <f>SUM(L29:N29)</f>
        <v>5.92</v>
      </c>
      <c r="P29" s="245">
        <f>'Rider Rates'!$D$4</f>
        <v>45293</v>
      </c>
    </row>
    <row r="30" spans="1:30" x14ac:dyDescent="0.2">
      <c r="A30" s="78" t="s">
        <v>80</v>
      </c>
      <c r="D30" s="1">
        <f>IF($C$16-833000&gt;0,$C$16-D29,0)</f>
        <v>0</v>
      </c>
      <c r="E30" s="35" t="s">
        <v>41</v>
      </c>
      <c r="F30" s="4" t="s">
        <v>8</v>
      </c>
      <c r="G30" s="83"/>
      <c r="H30" s="84"/>
      <c r="I30" s="103">
        <f>'Rider Rates'!$B$5</f>
        <v>1.7560000000000001E-4</v>
      </c>
      <c r="J30" s="118">
        <f>SUM(G30:I30)</f>
        <v>1.7560000000000001E-4</v>
      </c>
      <c r="K30" s="36" t="s">
        <v>42</v>
      </c>
      <c r="L30" s="87"/>
      <c r="M30" s="87"/>
      <c r="N30" s="87">
        <f>ROUND($D30*I30,2)</f>
        <v>0</v>
      </c>
      <c r="O30" s="87">
        <f>SUM(L30:N30)</f>
        <v>0</v>
      </c>
      <c r="P30" s="245">
        <f>'Rider Rates'!$D$4</f>
        <v>45293</v>
      </c>
    </row>
    <row r="31" spans="1:30" x14ac:dyDescent="0.2">
      <c r="A31" s="78" t="s">
        <v>47</v>
      </c>
      <c r="B31" t="s">
        <v>15</v>
      </c>
      <c r="D31" s="1">
        <f>IF('Customer Info'!$C$32=TRUE,0,IF(C16&lt;0,0,IF(C16&gt;2000,2000,C16)))</f>
        <v>1000</v>
      </c>
      <c r="E31" s="35" t="s">
        <v>41</v>
      </c>
      <c r="F31" s="4" t="s">
        <v>8</v>
      </c>
      <c r="G31" s="83"/>
      <c r="H31" s="84"/>
      <c r="I31" s="177">
        <f>'Rider Rates'!$B$8</f>
        <v>4.6499999999999996E-3</v>
      </c>
      <c r="J31" s="117">
        <f>SUM(G31:I31)</f>
        <v>4.6499999999999996E-3</v>
      </c>
      <c r="K31" s="36" t="s">
        <v>42</v>
      </c>
      <c r="L31" s="87"/>
      <c r="M31" s="87"/>
      <c r="N31" s="87">
        <f>ROUND($D31*I31,2)</f>
        <v>4.6500000000000004</v>
      </c>
      <c r="O31" s="87">
        <f>SUM(L31:N31)</f>
        <v>4.6500000000000004</v>
      </c>
      <c r="P31" s="245">
        <f>'Rider Rates'!$D$7</f>
        <v>44531</v>
      </c>
    </row>
    <row r="32" spans="1:30" x14ac:dyDescent="0.2">
      <c r="A32" s="78" t="s">
        <v>48</v>
      </c>
      <c r="B32" t="s">
        <v>15</v>
      </c>
      <c r="D32" s="1">
        <f>IF('Customer Info'!$C$32=TRUE,0,IF(C16&gt;15000,13000,IF(C16&gt;2000,C16-2000,0)))</f>
        <v>0</v>
      </c>
      <c r="E32" s="35" t="s">
        <v>41</v>
      </c>
      <c r="F32" s="4" t="s">
        <v>8</v>
      </c>
      <c r="G32" s="83"/>
      <c r="H32" s="84"/>
      <c r="I32" s="177">
        <f>'Rider Rates'!$B$9</f>
        <v>4.1900000000000001E-3</v>
      </c>
      <c r="J32" s="117">
        <f>SUM(G32:I32)</f>
        <v>4.1900000000000001E-3</v>
      </c>
      <c r="K32" s="36" t="s">
        <v>42</v>
      </c>
      <c r="L32" s="87"/>
      <c r="M32" s="87"/>
      <c r="N32" s="87">
        <f>ROUND($D32*I32,2)</f>
        <v>0</v>
      </c>
      <c r="O32" s="87">
        <f>SUM(L32:N32)</f>
        <v>0</v>
      </c>
      <c r="P32" s="245">
        <f>'Rider Rates'!$D$7</f>
        <v>44531</v>
      </c>
    </row>
    <row r="33" spans="1:221" x14ac:dyDescent="0.2">
      <c r="A33" s="78" t="s">
        <v>49</v>
      </c>
      <c r="B33" t="s">
        <v>15</v>
      </c>
      <c r="D33" s="1">
        <f>IF('Customer Info'!$C$32=TRUE,0,IF(C16-D31-D32&gt;0,C16-D31-D32,0))</f>
        <v>0</v>
      </c>
      <c r="E33" s="35" t="s">
        <v>41</v>
      </c>
      <c r="F33" s="4" t="s">
        <v>8</v>
      </c>
      <c r="G33" s="83"/>
      <c r="H33" s="84"/>
      <c r="I33" s="177">
        <f>'Rider Rates'!$B$10</f>
        <v>3.63E-3</v>
      </c>
      <c r="J33" s="117">
        <f>SUM(G33:I33)</f>
        <v>3.63E-3</v>
      </c>
      <c r="K33" s="36" t="s">
        <v>42</v>
      </c>
      <c r="L33" s="87"/>
      <c r="M33" s="87"/>
      <c r="N33" s="87">
        <f>ROUND($D33*I33,2)</f>
        <v>0</v>
      </c>
      <c r="O33" s="87">
        <f>SUM(L33:N33)</f>
        <v>0</v>
      </c>
      <c r="P33" s="245">
        <f>'Rider Rates'!$D$7</f>
        <v>44531</v>
      </c>
    </row>
    <row r="34" spans="1:221" x14ac:dyDescent="0.2">
      <c r="A34" s="241" t="s">
        <v>239</v>
      </c>
      <c r="B34" s="78"/>
      <c r="C34" s="78"/>
      <c r="D34" s="208">
        <f>$N$25</f>
        <v>152.21729999999999</v>
      </c>
      <c r="E34" s="101" t="s">
        <v>122</v>
      </c>
      <c r="F34" s="102" t="s">
        <v>8</v>
      </c>
      <c r="G34" s="103"/>
      <c r="H34" s="103"/>
      <c r="I34" s="178">
        <f>'Rider Rates'!$B$18+'Rider Rates'!$E$18</f>
        <v>0</v>
      </c>
      <c r="J34" s="120">
        <f>SUM(H34:I34)</f>
        <v>0</v>
      </c>
      <c r="K34" s="104"/>
      <c r="L34" s="105"/>
      <c r="M34" s="105"/>
      <c r="N34" s="105">
        <f>ROUND($D$34*'Rider Rates'!$B$18,2)+ROUND($D$34*'Rider Rates'!$E$18,2)</f>
        <v>0</v>
      </c>
      <c r="O34" s="105">
        <f t="shared" ref="O34:O46" si="0">SUM(L34:N34)</f>
        <v>0</v>
      </c>
      <c r="P34" s="245">
        <f>MAX('Rider Rates'!$D$18,'Rider Rates'!$F$18)</f>
        <v>44531</v>
      </c>
    </row>
    <row r="35" spans="1:221" x14ac:dyDescent="0.2">
      <c r="A35" s="210" t="s">
        <v>187</v>
      </c>
      <c r="B35" s="78"/>
      <c r="C35" s="78"/>
      <c r="D35" s="100">
        <f>'Customer Info'!$B$21+'Customer Info'!$B$22-'Customer Info'!$B$23</f>
        <v>1000</v>
      </c>
      <c r="E35" s="101" t="s">
        <v>41</v>
      </c>
      <c r="F35" s="102" t="s">
        <v>8</v>
      </c>
      <c r="G35" s="103">
        <f>'Rider Rates'!B24</f>
        <v>0.10234</v>
      </c>
      <c r="H35" s="103"/>
      <c r="I35" s="103"/>
      <c r="J35" s="237">
        <f>SUM(G35:H35)</f>
        <v>0.10234</v>
      </c>
      <c r="K35" s="104" t="s">
        <v>42</v>
      </c>
      <c r="L35" s="105">
        <f>ROUND(D35*G35,2)</f>
        <v>102.34</v>
      </c>
      <c r="M35" s="105"/>
      <c r="N35" s="105"/>
      <c r="O35" s="105">
        <f t="shared" si="0"/>
        <v>102.34</v>
      </c>
      <c r="P35" s="245">
        <f>'Rider Rates'!$D$23</f>
        <v>45078</v>
      </c>
    </row>
    <row r="36" spans="1:221" x14ac:dyDescent="0.2">
      <c r="A36" s="241" t="s">
        <v>162</v>
      </c>
      <c r="B36" s="78"/>
      <c r="C36" s="78"/>
      <c r="D36" s="100">
        <f>'Customer Info'!$B$21+'Customer Info'!$B$22-'Customer Info'!$B$23</f>
        <v>1000</v>
      </c>
      <c r="E36" s="101" t="s">
        <v>41</v>
      </c>
      <c r="F36" s="102" t="s">
        <v>8</v>
      </c>
      <c r="G36" s="103">
        <f>'Rider Rates'!$B$37</f>
        <v>2.31E-3</v>
      </c>
      <c r="H36" s="103"/>
      <c r="I36" s="103"/>
      <c r="J36" s="237">
        <f>SUM(G36:H36)</f>
        <v>2.31E-3</v>
      </c>
      <c r="K36" s="104" t="s">
        <v>42</v>
      </c>
      <c r="L36" s="105">
        <f>ROUND(D36*G36,2)</f>
        <v>2.31</v>
      </c>
      <c r="M36" s="105"/>
      <c r="N36" s="105"/>
      <c r="O36" s="105">
        <f t="shared" si="0"/>
        <v>2.31</v>
      </c>
      <c r="P36" s="245">
        <f>'Rider Rates'!$D$37</f>
        <v>45078</v>
      </c>
    </row>
    <row r="37" spans="1:221" x14ac:dyDescent="0.2">
      <c r="A37" s="210" t="s">
        <v>194</v>
      </c>
      <c r="B37" s="78"/>
      <c r="C37" s="78"/>
      <c r="D37" s="100">
        <f>'Customer Info'!$B$21+'Customer Info'!$B$22-'Customer Info'!$B$23</f>
        <v>1000</v>
      </c>
      <c r="E37" s="101" t="s">
        <v>41</v>
      </c>
      <c r="F37" s="102" t="s">
        <v>8</v>
      </c>
      <c r="G37" s="103">
        <f>'Rider Rates'!$B$42</f>
        <v>-4.8640000000000001E-4</v>
      </c>
      <c r="H37" s="103"/>
      <c r="I37" s="103"/>
      <c r="J37" s="237">
        <f>SUM(G37:H37)</f>
        <v>-4.8640000000000001E-4</v>
      </c>
      <c r="K37" s="104" t="s">
        <v>42</v>
      </c>
      <c r="L37" s="105">
        <f>ROUND(D37*G37,2)</f>
        <v>-0.49</v>
      </c>
      <c r="M37" s="105"/>
      <c r="N37" s="105"/>
      <c r="O37" s="105">
        <f t="shared" si="0"/>
        <v>-0.49</v>
      </c>
      <c r="P37" s="245">
        <f>'Rider Rates'!$D$42</f>
        <v>45383</v>
      </c>
    </row>
    <row r="38" spans="1:221" x14ac:dyDescent="0.2">
      <c r="A38" s="241" t="s">
        <v>212</v>
      </c>
      <c r="B38" s="78"/>
      <c r="C38" s="78"/>
      <c r="D38" s="100">
        <f>'Customer Info'!$B$21+'Customer Info'!$B$22-'Customer Info'!$B$23</f>
        <v>1000</v>
      </c>
      <c r="E38" s="101" t="s">
        <v>41</v>
      </c>
      <c r="F38" s="102" t="s">
        <v>8</v>
      </c>
      <c r="G38" s="103"/>
      <c r="H38" s="103"/>
      <c r="I38" s="103">
        <f>'Rider Rates'!D46</f>
        <v>1.7826999999999999E-3</v>
      </c>
      <c r="J38" s="103">
        <f>SUM(G38:I38)</f>
        <v>1.7826999999999999E-3</v>
      </c>
      <c r="K38" s="104" t="s">
        <v>42</v>
      </c>
      <c r="L38" s="105"/>
      <c r="M38" s="105"/>
      <c r="N38" s="87">
        <f>D38*J38</f>
        <v>1.7827</v>
      </c>
      <c r="O38" s="105">
        <f t="shared" si="0"/>
        <v>1.7827</v>
      </c>
      <c r="P38" s="245">
        <f>'Rider Rates'!E46</f>
        <v>45292</v>
      </c>
    </row>
    <row r="39" spans="1:221" x14ac:dyDescent="0.2">
      <c r="A39" s="210" t="s">
        <v>190</v>
      </c>
      <c r="B39" s="78"/>
      <c r="C39" s="78"/>
      <c r="D39" s="1">
        <f>IF($C$16&lt;0,0,$C$16)</f>
        <v>1000</v>
      </c>
      <c r="E39" s="113" t="s">
        <v>41</v>
      </c>
      <c r="F39" s="102" t="s">
        <v>8</v>
      </c>
      <c r="G39" s="103"/>
      <c r="H39" s="103">
        <f>'Rider Rates'!G53</f>
        <v>3.2698999999999999E-2</v>
      </c>
      <c r="I39" s="103"/>
      <c r="J39" s="103">
        <f>SUM(G39:I39)</f>
        <v>3.2698999999999999E-2</v>
      </c>
      <c r="K39" s="104" t="s">
        <v>42</v>
      </c>
      <c r="L39" s="105"/>
      <c r="M39" s="105">
        <f>ROUND(D39*H39,2)</f>
        <v>32.700000000000003</v>
      </c>
      <c r="N39" s="205"/>
      <c r="O39" s="105">
        <f t="shared" si="0"/>
        <v>32.700000000000003</v>
      </c>
      <c r="P39" s="245">
        <f>'Rider Rates'!H53</f>
        <v>45383</v>
      </c>
    </row>
    <row r="40" spans="1:221" x14ac:dyDescent="0.2">
      <c r="A40" s="99" t="s">
        <v>83</v>
      </c>
      <c r="B40" s="78"/>
      <c r="C40" s="78"/>
      <c r="D40" s="1">
        <f>IF('Customer Info'!C34=TRUE,0,IF($C$16&lt;0,0,$C$16))</f>
        <v>1000</v>
      </c>
      <c r="E40" s="101" t="s">
        <v>41</v>
      </c>
      <c r="F40" s="102" t="s">
        <v>8</v>
      </c>
      <c r="G40" s="103"/>
      <c r="H40" s="103"/>
      <c r="I40" s="103">
        <f>'Rider Rates'!$B$66+'Rider Rates'!$C$66</f>
        <v>0</v>
      </c>
      <c r="J40" s="103">
        <f>SUM(G40:I40)</f>
        <v>0</v>
      </c>
      <c r="K40" s="104" t="s">
        <v>42</v>
      </c>
      <c r="L40" s="105"/>
      <c r="M40" s="105"/>
      <c r="N40" s="87">
        <f>ROUND($D$40*'Rider Rates'!$B$66,2)+ROUND($D$40*'Rider Rates'!$C$66,2)</f>
        <v>0</v>
      </c>
      <c r="O40" s="209">
        <f t="shared" si="0"/>
        <v>0</v>
      </c>
      <c r="P40" s="245">
        <f>'Rider Rates'!$D$66</f>
        <v>44531</v>
      </c>
      <c r="Q40" s="107"/>
      <c r="R40" s="108"/>
      <c r="S40" s="109"/>
      <c r="T40" s="78"/>
      <c r="U40" s="110"/>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row>
    <row r="41" spans="1:221" x14ac:dyDescent="0.2">
      <c r="A41" s="99" t="s">
        <v>81</v>
      </c>
      <c r="B41" s="78"/>
      <c r="C41" s="78"/>
      <c r="D41" s="208">
        <f>$N$25</f>
        <v>152.21729999999999</v>
      </c>
      <c r="E41" s="101" t="s">
        <v>122</v>
      </c>
      <c r="F41" s="102" t="s">
        <v>8</v>
      </c>
      <c r="G41" s="111"/>
      <c r="H41" s="112"/>
      <c r="I41" s="120">
        <f>'Rider Rates'!$B$80</f>
        <v>2.9347000000000002E-2</v>
      </c>
      <c r="J41" s="120">
        <f>SUM(H41:I41)</f>
        <v>2.9347000000000002E-2</v>
      </c>
      <c r="K41" s="104"/>
      <c r="L41" s="105"/>
      <c r="M41" s="105"/>
      <c r="N41" s="105">
        <f>ROUND(N$25*I41,2)</f>
        <v>4.47</v>
      </c>
      <c r="O41" s="209">
        <f t="shared" si="0"/>
        <v>4.47</v>
      </c>
      <c r="P41" s="245">
        <f>'Rider Rates'!$D$80</f>
        <v>45383</v>
      </c>
      <c r="Q41" s="107"/>
      <c r="R41" s="108"/>
      <c r="S41" s="109"/>
      <c r="T41" s="78"/>
      <c r="U41" s="110"/>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row>
    <row r="42" spans="1:221" x14ac:dyDescent="0.2">
      <c r="A42" s="99" t="s">
        <v>82</v>
      </c>
      <c r="B42" s="78"/>
      <c r="C42" s="78"/>
      <c r="D42" s="208">
        <f>$N$25</f>
        <v>152.21729999999999</v>
      </c>
      <c r="E42" s="101" t="s">
        <v>122</v>
      </c>
      <c r="F42" s="102" t="s">
        <v>8</v>
      </c>
      <c r="G42" s="114"/>
      <c r="H42" s="115"/>
      <c r="I42" s="120">
        <f>'Rider Rates'!$B$82</f>
        <v>6.6985699999999995E-2</v>
      </c>
      <c r="J42" s="120">
        <f>SUM(H42:I42)</f>
        <v>6.6985699999999995E-2</v>
      </c>
      <c r="K42" s="104"/>
      <c r="L42" s="105"/>
      <c r="M42" s="105"/>
      <c r="N42" s="105">
        <f>ROUND(N$25*I42,2)</f>
        <v>10.199999999999999</v>
      </c>
      <c r="O42" s="209">
        <f t="shared" si="0"/>
        <v>10.199999999999999</v>
      </c>
      <c r="P42" s="245">
        <f>'Rider Rates'!$D$82</f>
        <v>45167</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x14ac:dyDescent="0.2">
      <c r="A43" s="210" t="s">
        <v>208</v>
      </c>
      <c r="B43" s="78"/>
      <c r="C43" s="78"/>
      <c r="D43" s="195"/>
      <c r="E43" s="113" t="s">
        <v>115</v>
      </c>
      <c r="F43" s="106"/>
      <c r="G43" s="114"/>
      <c r="H43" s="115"/>
      <c r="I43" s="196">
        <f>'Rider Rates'!$B$86</f>
        <v>15.91</v>
      </c>
      <c r="J43" s="196">
        <f>SUM(G43:I43)</f>
        <v>15.91</v>
      </c>
      <c r="K43" s="104"/>
      <c r="L43" s="105"/>
      <c r="M43" s="105"/>
      <c r="N43" s="105">
        <f>I43</f>
        <v>15.91</v>
      </c>
      <c r="O43" s="105">
        <f>SUM(L43:N43)</f>
        <v>15.91</v>
      </c>
      <c r="P43" s="245">
        <f>'Rider Rates'!$D$86</f>
        <v>45351</v>
      </c>
    </row>
    <row r="44" spans="1:221" x14ac:dyDescent="0.2">
      <c r="A44" s="241" t="s">
        <v>253</v>
      </c>
      <c r="B44" s="78"/>
      <c r="C44" s="78"/>
      <c r="D44" s="1">
        <f>$D$29</f>
        <v>1000</v>
      </c>
      <c r="E44" s="101" t="s">
        <v>41</v>
      </c>
      <c r="F44" s="102" t="s">
        <v>8</v>
      </c>
      <c r="G44" s="103"/>
      <c r="H44" s="103"/>
      <c r="I44" s="103"/>
      <c r="J44" s="103">
        <f>'Rider Rates'!$B$91</f>
        <v>0</v>
      </c>
      <c r="K44" s="104" t="s">
        <v>42</v>
      </c>
      <c r="L44" s="105"/>
      <c r="M44" s="105"/>
      <c r="N44" s="87"/>
      <c r="O44" s="105">
        <f>ROUND($D44*('Rider Rates'!B$91),2)</f>
        <v>0</v>
      </c>
      <c r="P44" s="245">
        <f>'Rider Rates'!$D$91</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41" t="s">
        <v>254</v>
      </c>
      <c r="B45" s="78"/>
      <c r="C45" s="78"/>
      <c r="D45" s="1">
        <f>$D$30</f>
        <v>0</v>
      </c>
      <c r="E45" s="101" t="s">
        <v>41</v>
      </c>
      <c r="F45" s="102" t="s">
        <v>8</v>
      </c>
      <c r="G45" s="103"/>
      <c r="H45" s="103"/>
      <c r="I45" s="103"/>
      <c r="J45" s="103">
        <f>'Rider Rates'!$B$92</f>
        <v>0</v>
      </c>
      <c r="K45" s="104" t="s">
        <v>42</v>
      </c>
      <c r="L45" s="105"/>
      <c r="M45" s="105"/>
      <c r="N45" s="87"/>
      <c r="O45" s="105">
        <f>ROUND($D45*('Rider Rates'!B$92),2)</f>
        <v>0</v>
      </c>
      <c r="P45" s="245">
        <f>'Rider Rates'!$D$92</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157</v>
      </c>
      <c r="B46" s="78"/>
      <c r="C46" s="78"/>
      <c r="D46" s="208">
        <f>$N$25</f>
        <v>152.21729999999999</v>
      </c>
      <c r="E46" s="101" t="s">
        <v>122</v>
      </c>
      <c r="F46" s="102" t="s">
        <v>8</v>
      </c>
      <c r="G46" s="114"/>
      <c r="H46" s="115"/>
      <c r="I46" s="120">
        <f>'Rider Rates'!$B$100</f>
        <v>0.21398439999999999</v>
      </c>
      <c r="J46" s="120">
        <f>SUM(H46:I46)</f>
        <v>0.21398439999999999</v>
      </c>
      <c r="K46" s="104"/>
      <c r="L46" s="105"/>
      <c r="M46" s="105"/>
      <c r="N46" s="105">
        <f>ROUND(N$25*I46,2)</f>
        <v>32.57</v>
      </c>
      <c r="O46" s="105">
        <f t="shared" si="0"/>
        <v>32.57</v>
      </c>
      <c r="P46" s="245">
        <f>'Rider Rates'!$D$100</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211</v>
      </c>
      <c r="B47" s="78"/>
      <c r="C47" s="78"/>
      <c r="D47" s="195"/>
      <c r="E47" s="113" t="s">
        <v>115</v>
      </c>
      <c r="F47" s="106"/>
      <c r="G47" s="114"/>
      <c r="H47" s="115"/>
      <c r="I47" s="196">
        <f>'Rider Rates'!$B$104</f>
        <v>0</v>
      </c>
      <c r="J47" s="196">
        <f>SUM(G47:I47)</f>
        <v>0</v>
      </c>
      <c r="K47" s="104"/>
      <c r="L47" s="105"/>
      <c r="M47" s="105"/>
      <c r="N47" s="105">
        <f>I47</f>
        <v>0</v>
      </c>
      <c r="O47" s="105">
        <f t="shared" ref="O47:O52" si="1">SUM(L47:N47)</f>
        <v>0</v>
      </c>
      <c r="P47" s="245">
        <f>'Rider Rates'!$D$104</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219</v>
      </c>
      <c r="B48" s="78"/>
      <c r="C48" s="78"/>
      <c r="D48" s="195"/>
      <c r="E48" s="113" t="s">
        <v>115</v>
      </c>
      <c r="F48" s="106"/>
      <c r="G48" s="114"/>
      <c r="H48" s="115"/>
      <c r="I48" s="258">
        <f>'Rider Rates'!B117</f>
        <v>5.83</v>
      </c>
      <c r="J48" s="196">
        <f>SUM(G48:I48)</f>
        <v>5.83</v>
      </c>
      <c r="K48" s="104"/>
      <c r="L48" s="105"/>
      <c r="M48" s="105"/>
      <c r="N48" s="260">
        <f>I48</f>
        <v>5.83</v>
      </c>
      <c r="O48" s="105">
        <f t="shared" si="1"/>
        <v>5.83</v>
      </c>
      <c r="P48" s="245">
        <f>'Rider Rates'!D117</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99" t="s">
        <v>158</v>
      </c>
      <c r="B49" s="78"/>
      <c r="C49" s="78"/>
      <c r="D49" s="100">
        <f>'Customer Info'!$B$21+'Customer Info'!$B$22-'Customer Info'!$B$23</f>
        <v>1000</v>
      </c>
      <c r="E49" s="101" t="s">
        <v>41</v>
      </c>
      <c r="F49" s="102" t="s">
        <v>8</v>
      </c>
      <c r="G49" s="103">
        <f>'Rider Rates'!$B$108</f>
        <v>3.7618E-3</v>
      </c>
      <c r="H49" s="103"/>
      <c r="I49" s="120"/>
      <c r="J49" s="237">
        <f>SUM(G49:H49)</f>
        <v>3.7618E-3</v>
      </c>
      <c r="K49" s="104" t="s">
        <v>42</v>
      </c>
      <c r="L49" s="105">
        <f>ROUND(D49*G49,2)</f>
        <v>3.76</v>
      </c>
      <c r="M49" s="105"/>
      <c r="N49" s="105"/>
      <c r="O49" s="105">
        <f t="shared" si="1"/>
        <v>3.76</v>
      </c>
      <c r="P49" s="245">
        <f>'Rider Rates'!$D$108</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210</v>
      </c>
      <c r="B50" s="78"/>
      <c r="C50" s="78"/>
      <c r="D50" s="1">
        <f>IF($C$16&lt;1,0,$C$16)</f>
        <v>1000</v>
      </c>
      <c r="E50" s="101" t="s">
        <v>41</v>
      </c>
      <c r="F50" s="249" t="s">
        <v>8</v>
      </c>
      <c r="G50" s="165"/>
      <c r="H50" s="165"/>
      <c r="I50" s="251">
        <f>'Rider Rates'!B113</f>
        <v>-6.2E-4</v>
      </c>
      <c r="J50" s="251">
        <f>SUM(G50:I50)</f>
        <v>-6.2E-4</v>
      </c>
      <c r="K50" s="104" t="s">
        <v>42</v>
      </c>
      <c r="L50" s="105"/>
      <c r="M50" s="105"/>
      <c r="N50" s="105">
        <f>D50*I50</f>
        <v>-0.62</v>
      </c>
      <c r="O50" s="105">
        <f t="shared" si="1"/>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78" t="s">
        <v>235</v>
      </c>
      <c r="B51" s="78"/>
      <c r="C51" s="78"/>
      <c r="D51" s="100">
        <f>IF(C16&lt;0,0,IF(C16&gt;833000,833000,C16))</f>
        <v>1000</v>
      </c>
      <c r="E51" s="101" t="s">
        <v>41</v>
      </c>
      <c r="F51" s="102" t="s">
        <v>8</v>
      </c>
      <c r="G51" s="265"/>
      <c r="H51" s="265"/>
      <c r="I51" s="265">
        <f>'Rider Rates'!$B$121</f>
        <v>2.9050000000000001E-4</v>
      </c>
      <c r="J51" s="265">
        <f>SUM(G51:I51)</f>
        <v>2.9050000000000001E-4</v>
      </c>
      <c r="K51" s="104" t="s">
        <v>42</v>
      </c>
      <c r="L51" s="266"/>
      <c r="M51" s="266"/>
      <c r="N51" s="266">
        <f>IF(D51*J51&gt;'Rider Rates'!$C$121,'Rider Rates'!$C$121,D51*J51)</f>
        <v>0.29050000000000004</v>
      </c>
      <c r="O51" s="266">
        <f t="shared" si="1"/>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78" t="s">
        <v>236</v>
      </c>
      <c r="B52" s="78"/>
      <c r="C52" s="78"/>
      <c r="D52" s="123">
        <f>IF(C16&gt;833000,C16-833000,0)</f>
        <v>0</v>
      </c>
      <c r="E52" s="101" t="s">
        <v>41</v>
      </c>
      <c r="F52" s="102" t="s">
        <v>8</v>
      </c>
      <c r="G52" s="265"/>
      <c r="H52" s="265"/>
      <c r="I52" s="265">
        <f>'Rider Rates'!$B$122</f>
        <v>0</v>
      </c>
      <c r="J52" s="265">
        <f>SUM(G52:I52)</f>
        <v>0</v>
      </c>
      <c r="K52" s="104" t="s">
        <v>42</v>
      </c>
      <c r="L52" s="266"/>
      <c r="M52" s="266"/>
      <c r="N52" s="266">
        <f>D52*J52</f>
        <v>0</v>
      </c>
      <c r="O52" s="266">
        <f t="shared" si="1"/>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41" t="s">
        <v>244</v>
      </c>
      <c r="B53" s="78"/>
      <c r="C53" s="78"/>
      <c r="D53" s="100">
        <f>D16</f>
        <v>1000</v>
      </c>
      <c r="E53" s="101" t="s">
        <v>41</v>
      </c>
      <c r="F53" s="249" t="s">
        <v>8</v>
      </c>
      <c r="G53" s="103"/>
      <c r="H53" s="103"/>
      <c r="I53" s="103">
        <f>'Rider Rates'!$B$128</f>
        <v>0</v>
      </c>
      <c r="J53" s="237">
        <f>SUM(G53:I53)</f>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243</v>
      </c>
      <c r="B54" s="78"/>
      <c r="C54" s="78"/>
      <c r="D54" s="100"/>
      <c r="E54" s="101" t="s">
        <v>115</v>
      </c>
      <c r="F54" s="102" t="s">
        <v>8</v>
      </c>
      <c r="G54" s="263"/>
      <c r="H54" s="263"/>
      <c r="I54" s="263">
        <f>'Rider Rates'!$B$133</f>
        <v>0</v>
      </c>
      <c r="J54" s="263">
        <f>SUM(G54:I54)</f>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179" t="s">
        <v>71</v>
      </c>
      <c r="B56" s="148"/>
      <c r="C56" s="148"/>
      <c r="D56" s="180"/>
      <c r="E56" s="181"/>
      <c r="F56" s="182"/>
      <c r="G56" s="182"/>
      <c r="H56" s="182"/>
      <c r="I56" s="182"/>
      <c r="J56" s="182"/>
      <c r="K56" s="183"/>
      <c r="L56" s="169">
        <f>SUM(L29:L55)</f>
        <v>107.92000000000002</v>
      </c>
      <c r="M56" s="169">
        <f t="shared" ref="M56:O56" si="2">SUM(M29:M55)</f>
        <v>32.700000000000003</v>
      </c>
      <c r="N56" s="169">
        <f t="shared" si="2"/>
        <v>81.003199999999993</v>
      </c>
      <c r="O56" s="169">
        <f t="shared" si="2"/>
        <v>221.6232</v>
      </c>
      <c r="P56" s="184"/>
    </row>
    <row r="57" spans="1:221" x14ac:dyDescent="0.2">
      <c r="A57" s="37"/>
      <c r="D57" s="1"/>
      <c r="E57" s="35"/>
      <c r="F57" s="4"/>
      <c r="G57" s="42"/>
      <c r="H57" s="42"/>
      <c r="I57" s="42"/>
      <c r="J57" s="42"/>
      <c r="K57" s="36"/>
      <c r="L57" s="36"/>
      <c r="M57" s="36"/>
      <c r="N57" s="36"/>
      <c r="O57" s="34"/>
      <c r="P57" s="36"/>
    </row>
    <row r="58" spans="1:221" x14ac:dyDescent="0.2">
      <c r="A58" s="269" t="s">
        <v>72</v>
      </c>
      <c r="B58" s="92"/>
      <c r="C58" s="92"/>
      <c r="D58" s="92"/>
      <c r="E58" s="92"/>
      <c r="F58" s="92"/>
      <c r="G58" s="92"/>
      <c r="H58" s="92"/>
      <c r="I58" s="92"/>
      <c r="J58" s="92"/>
      <c r="K58" s="92"/>
      <c r="L58" s="98">
        <f>L25+L56</f>
        <v>107.92000000000002</v>
      </c>
      <c r="M58" s="98">
        <f>M25+M56</f>
        <v>32.700000000000003</v>
      </c>
      <c r="N58" s="98">
        <f>N25+N56</f>
        <v>233.22049999999999</v>
      </c>
      <c r="O58" s="98">
        <f>O25+O56</f>
        <v>373.84050000000002</v>
      </c>
      <c r="P58" s="98"/>
    </row>
    <row r="59" spans="1:221" x14ac:dyDescent="0.2">
      <c r="A59" s="37"/>
      <c r="B59" s="37"/>
      <c r="C59" s="37"/>
      <c r="D59" s="37"/>
      <c r="E59" s="37"/>
      <c r="F59" s="37"/>
      <c r="G59" s="37"/>
      <c r="H59" s="37"/>
      <c r="I59" s="37"/>
      <c r="J59" s="37"/>
      <c r="K59" s="37"/>
      <c r="L59" s="37"/>
      <c r="M59" s="37"/>
      <c r="N59" s="37"/>
      <c r="O59" s="40"/>
      <c r="P59" s="40"/>
    </row>
    <row r="60" spans="1:221" x14ac:dyDescent="0.2">
      <c r="A60" s="37" t="s">
        <v>37</v>
      </c>
      <c r="B60" s="37"/>
      <c r="C60" s="37"/>
      <c r="D60" s="37"/>
      <c r="E60" s="37"/>
      <c r="F60" s="37"/>
      <c r="G60" s="37"/>
      <c r="H60" s="37"/>
      <c r="I60" s="37"/>
      <c r="J60" s="37"/>
      <c r="K60" s="37"/>
      <c r="L60" s="37"/>
      <c r="M60" s="37"/>
      <c r="N60" s="37"/>
      <c r="O60" s="45">
        <f>O23+O56</f>
        <v>360.1232</v>
      </c>
      <c r="P60" s="245">
        <v>40967</v>
      </c>
    </row>
    <row r="61" spans="1:221" x14ac:dyDescent="0.2">
      <c r="A61" s="37"/>
      <c r="B61" s="37"/>
      <c r="C61" s="37"/>
      <c r="D61" s="37"/>
      <c r="E61" s="37"/>
      <c r="F61" s="37"/>
      <c r="G61" s="46"/>
      <c r="H61" s="46"/>
      <c r="I61" s="46"/>
      <c r="J61" s="46"/>
      <c r="K61" s="36"/>
      <c r="L61" s="36"/>
      <c r="M61" s="36"/>
      <c r="N61" s="36"/>
      <c r="O61" s="40"/>
    </row>
    <row r="62" spans="1:221" x14ac:dyDescent="0.2">
      <c r="A62" s="41" t="s">
        <v>117</v>
      </c>
      <c r="B62" s="37"/>
      <c r="C62" s="37"/>
      <c r="D62" s="37"/>
      <c r="E62" s="37"/>
      <c r="F62" s="37"/>
      <c r="G62" s="46"/>
      <c r="H62" s="46"/>
      <c r="I62" s="46"/>
      <c r="J62" s="46"/>
      <c r="K62" s="36"/>
      <c r="L62" s="36"/>
      <c r="M62" s="36"/>
      <c r="N62" s="36"/>
      <c r="O62" s="138">
        <f>MAX($O$58,$O$60)</f>
        <v>373.84050000000002</v>
      </c>
    </row>
    <row r="63" spans="1:221" x14ac:dyDescent="0.2">
      <c r="A63" s="37"/>
      <c r="B63" s="37"/>
      <c r="C63" s="37"/>
      <c r="D63" s="37"/>
      <c r="E63" s="37"/>
      <c r="F63" s="37"/>
      <c r="G63" s="46"/>
      <c r="H63" s="46"/>
      <c r="I63" s="46"/>
      <c r="J63" s="46"/>
      <c r="K63" s="36"/>
      <c r="L63" s="36"/>
      <c r="M63" s="36"/>
      <c r="N63" s="36"/>
      <c r="O63" s="40"/>
    </row>
    <row r="64" spans="1:221" x14ac:dyDescent="0.2">
      <c r="A64" s="37"/>
      <c r="B64" s="37"/>
      <c r="C64" s="37"/>
      <c r="D64" s="37"/>
      <c r="E64" s="37"/>
      <c r="F64" s="37"/>
      <c r="G64" s="96" t="s">
        <v>86</v>
      </c>
      <c r="H64" s="46"/>
      <c r="I64" s="37"/>
      <c r="J64" s="46"/>
      <c r="K64" s="36"/>
      <c r="L64" s="191"/>
      <c r="M64" s="191"/>
      <c r="N64" s="191"/>
      <c r="O64" s="191">
        <f>ROUND(IF($C$16&lt;1,0,$O$62/($C$16*100)*10000),2)</f>
        <v>37.380000000000003</v>
      </c>
      <c r="P64" s="37" t="s">
        <v>87</v>
      </c>
    </row>
    <row r="65" spans="1:16" x14ac:dyDescent="0.2">
      <c r="A65" s="37"/>
      <c r="B65" s="37"/>
      <c r="C65" s="37"/>
      <c r="D65" s="37"/>
      <c r="E65" s="37"/>
      <c r="F65" s="37"/>
      <c r="G65" s="242" t="s">
        <v>191</v>
      </c>
      <c r="H65" s="136"/>
      <c r="I65" s="133"/>
      <c r="J65" s="136"/>
      <c r="K65" s="137"/>
      <c r="L65" s="78"/>
      <c r="M65" s="78"/>
      <c r="N65" s="78"/>
      <c r="O65" s="243">
        <f>ROUND(IF($C$16&lt;1,0,(L58)/($C$16*100)*10000),2)</f>
        <v>10.79</v>
      </c>
      <c r="P65" s="25" t="s">
        <v>87</v>
      </c>
    </row>
    <row r="66" spans="1:16" x14ac:dyDescent="0.2">
      <c r="A66" s="37"/>
      <c r="B66" s="37"/>
      <c r="C66" s="37"/>
      <c r="D66" s="37"/>
      <c r="E66" s="37"/>
      <c r="F66" s="37"/>
      <c r="G66" s="96"/>
      <c r="H66" s="46"/>
      <c r="I66" s="96"/>
      <c r="J66" s="46"/>
      <c r="K66" s="36"/>
      <c r="L66" s="36"/>
      <c r="M66" s="36"/>
      <c r="N66" s="36"/>
      <c r="O66" s="130"/>
      <c r="P66" s="37"/>
    </row>
    <row r="67" spans="1:16" ht="20.25" customHeight="1" x14ac:dyDescent="0.3">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x14ac:dyDescent="0.2">
      <c r="A68" s="37"/>
      <c r="B68" s="37"/>
      <c r="C68" s="37"/>
      <c r="D68" s="54"/>
      <c r="E68" s="3"/>
      <c r="F68" s="4"/>
      <c r="G68" s="55"/>
      <c r="H68" s="55"/>
      <c r="I68" s="93"/>
      <c r="J68" s="55"/>
      <c r="K68" s="37"/>
      <c r="L68" s="37"/>
      <c r="M68" s="37"/>
      <c r="N68" s="37"/>
      <c r="O68" s="40"/>
    </row>
    <row r="69" spans="1:16" x14ac:dyDescent="0.2">
      <c r="A69" s="37"/>
      <c r="B69" s="37"/>
      <c r="C69" s="37"/>
      <c r="D69" s="54"/>
      <c r="E69" s="3"/>
      <c r="F69" s="4"/>
      <c r="G69" s="55"/>
      <c r="H69" s="55"/>
      <c r="I69" s="55"/>
      <c r="J69" s="55"/>
      <c r="K69" s="37"/>
      <c r="L69" s="37"/>
      <c r="M69" s="37"/>
      <c r="N69" s="37"/>
      <c r="O69" s="40"/>
    </row>
    <row r="70" spans="1:16" x14ac:dyDescent="0.2">
      <c r="A70" s="41"/>
      <c r="B70" s="37"/>
      <c r="C70" s="37"/>
      <c r="D70" s="37"/>
      <c r="E70" s="37"/>
      <c r="F70" s="37"/>
      <c r="G70" s="37"/>
      <c r="H70" s="37"/>
      <c r="J70" s="37"/>
      <c r="K70" s="37"/>
      <c r="L70" s="40"/>
      <c r="M70" s="40"/>
      <c r="N70" s="40"/>
      <c r="O70" s="138"/>
    </row>
    <row r="71" spans="1:16" x14ac:dyDescent="0.2">
      <c r="B71" s="37"/>
      <c r="C71" s="37"/>
      <c r="D71" s="37"/>
      <c r="E71" s="37"/>
      <c r="F71" s="37"/>
      <c r="G71" s="96"/>
      <c r="H71" s="37"/>
      <c r="I71" s="37"/>
      <c r="J71" s="37"/>
      <c r="K71" s="37"/>
      <c r="L71" s="60"/>
      <c r="M71" s="60"/>
      <c r="N71" s="60"/>
      <c r="O71" s="130"/>
      <c r="P71" s="37"/>
    </row>
    <row r="72" spans="1:16" x14ac:dyDescent="0.2">
      <c r="G72" s="133"/>
      <c r="H72" s="56"/>
      <c r="I72" s="133"/>
      <c r="J72" s="56"/>
      <c r="K72" s="56"/>
      <c r="L72" s="134"/>
      <c r="M72" s="134"/>
      <c r="N72" s="134"/>
      <c r="O72" s="135"/>
      <c r="P72" s="25"/>
    </row>
    <row r="74" spans="1:16" x14ac:dyDescent="0.2">
      <c r="A74" s="350"/>
    </row>
    <row r="75" spans="1:16" x14ac:dyDescent="0.2">
      <c r="A75" s="350"/>
    </row>
    <row r="76" spans="1:16" x14ac:dyDescent="0.2">
      <c r="A76" s="350"/>
    </row>
    <row r="77" spans="1:16" x14ac:dyDescent="0.2">
      <c r="A77" s="350"/>
    </row>
    <row r="78" spans="1:16" x14ac:dyDescent="0.2">
      <c r="A78" s="350"/>
    </row>
    <row r="79" spans="1:16" x14ac:dyDescent="0.2">
      <c r="A79" s="350"/>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sheetData>
  <sheetProtection password="D7E1" sheet="1" objects="1" scenarios="1"/>
  <mergeCells count="26">
    <mergeCell ref="A74:A88"/>
    <mergeCell ref="A4:P4"/>
    <mergeCell ref="A7:P7"/>
    <mergeCell ref="A11:I11"/>
    <mergeCell ref="D18:H18"/>
    <mergeCell ref="D19:H19"/>
    <mergeCell ref="G21:J21"/>
    <mergeCell ref="L21:O21"/>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60"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94210" r:id="rId5" name="Button 2">
              <controlPr defaultSize="0" print="0" autoFill="0" autoPict="0" macro="[0]!Info">
                <anchor moveWithCells="1">
                  <from>
                    <xdr:col>15</xdr:col>
                    <xdr:colOff>409575</xdr:colOff>
                    <xdr:row>82</xdr:row>
                    <xdr:rowOff>76200</xdr:rowOff>
                  </from>
                  <to>
                    <xdr:col>16</xdr:col>
                    <xdr:colOff>38100</xdr:colOff>
                    <xdr:row>83</xdr:row>
                    <xdr:rowOff>133350</xdr:rowOff>
                  </to>
                </anchor>
              </controlPr>
            </control>
          </mc:Choice>
        </mc:AlternateContent>
        <mc:AlternateContent xmlns:mc="http://schemas.openxmlformats.org/markup-compatibility/2006">
          <mc:Choice Requires="x14">
            <control shapeId="94211"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4212"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4213"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4214"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94215"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4216"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4217"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4218"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94219"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4220"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4221"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4222"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94223"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4224"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4225"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4226"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94227"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4228"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4229"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4230"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94231"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4232"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4233"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4234"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94235"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4236"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4237"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4238"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94239"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4240"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4241"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4242"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94243"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4244"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4245"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4246"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94247"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4248"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4249"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4250"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94251"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4252"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4253"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4254"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94255"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4256"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4257"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4258"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94259"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4260"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4261"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4262"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94263"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4264"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4265"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94266"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pageSetUpPr fitToPage="1"/>
  </sheetPr>
  <dimension ref="A1:IV95"/>
  <sheetViews>
    <sheetView showGridLines="0" topLeftCell="A10" zoomScale="80" zoomScaleNormal="80" workbookViewId="0">
      <selection activeCell="D45" sqref="D45"/>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259</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76">
        <f ca="1">TODAY()</f>
        <v>45371</v>
      </c>
      <c r="B6" s="210" t="s">
        <v>256</v>
      </c>
      <c r="C6" s="76"/>
      <c r="D6" s="76"/>
      <c r="E6" s="76"/>
      <c r="F6" s="76"/>
      <c r="G6" s="76"/>
      <c r="H6" s="76"/>
      <c r="I6" s="76"/>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Rates'!$C$23</f>
        <v>0.10589</v>
      </c>
      <c r="T12" s="207">
        <f>'Rider Rates'!$C$23</f>
        <v>0.10589</v>
      </c>
      <c r="U12" s="207">
        <f>'Rider Rates'!$C$23</f>
        <v>0.10589</v>
      </c>
      <c r="V12" s="207">
        <f>'Rider Rates'!$C$23</f>
        <v>0.10589</v>
      </c>
      <c r="W12" s="207">
        <f>'Rider Rates'!$C$23</f>
        <v>0.10589</v>
      </c>
      <c r="X12" s="207">
        <f>'Rider Rates'!$B$23</f>
        <v>0.10589</v>
      </c>
      <c r="Y12" s="207">
        <f>'Rider Rates'!$B$23</f>
        <v>0.10589</v>
      </c>
      <c r="Z12" s="207">
        <f>'Rider Rates'!$B$23</f>
        <v>0.10589</v>
      </c>
      <c r="AA12" s="207">
        <f>'Rider Rates'!$B$23</f>
        <v>0.10589</v>
      </c>
      <c r="AB12" s="207">
        <f>'Rider Rates'!$C$23</f>
        <v>0.10589</v>
      </c>
      <c r="AC12" s="207">
        <f>'Rider Rates'!$C$23</f>
        <v>0.10589</v>
      </c>
      <c r="AD12" s="207">
        <f>'Rider Rates'!$C$23</f>
        <v>0.10589</v>
      </c>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ROUND(C14*C20,1)</f>
        <v>0</v>
      </c>
      <c r="E14" s="29" t="s">
        <v>45</v>
      </c>
      <c r="F14" s="30"/>
      <c r="G14" s="29" t="s">
        <v>15</v>
      </c>
      <c r="I14" s="53" t="s">
        <v>15</v>
      </c>
      <c r="J14" s="29"/>
      <c r="K14" s="29"/>
      <c r="L14" s="29"/>
      <c r="M14" s="29"/>
      <c r="N14" s="29"/>
    </row>
    <row r="15" spans="1:256" x14ac:dyDescent="0.2">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C16*C20</f>
        <v>1000</v>
      </c>
      <c r="E16" s="31" t="s">
        <v>41</v>
      </c>
      <c r="F16" s="33"/>
      <c r="G16" s="31"/>
      <c r="H16" s="31"/>
      <c r="I16" s="31"/>
      <c r="J16" s="31"/>
      <c r="K16" s="31"/>
      <c r="L16" s="31"/>
      <c r="M16" s="31"/>
      <c r="N16" s="31"/>
      <c r="O16" s="31"/>
    </row>
    <row r="17" spans="1:30" x14ac:dyDescent="0.2">
      <c r="A17" s="31" t="s">
        <v>286</v>
      </c>
      <c r="B17" s="31"/>
      <c r="C17" s="32">
        <f>'Customer Info'!$B$27</f>
        <v>0</v>
      </c>
      <c r="D17" s="32">
        <f>$C$17*$C$20</f>
        <v>0</v>
      </c>
      <c r="E17" s="31" t="s">
        <v>289</v>
      </c>
      <c r="F17" s="33"/>
      <c r="G17" s="31"/>
      <c r="H17" s="31"/>
      <c r="I17" s="31"/>
      <c r="J17" s="31"/>
      <c r="K17" s="31"/>
      <c r="L17" s="31"/>
      <c r="M17" s="31"/>
      <c r="N17" s="31"/>
      <c r="O17" s="31"/>
    </row>
    <row r="18" spans="1:30" x14ac:dyDescent="0.2">
      <c r="A18" s="31" t="s">
        <v>287</v>
      </c>
      <c r="B18" s="31"/>
      <c r="C18" s="285">
        <f>IF('Customer Info'!$B$18=0,0,ROUND(MAX(ROUND('Customer Info'!$B$18*'GS SEC'!C20,1),ROUND('Customer Info'!$B$19*'GS SEC'!C20,1))/'Customer Info'!$D$29,1))</f>
        <v>0</v>
      </c>
      <c r="D18" s="285">
        <f>$C$18</f>
        <v>0</v>
      </c>
      <c r="E18" s="31" t="s">
        <v>290</v>
      </c>
      <c r="F18" s="33"/>
      <c r="G18" s="31"/>
      <c r="H18" s="31"/>
      <c r="I18" s="31"/>
      <c r="J18" s="31"/>
      <c r="K18" s="31"/>
      <c r="L18" s="31"/>
      <c r="M18" s="31"/>
      <c r="N18" s="31"/>
      <c r="O18" s="31"/>
    </row>
    <row r="19" spans="1:30" x14ac:dyDescent="0.2">
      <c r="A19" s="31" t="s">
        <v>288</v>
      </c>
      <c r="B19" s="31"/>
      <c r="C19" s="32"/>
      <c r="D19" s="285">
        <f>MAX(100,ROUND(1.15*(MAX('Customer Info'!$B$18*'GS SEC'!C20,'Customer Info'!$B$19*'GS SEC'!C20)),1))</f>
        <v>100</v>
      </c>
      <c r="E19" s="31" t="s">
        <v>290</v>
      </c>
      <c r="F19" s="33"/>
      <c r="G19" s="31"/>
      <c r="H19" s="31"/>
      <c r="I19" s="31"/>
      <c r="J19" s="31"/>
      <c r="K19" s="31"/>
      <c r="L19" s="31"/>
      <c r="M19" s="31"/>
      <c r="N19" s="31"/>
      <c r="O19" s="31"/>
    </row>
    <row r="20" spans="1:30" x14ac:dyDescent="0.2">
      <c r="A20" s="31" t="s">
        <v>54</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
      <c r="A21" s="31" t="s">
        <v>15</v>
      </c>
      <c r="B21" s="31"/>
      <c r="C21" s="82" t="s">
        <v>15</v>
      </c>
      <c r="D21" s="371" t="s">
        <v>15</v>
      </c>
      <c r="E21" s="371"/>
      <c r="F21" s="371"/>
      <c r="G21" s="371"/>
      <c r="H21" s="371"/>
      <c r="K21" s="31"/>
      <c r="L21" s="31"/>
      <c r="M21" s="31"/>
      <c r="N21" s="31"/>
      <c r="O21" s="50"/>
    </row>
    <row r="22" spans="1:30" x14ac:dyDescent="0.2">
      <c r="A22" s="31" t="s">
        <v>15</v>
      </c>
      <c r="B22" s="31"/>
      <c r="C22" s="82" t="s">
        <v>15</v>
      </c>
      <c r="D22" s="371" t="s">
        <v>15</v>
      </c>
      <c r="E22" s="371"/>
      <c r="F22" s="371"/>
      <c r="G22" s="371"/>
      <c r="H22" s="371"/>
      <c r="I22" s="23"/>
      <c r="J22" s="23"/>
      <c r="K22" s="31"/>
      <c r="L22" s="31"/>
      <c r="M22" s="31"/>
      <c r="N22" s="31"/>
      <c r="O22" s="50"/>
    </row>
    <row r="23" spans="1:30" x14ac:dyDescent="0.2">
      <c r="A23" s="31"/>
      <c r="B23" s="31"/>
      <c r="C23" s="33"/>
      <c r="D23" s="33"/>
      <c r="E23" s="33"/>
      <c r="F23" s="33"/>
      <c r="G23" s="23"/>
      <c r="H23" s="23"/>
      <c r="I23" s="23"/>
      <c r="J23" s="23"/>
      <c r="K23" s="31"/>
      <c r="L23" s="31"/>
      <c r="M23" s="31"/>
      <c r="N23" s="31"/>
      <c r="O23" s="31"/>
    </row>
    <row r="24" spans="1:30" x14ac:dyDescent="0.2">
      <c r="A24" s="28" t="s">
        <v>31</v>
      </c>
      <c r="B24" s="22"/>
      <c r="C24" s="22"/>
      <c r="D24" s="22"/>
      <c r="E24" s="22"/>
      <c r="F24" s="22"/>
      <c r="G24" s="362" t="s">
        <v>68</v>
      </c>
      <c r="H24" s="363"/>
      <c r="I24" s="363"/>
      <c r="J24" s="364"/>
      <c r="K24" s="22"/>
      <c r="L24" s="365" t="s">
        <v>69</v>
      </c>
      <c r="M24" s="365"/>
      <c r="N24" s="365"/>
      <c r="O24" s="365"/>
    </row>
    <row r="25" spans="1:30" x14ac:dyDescent="0.2">
      <c r="A25" s="18"/>
      <c r="B25" s="18"/>
      <c r="C25" s="18"/>
      <c r="D25" s="18"/>
      <c r="E25" s="18"/>
      <c r="F25" s="18"/>
      <c r="G25" s="8" t="s">
        <v>65</v>
      </c>
      <c r="H25" s="8" t="s">
        <v>66</v>
      </c>
      <c r="I25" s="8" t="s">
        <v>67</v>
      </c>
      <c r="J25" s="112" t="s">
        <v>34</v>
      </c>
      <c r="K25" s="18"/>
      <c r="L25" s="131" t="s">
        <v>65</v>
      </c>
      <c r="M25" s="131" t="s">
        <v>66</v>
      </c>
      <c r="N25" s="131" t="s">
        <v>67</v>
      </c>
      <c r="O25" s="132" t="s">
        <v>34</v>
      </c>
      <c r="P25" s="43" t="s">
        <v>57</v>
      </c>
    </row>
    <row r="26" spans="1:30" x14ac:dyDescent="0.2">
      <c r="A26" t="s">
        <v>32</v>
      </c>
      <c r="G26" s="86"/>
      <c r="H26" s="86"/>
      <c r="I26" s="86">
        <v>9.4</v>
      </c>
      <c r="J26" s="86">
        <f>SUM(G26:I26)</f>
        <v>9.4</v>
      </c>
      <c r="L26" s="88"/>
      <c r="M26" s="88"/>
      <c r="N26" s="88">
        <f>I26</f>
        <v>9.4</v>
      </c>
      <c r="O26" s="209">
        <f>SUM(L26:N26)</f>
        <v>9.4</v>
      </c>
      <c r="P26" s="245">
        <v>44531</v>
      </c>
    </row>
    <row r="27" spans="1:30" x14ac:dyDescent="0.2">
      <c r="A27" t="s">
        <v>132</v>
      </c>
      <c r="D27" s="1">
        <f>D16</f>
        <v>1000</v>
      </c>
      <c r="E27" s="101" t="s">
        <v>41</v>
      </c>
      <c r="F27" s="102" t="s">
        <v>8</v>
      </c>
      <c r="G27" s="84"/>
      <c r="H27" s="86"/>
      <c r="I27" s="86"/>
      <c r="J27" s="84"/>
      <c r="K27" s="104" t="s">
        <v>42</v>
      </c>
      <c r="L27" s="87"/>
      <c r="M27" s="88"/>
      <c r="N27" s="87"/>
      <c r="O27" s="209"/>
      <c r="P27" s="245"/>
    </row>
    <row r="28" spans="1:30" x14ac:dyDescent="0.2">
      <c r="A28" t="s">
        <v>33</v>
      </c>
      <c r="D28" s="49">
        <f>ROUND(MAX(D14,D15,('Customer Info'!B14-100)*0.6,('Customer Info'!B16-100)*0.6),1)</f>
        <v>0</v>
      </c>
      <c r="E28" s="29" t="s">
        <v>45</v>
      </c>
      <c r="F28" s="4" t="s">
        <v>8</v>
      </c>
      <c r="G28" s="85"/>
      <c r="H28" s="85"/>
      <c r="I28" s="85">
        <v>7.01</v>
      </c>
      <c r="J28" s="85">
        <f>SUM(G28:I28)</f>
        <v>7.01</v>
      </c>
      <c r="K28" s="36" t="s">
        <v>44</v>
      </c>
      <c r="L28" s="87"/>
      <c r="M28" s="87"/>
      <c r="N28" s="87">
        <f>ROUND($D28*I28,2)</f>
        <v>0</v>
      </c>
      <c r="O28" s="209">
        <f>SUM(L28:N28)</f>
        <v>0</v>
      </c>
      <c r="P28" s="245">
        <v>44531</v>
      </c>
    </row>
    <row r="29" spans="1:30" x14ac:dyDescent="0.2">
      <c r="A29" t="s">
        <v>262</v>
      </c>
      <c r="D29" s="49">
        <f>IF(D18&lt;=100,0,ROUND(IF(D18-D19&gt;0,D18-D19),1))</f>
        <v>0</v>
      </c>
      <c r="E29" s="29" t="s">
        <v>260</v>
      </c>
      <c r="F29" s="4" t="s">
        <v>8</v>
      </c>
      <c r="G29" s="116"/>
      <c r="H29" s="85"/>
      <c r="I29" s="85">
        <v>1.25</v>
      </c>
      <c r="J29" s="116">
        <f>SUM(G29:I29)</f>
        <v>1.25</v>
      </c>
      <c r="K29" s="36" t="s">
        <v>44</v>
      </c>
      <c r="L29" s="87"/>
      <c r="M29" s="87"/>
      <c r="N29" s="87">
        <f>ROUND($D29*I29,2)</f>
        <v>0</v>
      </c>
      <c r="O29" s="87">
        <f>SUM(L29:N29)</f>
        <v>0</v>
      </c>
      <c r="P29" s="245">
        <v>44531</v>
      </c>
    </row>
    <row r="30" spans="1:30" x14ac:dyDescent="0.2">
      <c r="A30" s="37" t="s">
        <v>50</v>
      </c>
      <c r="B30" s="37"/>
      <c r="C30" s="37"/>
      <c r="D30" s="38"/>
      <c r="E30" s="38"/>
      <c r="F30" s="37"/>
      <c r="G30" s="37"/>
      <c r="H30" s="37"/>
      <c r="I30" s="37"/>
      <c r="J30" s="37"/>
      <c r="K30" s="39"/>
      <c r="L30" s="40"/>
      <c r="M30" s="40"/>
      <c r="N30" s="40">
        <f>SUM(N26:N29)</f>
        <v>9.4</v>
      </c>
      <c r="O30" s="40">
        <f>SUM(O26:O29)</f>
        <v>9.4</v>
      </c>
    </row>
    <row r="31" spans="1:30" x14ac:dyDescent="0.2">
      <c r="A31" s="89"/>
      <c r="B31" s="89"/>
      <c r="C31" s="90"/>
      <c r="D31" s="90"/>
      <c r="E31" s="90"/>
      <c r="F31" s="90"/>
      <c r="G31" s="91"/>
      <c r="H31" s="91"/>
      <c r="I31" s="91"/>
      <c r="J31" s="91"/>
      <c r="K31" s="89"/>
      <c r="L31" s="89"/>
      <c r="M31" s="89"/>
      <c r="N31" s="89"/>
      <c r="O31" s="89"/>
      <c r="P31" s="89"/>
    </row>
    <row r="32" spans="1:30" x14ac:dyDescent="0.2">
      <c r="A32" s="41" t="s">
        <v>70</v>
      </c>
      <c r="D32" s="1"/>
      <c r="E32" s="1"/>
      <c r="K32" s="36"/>
      <c r="L32" s="36"/>
      <c r="M32" s="36"/>
      <c r="N32" s="36"/>
      <c r="O32" s="34"/>
      <c r="P32" s="34"/>
    </row>
    <row r="33" spans="1:220" x14ac:dyDescent="0.2">
      <c r="A33" s="37"/>
      <c r="D33" s="1"/>
      <c r="E33" s="1"/>
      <c r="K33" s="36"/>
      <c r="L33" s="36"/>
      <c r="M33" s="36"/>
      <c r="N33" s="36"/>
      <c r="O33" s="34"/>
    </row>
    <row r="34" spans="1:220" x14ac:dyDescent="0.2">
      <c r="A34" s="78" t="s">
        <v>79</v>
      </c>
      <c r="D34" s="1">
        <f>IF($C$16&lt;0,0,IF($C$16&gt;833000,833000,$C$16))</f>
        <v>1000</v>
      </c>
      <c r="E34" s="35" t="s">
        <v>41</v>
      </c>
      <c r="F34" s="4" t="s">
        <v>8</v>
      </c>
      <c r="G34" s="83"/>
      <c r="H34" s="84"/>
      <c r="I34" s="103">
        <f>'Rider Rates'!$B$4</f>
        <v>5.9216E-3</v>
      </c>
      <c r="J34" s="6">
        <f>SUM(G34:I34)</f>
        <v>5.9216E-3</v>
      </c>
      <c r="K34" s="36" t="s">
        <v>42</v>
      </c>
      <c r="L34" s="87"/>
      <c r="M34" s="87"/>
      <c r="N34" s="87">
        <f>ROUND($D34*I34,2)</f>
        <v>5.92</v>
      </c>
      <c r="O34" s="87">
        <f>SUM(L34:N34)</f>
        <v>5.92</v>
      </c>
      <c r="P34" s="245">
        <f>'Rider Rates'!$D$4</f>
        <v>45293</v>
      </c>
    </row>
    <row r="35" spans="1:220" x14ac:dyDescent="0.2">
      <c r="A35" s="78" t="s">
        <v>80</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0" x14ac:dyDescent="0.2">
      <c r="A36" s="78" t="s">
        <v>47</v>
      </c>
      <c r="B36" t="s">
        <v>15</v>
      </c>
      <c r="D36" s="1">
        <f>IF('Customer Info'!$C$32=TRUE,0,IF(C16&lt;0,0,IF(C16&gt;2000,2000,C16)))</f>
        <v>1000</v>
      </c>
      <c r="E36" s="35" t="s">
        <v>41</v>
      </c>
      <c r="F36" s="4" t="s">
        <v>8</v>
      </c>
      <c r="G36" s="83"/>
      <c r="H36" s="84"/>
      <c r="I36" s="177">
        <f>'Rider Rates'!$B$8</f>
        <v>4.6499999999999996E-3</v>
      </c>
      <c r="J36" s="117">
        <f>SUM(G36:I36)</f>
        <v>4.6499999999999996E-3</v>
      </c>
      <c r="K36" s="36" t="s">
        <v>42</v>
      </c>
      <c r="L36" s="87"/>
      <c r="M36" s="87"/>
      <c r="N36" s="87">
        <f>ROUND($D36*I36,2)</f>
        <v>4.6500000000000004</v>
      </c>
      <c r="O36" s="87">
        <f>SUM(L36:N36)</f>
        <v>4.6500000000000004</v>
      </c>
      <c r="P36" s="245">
        <f>'Rider Rates'!$D$7</f>
        <v>44531</v>
      </c>
    </row>
    <row r="37" spans="1:220" x14ac:dyDescent="0.2">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0" x14ac:dyDescent="0.2">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0" x14ac:dyDescent="0.2">
      <c r="A39" s="241" t="s">
        <v>239</v>
      </c>
      <c r="B39" s="78"/>
      <c r="C39" s="78"/>
      <c r="D39" s="208">
        <f>$N$30</f>
        <v>9.4</v>
      </c>
      <c r="E39" s="101" t="s">
        <v>122</v>
      </c>
      <c r="F39" s="102" t="s">
        <v>8</v>
      </c>
      <c r="G39" s="103"/>
      <c r="H39" s="103"/>
      <c r="I39" s="178">
        <f>'Rider Rates'!$B$18+'Rider Rates'!$E$18</f>
        <v>0</v>
      </c>
      <c r="J39" s="120">
        <f>SUM(H39:I39)</f>
        <v>0</v>
      </c>
      <c r="K39" s="104"/>
      <c r="L39" s="105"/>
      <c r="M39" s="105"/>
      <c r="N39" s="105">
        <f>ROUND($D$39*'Rider Rates'!$B$18,2)+ROUND($D$39*'Rider Rates'!$E$18,2)</f>
        <v>0</v>
      </c>
      <c r="O39" s="105">
        <f t="shared" ref="O39:O45" si="0">SUM(L39:N39)</f>
        <v>0</v>
      </c>
      <c r="P39" s="245">
        <f>MAX('Rider Rates'!$D$18,'Rider Rates'!$F$18)</f>
        <v>44531</v>
      </c>
    </row>
    <row r="40" spans="1:220" x14ac:dyDescent="0.2">
      <c r="A40" s="210" t="s">
        <v>187</v>
      </c>
      <c r="B40" s="78"/>
      <c r="C40" s="78"/>
      <c r="D40" s="100">
        <f>'Customer Info'!$B$21+'Customer Info'!$B$22-'Customer Info'!$B$23</f>
        <v>1000</v>
      </c>
      <c r="E40" s="101" t="s">
        <v>41</v>
      </c>
      <c r="F40" s="102" t="s">
        <v>8</v>
      </c>
      <c r="G40" s="103">
        <f>'Rider Rates'!B23</f>
        <v>0.10589</v>
      </c>
      <c r="H40" s="103"/>
      <c r="I40" s="103"/>
      <c r="J40" s="237">
        <f>SUM(G40:H40)</f>
        <v>0.10589</v>
      </c>
      <c r="K40" s="104" t="s">
        <v>42</v>
      </c>
      <c r="L40" s="105">
        <f>ROUND(D40*G40,2)</f>
        <v>105.89</v>
      </c>
      <c r="M40" s="105"/>
      <c r="N40" s="105"/>
      <c r="O40" s="105">
        <f t="shared" si="0"/>
        <v>105.89</v>
      </c>
      <c r="P40" s="245">
        <f>'Rider Rates'!$D$23</f>
        <v>45078</v>
      </c>
    </row>
    <row r="41" spans="1:220" x14ac:dyDescent="0.2">
      <c r="A41" s="241" t="s">
        <v>162</v>
      </c>
      <c r="B41" s="78"/>
      <c r="C41" s="78"/>
      <c r="D41" s="100">
        <f>'Customer Info'!$B$21+'Customer Info'!$B$22-'Customer Info'!$B$23</f>
        <v>1000</v>
      </c>
      <c r="E41" s="101" t="s">
        <v>41</v>
      </c>
      <c r="F41" s="102" t="s">
        <v>8</v>
      </c>
      <c r="G41" s="103">
        <f>'Rider Rates'!B34</f>
        <v>3.0899999999999999E-3</v>
      </c>
      <c r="H41" s="103"/>
      <c r="I41" s="103"/>
      <c r="J41" s="237">
        <f>SUM(G41:H41)</f>
        <v>3.0899999999999999E-3</v>
      </c>
      <c r="K41" s="104" t="s">
        <v>42</v>
      </c>
      <c r="L41" s="105">
        <f>ROUND(D41*G41,2)</f>
        <v>3.09</v>
      </c>
      <c r="M41" s="105"/>
      <c r="N41" s="105"/>
      <c r="O41" s="105">
        <f t="shared" si="0"/>
        <v>3.09</v>
      </c>
      <c r="P41" s="245">
        <f>'Rider Rates'!$D$34</f>
        <v>45078</v>
      </c>
    </row>
    <row r="42" spans="1:220" x14ac:dyDescent="0.2">
      <c r="A42" s="210" t="s">
        <v>194</v>
      </c>
      <c r="B42" s="78"/>
      <c r="C42" s="78"/>
      <c r="D42" s="100">
        <f>'Customer Info'!$B$21+'Customer Info'!$B$22-'Customer Info'!$B$23</f>
        <v>1000</v>
      </c>
      <c r="E42" s="101" t="s">
        <v>41</v>
      </c>
      <c r="F42" s="102" t="s">
        <v>8</v>
      </c>
      <c r="G42" s="103">
        <f>'Rider Rates'!$B$42</f>
        <v>-4.8640000000000001E-4</v>
      </c>
      <c r="H42" s="103"/>
      <c r="I42" s="103"/>
      <c r="J42" s="237">
        <f>SUM(G42:H42)</f>
        <v>-4.8640000000000001E-4</v>
      </c>
      <c r="K42" s="104" t="s">
        <v>42</v>
      </c>
      <c r="L42" s="105">
        <f>ROUND(D42*G42,2)</f>
        <v>-0.49</v>
      </c>
      <c r="M42" s="105"/>
      <c r="N42" s="105"/>
      <c r="O42" s="105">
        <f t="shared" si="0"/>
        <v>-0.49</v>
      </c>
      <c r="P42" s="245">
        <f>'Rider Rates'!$D$42</f>
        <v>45383</v>
      </c>
    </row>
    <row r="43" spans="1:220" x14ac:dyDescent="0.2">
      <c r="A43" s="241" t="s">
        <v>212</v>
      </c>
      <c r="B43" s="78"/>
      <c r="C43" s="78"/>
      <c r="D43" s="1">
        <f>IF($C$16&lt;0,0,IF($C$16&gt;833000,833000,$C$16))</f>
        <v>1000</v>
      </c>
      <c r="E43" s="101" t="s">
        <v>41</v>
      </c>
      <c r="F43" s="102" t="s">
        <v>8</v>
      </c>
      <c r="G43" s="103"/>
      <c r="H43" s="103"/>
      <c r="I43" s="103">
        <f>'Rider Rates'!D46</f>
        <v>1.7826999999999999E-3</v>
      </c>
      <c r="J43" s="103">
        <f>SUM(G43:I43)</f>
        <v>1.7826999999999999E-3</v>
      </c>
      <c r="K43" s="104" t="s">
        <v>42</v>
      </c>
      <c r="L43" s="105"/>
      <c r="M43" s="105"/>
      <c r="N43" s="87">
        <f>D43*J43</f>
        <v>1.7827</v>
      </c>
      <c r="O43" s="105">
        <f t="shared" si="0"/>
        <v>1.7827</v>
      </c>
      <c r="P43" s="245">
        <f>'Rider Rates'!E46</f>
        <v>45292</v>
      </c>
    </row>
    <row r="44" spans="1:220" x14ac:dyDescent="0.2">
      <c r="A44" s="210" t="s">
        <v>190</v>
      </c>
      <c r="B44" s="78"/>
      <c r="C44" s="78"/>
      <c r="D44" s="1">
        <f>IF($C$16&lt;0,0,$C$16)</f>
        <v>1000</v>
      </c>
      <c r="E44" s="113" t="s">
        <v>41</v>
      </c>
      <c r="F44" s="102" t="s">
        <v>8</v>
      </c>
      <c r="G44" s="103"/>
      <c r="H44" s="103">
        <f>'Rider Rates'!$B$54</f>
        <v>6.0079999999999997E-4</v>
      </c>
      <c r="I44" s="103"/>
      <c r="J44" s="103">
        <f>SUM(G44:I44)</f>
        <v>6.0079999999999997E-4</v>
      </c>
      <c r="K44" s="104" t="s">
        <v>42</v>
      </c>
      <c r="L44" s="105"/>
      <c r="M44" s="105">
        <f>ROUND(D44*H44,2)</f>
        <v>0.6</v>
      </c>
      <c r="N44" s="205"/>
      <c r="O44" s="105">
        <f t="shared" si="0"/>
        <v>0.6</v>
      </c>
      <c r="P44" s="245">
        <f>'Rider Rates'!$D$54</f>
        <v>45383</v>
      </c>
    </row>
    <row r="45" spans="1:220" x14ac:dyDescent="0.2">
      <c r="A45" s="210" t="s">
        <v>190</v>
      </c>
      <c r="B45" s="78"/>
      <c r="C45" s="78"/>
      <c r="D45" s="49">
        <f>D28</f>
        <v>0</v>
      </c>
      <c r="E45" s="35" t="s">
        <v>64</v>
      </c>
      <c r="F45" s="4" t="s">
        <v>8</v>
      </c>
      <c r="G45" s="103"/>
      <c r="H45" s="239">
        <f>'Rider Rates'!$B$59</f>
        <v>6.73</v>
      </c>
      <c r="I45" s="103"/>
      <c r="J45" s="239">
        <f>SUM(G45:I45)</f>
        <v>6.73</v>
      </c>
      <c r="K45" s="104" t="s">
        <v>44</v>
      </c>
      <c r="L45" s="105"/>
      <c r="M45" s="105">
        <f>ROUND(D45*H45,2)</f>
        <v>0</v>
      </c>
      <c r="N45" s="205"/>
      <c r="O45" s="105">
        <f t="shared" si="0"/>
        <v>0</v>
      </c>
      <c r="P45" s="245">
        <f>'Rider Rates'!$D$59</f>
        <v>45383</v>
      </c>
    </row>
    <row r="46" spans="1:220" x14ac:dyDescent="0.2">
      <c r="A46" s="99" t="s">
        <v>83</v>
      </c>
      <c r="B46" s="78"/>
      <c r="C46" s="78"/>
      <c r="D46" s="1">
        <f>IF('Customer Info'!C34=TRUE,0,IF($C$16&lt;0,0,$C$16))</f>
        <v>1000</v>
      </c>
      <c r="E46" s="101" t="s">
        <v>41</v>
      </c>
      <c r="F46" s="102" t="s">
        <v>8</v>
      </c>
      <c r="G46" s="103"/>
      <c r="H46" s="103"/>
      <c r="I46" s="103">
        <f>'Rider Rates'!$B$66+'Rider Rates'!$C$66</f>
        <v>0</v>
      </c>
      <c r="J46" s="103">
        <f>SUM(G46:I46)</f>
        <v>0</v>
      </c>
      <c r="K46" s="104" t="s">
        <v>42</v>
      </c>
      <c r="L46" s="105"/>
      <c r="M46" s="105"/>
      <c r="N46" s="87">
        <f>ROUND($D$46*'Rider Rates'!$B$66,2)+ROUND($D$46*'Rider Rates'!$C$66,2)</f>
        <v>0</v>
      </c>
      <c r="O46" s="209">
        <f t="shared" ref="O46:O53" si="1">SUM(L46:N46)</f>
        <v>0</v>
      </c>
      <c r="P46" s="245">
        <f>'Rider Rates'!$D$66</f>
        <v>44531</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0" x14ac:dyDescent="0.2">
      <c r="A47" s="99" t="s">
        <v>83</v>
      </c>
      <c r="B47" s="78"/>
      <c r="C47" s="78"/>
      <c r="D47" s="49">
        <f>IF('Customer Info'!C34=TRUE,0,$D$28)</f>
        <v>0</v>
      </c>
      <c r="E47" s="101" t="s">
        <v>45</v>
      </c>
      <c r="F47" s="102" t="s">
        <v>8</v>
      </c>
      <c r="G47" s="103"/>
      <c r="H47" s="103"/>
      <c r="I47" s="239">
        <f>'Rider Rates'!$B$76</f>
        <v>0</v>
      </c>
      <c r="J47" s="239">
        <f>SUM(G47:I47)</f>
        <v>0</v>
      </c>
      <c r="K47" s="104" t="s">
        <v>42</v>
      </c>
      <c r="L47" s="105"/>
      <c r="M47" s="105"/>
      <c r="N47" s="87">
        <f>ROUND($D47*I47,2)</f>
        <v>0</v>
      </c>
      <c r="O47" s="209">
        <f>SUM(L47:N47)</f>
        <v>0</v>
      </c>
      <c r="P47" s="245">
        <f>'Rider Rates'!$D$76</f>
        <v>44197</v>
      </c>
      <c r="Q47" s="107"/>
      <c r="R47" s="108"/>
      <c r="S47" s="109"/>
      <c r="T47" s="78"/>
      <c r="U47" s="110"/>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row>
    <row r="48" spans="1:220" x14ac:dyDescent="0.2">
      <c r="A48" s="99" t="s">
        <v>81</v>
      </c>
      <c r="B48" s="78"/>
      <c r="C48" s="78"/>
      <c r="D48" s="208">
        <f>$N$30</f>
        <v>9.4</v>
      </c>
      <c r="E48" s="101" t="s">
        <v>122</v>
      </c>
      <c r="F48" s="102" t="s">
        <v>8</v>
      </c>
      <c r="G48" s="111"/>
      <c r="H48" s="112"/>
      <c r="I48" s="120">
        <f>'Rider Rates'!$B$80</f>
        <v>2.9347000000000002E-2</v>
      </c>
      <c r="J48" s="120">
        <f>SUM(H48:I48)</f>
        <v>2.9347000000000002E-2</v>
      </c>
      <c r="K48" s="104"/>
      <c r="L48" s="105"/>
      <c r="M48" s="105"/>
      <c r="N48" s="105">
        <f>ROUND(N$30*I48,2)</f>
        <v>0.28000000000000003</v>
      </c>
      <c r="O48" s="209">
        <f t="shared" si="1"/>
        <v>0.28000000000000003</v>
      </c>
      <c r="P48" s="245">
        <f>'Rider Rates'!$D$80</f>
        <v>45383</v>
      </c>
      <c r="Q48" s="107"/>
      <c r="R48" s="108"/>
      <c r="S48" s="109"/>
      <c r="T48" s="78"/>
      <c r="U48" s="110"/>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row>
    <row r="49" spans="1:221" x14ac:dyDescent="0.2">
      <c r="A49" s="99" t="s">
        <v>82</v>
      </c>
      <c r="B49" s="78"/>
      <c r="C49" s="78"/>
      <c r="D49" s="208">
        <f>$N$30</f>
        <v>9.4</v>
      </c>
      <c r="E49" s="101" t="s">
        <v>122</v>
      </c>
      <c r="F49" s="102" t="s">
        <v>8</v>
      </c>
      <c r="G49" s="114"/>
      <c r="H49" s="115"/>
      <c r="I49" s="120">
        <f>'Rider Rates'!$B$82</f>
        <v>6.6985699999999995E-2</v>
      </c>
      <c r="J49" s="120">
        <f>SUM(H49:I49)</f>
        <v>6.6985699999999995E-2</v>
      </c>
      <c r="K49" s="104"/>
      <c r="L49" s="105"/>
      <c r="M49" s="105"/>
      <c r="N49" s="105">
        <f>ROUND(N$30*I49,2)</f>
        <v>0.63</v>
      </c>
      <c r="O49" s="209">
        <f t="shared" si="1"/>
        <v>0.63</v>
      </c>
      <c r="P49" s="245">
        <f>'Rider Rates'!$D$82</f>
        <v>45167</v>
      </c>
      <c r="Q49" s="107"/>
      <c r="R49" s="108"/>
      <c r="S49" s="109"/>
      <c r="T49" s="78"/>
      <c r="U49" s="110"/>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row>
    <row r="50" spans="1:221" x14ac:dyDescent="0.2">
      <c r="A50" s="210" t="s">
        <v>208</v>
      </c>
      <c r="B50" s="78"/>
      <c r="C50" s="78"/>
      <c r="D50" s="195"/>
      <c r="E50" s="113" t="s">
        <v>115</v>
      </c>
      <c r="F50" s="106"/>
      <c r="G50" s="114"/>
      <c r="H50" s="115"/>
      <c r="I50" s="196">
        <f>'Rider Rates'!$B$86</f>
        <v>15.91</v>
      </c>
      <c r="J50" s="196">
        <f>SUM(G50:I50)</f>
        <v>15.91</v>
      </c>
      <c r="K50" s="104"/>
      <c r="L50" s="105"/>
      <c r="M50" s="105"/>
      <c r="N50" s="105">
        <f>I50</f>
        <v>15.91</v>
      </c>
      <c r="O50" s="105">
        <f>SUM(L50:N50)</f>
        <v>15.91</v>
      </c>
      <c r="P50" s="245">
        <f>'Rider Rates'!$D$86</f>
        <v>45351</v>
      </c>
    </row>
    <row r="51" spans="1:221" x14ac:dyDescent="0.2">
      <c r="A51" s="241" t="s">
        <v>253</v>
      </c>
      <c r="B51" s="78"/>
      <c r="C51" s="78"/>
      <c r="D51" s="1">
        <f>$D$34</f>
        <v>1000</v>
      </c>
      <c r="E51" s="101" t="s">
        <v>41</v>
      </c>
      <c r="F51" s="102" t="s">
        <v>8</v>
      </c>
      <c r="G51" s="103"/>
      <c r="H51" s="103"/>
      <c r="I51" s="103"/>
      <c r="J51" s="103">
        <f>'Rider Rates'!$B$91</f>
        <v>0</v>
      </c>
      <c r="K51" s="104" t="s">
        <v>42</v>
      </c>
      <c r="L51" s="105"/>
      <c r="M51" s="105"/>
      <c r="N51" s="87"/>
      <c r="O51" s="105">
        <f>ROUND($D51*('Rider Rates'!B$91),2)</f>
        <v>0</v>
      </c>
      <c r="P51" s="245">
        <f>'Rider Rates'!$D$91</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41" t="s">
        <v>254</v>
      </c>
      <c r="B52" s="78"/>
      <c r="C52" s="78"/>
      <c r="D52" s="1">
        <f>$D$35</f>
        <v>0</v>
      </c>
      <c r="E52" s="101" t="s">
        <v>41</v>
      </c>
      <c r="F52" s="102" t="s">
        <v>8</v>
      </c>
      <c r="G52" s="103"/>
      <c r="H52" s="103"/>
      <c r="I52" s="103"/>
      <c r="J52" s="103">
        <f>'Rider Rates'!$B$92</f>
        <v>0</v>
      </c>
      <c r="K52" s="104" t="s">
        <v>42</v>
      </c>
      <c r="L52" s="105"/>
      <c r="M52" s="105"/>
      <c r="N52" s="87"/>
      <c r="O52" s="105">
        <f>ROUND($D52*('Rider Rates'!B$92),2)</f>
        <v>0</v>
      </c>
      <c r="P52" s="245">
        <f>'Rider Rates'!$D$92</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99" t="s">
        <v>157</v>
      </c>
      <c r="B53" s="78"/>
      <c r="C53" s="78"/>
      <c r="D53" s="208">
        <f>$N$30</f>
        <v>9.4</v>
      </c>
      <c r="E53" s="101" t="s">
        <v>122</v>
      </c>
      <c r="F53" s="102" t="s">
        <v>8</v>
      </c>
      <c r="G53" s="114"/>
      <c r="H53" s="115"/>
      <c r="I53" s="120">
        <f>'Rider Rates'!$B$100</f>
        <v>0.21398439999999999</v>
      </c>
      <c r="J53" s="120">
        <f>SUM(H53:I53)</f>
        <v>0.21398439999999999</v>
      </c>
      <c r="K53" s="104"/>
      <c r="L53" s="105"/>
      <c r="M53" s="105"/>
      <c r="N53" s="105">
        <f>ROUND(N$30*I53,2)</f>
        <v>2.0099999999999998</v>
      </c>
      <c r="O53" s="105">
        <f t="shared" si="1"/>
        <v>2.0099999999999998</v>
      </c>
      <c r="P53" s="245">
        <f>'Rider Rates'!$D$100</f>
        <v>45351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10" t="s">
        <v>211</v>
      </c>
      <c r="B54" s="78"/>
      <c r="C54" s="78"/>
      <c r="D54" s="195"/>
      <c r="E54" s="113" t="s">
        <v>115</v>
      </c>
      <c r="F54" s="106"/>
      <c r="G54" s="114"/>
      <c r="H54" s="115"/>
      <c r="I54" s="196">
        <f>'Rider Rates'!$B$104</f>
        <v>0</v>
      </c>
      <c r="J54" s="196">
        <f>SUM(G54:I54)</f>
        <v>0</v>
      </c>
      <c r="K54" s="104"/>
      <c r="L54" s="105"/>
      <c r="M54" s="105"/>
      <c r="N54" s="105">
        <f>I54</f>
        <v>0</v>
      </c>
      <c r="O54" s="105">
        <f t="shared" ref="O54:O59" si="2">SUM(L54:N54)</f>
        <v>0</v>
      </c>
      <c r="P54" s="245">
        <f>'Rider Rates'!$D$104</f>
        <v>44894</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10" t="s">
        <v>219</v>
      </c>
      <c r="B55" s="78"/>
      <c r="C55" s="78"/>
      <c r="D55" s="195"/>
      <c r="E55" s="113" t="s">
        <v>115</v>
      </c>
      <c r="F55" s="106"/>
      <c r="G55" s="114"/>
      <c r="H55" s="115"/>
      <c r="I55" s="258">
        <f>'Rider Rates'!B117</f>
        <v>5.83</v>
      </c>
      <c r="J55" s="196">
        <f>SUM(G55:I55)</f>
        <v>5.83</v>
      </c>
      <c r="K55" s="104"/>
      <c r="L55" s="105"/>
      <c r="M55" s="105"/>
      <c r="N55" s="260">
        <f>I55</f>
        <v>5.83</v>
      </c>
      <c r="O55" s="105">
        <f t="shared" si="2"/>
        <v>5.83</v>
      </c>
      <c r="P55" s="245">
        <f>'Rider Rates'!D117</f>
        <v>45226</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99" t="s">
        <v>158</v>
      </c>
      <c r="B56" s="78"/>
      <c r="C56" s="78"/>
      <c r="D56" s="100">
        <f>IF('Customer Info'!$C$32=TRUE,0,'Customer Info'!$B$21+'Customer Info'!$B$22-'Customer Info'!$B$23)</f>
        <v>1000</v>
      </c>
      <c r="E56" s="101" t="s">
        <v>41</v>
      </c>
      <c r="F56" s="102" t="s">
        <v>8</v>
      </c>
      <c r="G56" s="103">
        <f>'Rider Rates'!$B$107</f>
        <v>3.8972999999999998E-3</v>
      </c>
      <c r="H56" s="103"/>
      <c r="I56" s="120"/>
      <c r="J56" s="237">
        <f>SUM(G56:H56)</f>
        <v>3.8972999999999998E-3</v>
      </c>
      <c r="K56" s="104" t="s">
        <v>42</v>
      </c>
      <c r="L56" s="105">
        <f>ROUND(D56*G56,2)</f>
        <v>3.9</v>
      </c>
      <c r="M56" s="105"/>
      <c r="N56" s="105"/>
      <c r="O56" s="105">
        <f t="shared" si="2"/>
        <v>3.9</v>
      </c>
      <c r="P56" s="245">
        <f>'Rider Rates'!$D$107</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10" t="s">
        <v>210</v>
      </c>
      <c r="B57" s="78"/>
      <c r="C57" s="78"/>
      <c r="D57" s="1">
        <f>IF($C$16&lt;1,0,$C$16)</f>
        <v>1000</v>
      </c>
      <c r="E57" s="101" t="s">
        <v>41</v>
      </c>
      <c r="F57" s="249" t="s">
        <v>8</v>
      </c>
      <c r="G57" s="165"/>
      <c r="H57" s="165"/>
      <c r="I57" s="251">
        <f>'Rider Rates'!B113</f>
        <v>-6.2E-4</v>
      </c>
      <c r="J57" s="251">
        <f>SUM(G57:I57)</f>
        <v>-6.2E-4</v>
      </c>
      <c r="K57" s="104" t="s">
        <v>42</v>
      </c>
      <c r="L57" s="105"/>
      <c r="M57" s="105"/>
      <c r="N57" s="105">
        <f>D57*I57</f>
        <v>-0.62</v>
      </c>
      <c r="O57" s="105">
        <f t="shared" si="2"/>
        <v>-0.62</v>
      </c>
      <c r="P57" s="245">
        <f>'Rider Rates'!D113</f>
        <v>44531</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78" t="s">
        <v>235</v>
      </c>
      <c r="B58" s="78"/>
      <c r="C58" s="78"/>
      <c r="D58" s="100">
        <f>IF(C16&lt;0,0,IF(C16&gt;833000,833000,C16))</f>
        <v>1000</v>
      </c>
      <c r="E58" s="101" t="s">
        <v>41</v>
      </c>
      <c r="F58" s="102" t="s">
        <v>8</v>
      </c>
      <c r="G58" s="265"/>
      <c r="H58" s="265"/>
      <c r="I58" s="265">
        <f>'Rider Rates'!$B$121</f>
        <v>2.9050000000000001E-4</v>
      </c>
      <c r="J58" s="265">
        <f>SUM(G58:I58)</f>
        <v>2.9050000000000001E-4</v>
      </c>
      <c r="K58" s="104" t="s">
        <v>42</v>
      </c>
      <c r="L58" s="266"/>
      <c r="M58" s="266"/>
      <c r="N58" s="266">
        <f>IF(D58*J58&gt;'Rider Rates'!$C$121,'Rider Rates'!$C$121,D58*J58)</f>
        <v>0.29050000000000004</v>
      </c>
      <c r="O58" s="266">
        <f t="shared" si="2"/>
        <v>0.29050000000000004</v>
      </c>
      <c r="P58" s="264">
        <f>'Rider Rates'!$E$121</f>
        <v>45292</v>
      </c>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78" t="s">
        <v>236</v>
      </c>
      <c r="B59" s="78"/>
      <c r="C59" s="78"/>
      <c r="D59" s="123">
        <f>IF(C16&gt;833000,C16-833000,0)</f>
        <v>0</v>
      </c>
      <c r="E59" s="101" t="s">
        <v>41</v>
      </c>
      <c r="F59" s="102" t="s">
        <v>8</v>
      </c>
      <c r="G59" s="265"/>
      <c r="H59" s="265"/>
      <c r="I59" s="265">
        <f>'Rider Rates'!$B$122</f>
        <v>0</v>
      </c>
      <c r="J59" s="265">
        <f>SUM(G59:I59)</f>
        <v>0</v>
      </c>
      <c r="K59" s="104" t="s">
        <v>42</v>
      </c>
      <c r="L59" s="266"/>
      <c r="M59" s="266"/>
      <c r="N59" s="266">
        <f>D59*J59</f>
        <v>0</v>
      </c>
      <c r="O59" s="266">
        <f t="shared" si="2"/>
        <v>0</v>
      </c>
      <c r="P59" s="264">
        <f>'Rider Rates'!$E$122</f>
        <v>44927</v>
      </c>
      <c r="Q59" s="106"/>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241" t="s">
        <v>244</v>
      </c>
      <c r="B60" s="78"/>
      <c r="C60" s="78"/>
      <c r="D60" s="100">
        <f>D16</f>
        <v>1000</v>
      </c>
      <c r="E60" s="101" t="s">
        <v>41</v>
      </c>
      <c r="F60" s="249" t="s">
        <v>8</v>
      </c>
      <c r="G60" s="103"/>
      <c r="H60" s="103"/>
      <c r="I60" s="103">
        <f>'Rider Rates'!$B$126</f>
        <v>0</v>
      </c>
      <c r="J60" s="237">
        <f>SUM(G60:I60)</f>
        <v>0</v>
      </c>
      <c r="K60" s="104" t="s">
        <v>42</v>
      </c>
      <c r="L60" s="105"/>
      <c r="M60" s="105"/>
      <c r="N60" s="105">
        <f>D60*J60</f>
        <v>0</v>
      </c>
      <c r="O60" s="105">
        <f>SUM(L60:N60)</f>
        <v>0</v>
      </c>
      <c r="P60" s="245">
        <f>'Rider Rates'!$D$126</f>
        <v>44531</v>
      </c>
      <c r="Q60" s="106"/>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241" t="s">
        <v>243</v>
      </c>
      <c r="B61" s="78"/>
      <c r="C61" s="78"/>
      <c r="D61" s="100"/>
      <c r="E61" s="101" t="s">
        <v>115</v>
      </c>
      <c r="F61" s="102" t="s">
        <v>8</v>
      </c>
      <c r="G61" s="263"/>
      <c r="H61" s="263"/>
      <c r="I61" s="263">
        <f>'Rider Rates'!$B$133</f>
        <v>0</v>
      </c>
      <c r="J61" s="263">
        <f>SUM(G61:I61)</f>
        <v>0</v>
      </c>
      <c r="K61" s="104"/>
      <c r="L61" s="209"/>
      <c r="M61" s="209"/>
      <c r="N61" s="209">
        <f>J61</f>
        <v>0</v>
      </c>
      <c r="O61" s="209">
        <f>SUM(L61:N61)</f>
        <v>0</v>
      </c>
      <c r="P61" s="264">
        <f>'Rider Rates'!$D$133</f>
        <v>44531</v>
      </c>
      <c r="Q61" s="106"/>
      <c r="R61" s="107"/>
      <c r="S61" s="108"/>
      <c r="T61" s="109"/>
      <c r="U61" s="78"/>
      <c r="V61" s="110"/>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241" t="s">
        <v>245</v>
      </c>
      <c r="B62" s="78"/>
      <c r="C62" s="78"/>
      <c r="D62" s="100"/>
      <c r="E62" s="101"/>
      <c r="F62" s="102"/>
      <c r="G62" s="263"/>
      <c r="H62" s="263"/>
      <c r="I62" s="263"/>
      <c r="J62" s="263"/>
      <c r="K62" s="104"/>
      <c r="L62" s="209"/>
      <c r="M62" s="209"/>
      <c r="N62" s="209"/>
      <c r="O62" s="209"/>
      <c r="P62" s="264"/>
      <c r="Q62" s="106"/>
      <c r="R62" s="107"/>
      <c r="S62" s="108"/>
      <c r="T62" s="109"/>
      <c r="U62" s="78"/>
      <c r="V62" s="110"/>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x14ac:dyDescent="0.2">
      <c r="A63" s="179" t="s">
        <v>71</v>
      </c>
      <c r="B63" s="148"/>
      <c r="C63" s="148"/>
      <c r="D63" s="180"/>
      <c r="E63" s="181"/>
      <c r="F63" s="182"/>
      <c r="G63" s="182"/>
      <c r="H63" s="182"/>
      <c r="I63" s="182"/>
      <c r="J63" s="182"/>
      <c r="K63" s="183"/>
      <c r="L63" s="169">
        <f>SUM(L34:L62)</f>
        <v>112.39000000000001</v>
      </c>
      <c r="M63" s="169">
        <f t="shared" ref="M63:O63" si="3">SUM(M34:M62)</f>
        <v>0.6</v>
      </c>
      <c r="N63" s="169">
        <f t="shared" si="3"/>
        <v>36.683199999999999</v>
      </c>
      <c r="O63" s="169">
        <f t="shared" si="3"/>
        <v>149.67320000000004</v>
      </c>
      <c r="P63" s="184"/>
    </row>
    <row r="64" spans="1:221" x14ac:dyDescent="0.2">
      <c r="A64" s="37"/>
      <c r="D64" s="1"/>
      <c r="E64" s="35"/>
      <c r="F64" s="4"/>
      <c r="G64" s="42"/>
      <c r="H64" s="42"/>
      <c r="I64" s="42"/>
      <c r="J64" s="42"/>
      <c r="K64" s="36"/>
      <c r="L64" s="36"/>
      <c r="M64" s="36"/>
      <c r="N64" s="36"/>
      <c r="O64" s="34"/>
      <c r="P64" s="36"/>
    </row>
    <row r="65" spans="1:16" x14ac:dyDescent="0.2">
      <c r="A65" s="81" t="s">
        <v>72</v>
      </c>
      <c r="B65" s="92"/>
      <c r="C65" s="92"/>
      <c r="D65" s="92"/>
      <c r="E65" s="92"/>
      <c r="F65" s="92"/>
      <c r="G65" s="92"/>
      <c r="H65" s="92"/>
      <c r="I65" s="92"/>
      <c r="J65" s="92"/>
      <c r="K65" s="92"/>
      <c r="L65" s="98">
        <f>L30+L63</f>
        <v>112.39000000000001</v>
      </c>
      <c r="M65" s="98">
        <f>M30+M63</f>
        <v>0.6</v>
      </c>
      <c r="N65" s="98">
        <f>N30+N63</f>
        <v>46.083199999999998</v>
      </c>
      <c r="O65" s="98">
        <f>O30+O63</f>
        <v>159.07320000000004</v>
      </c>
      <c r="P65" s="98"/>
    </row>
    <row r="66" spans="1:16" x14ac:dyDescent="0.2">
      <c r="A66" s="37"/>
      <c r="B66" s="37"/>
      <c r="C66" s="37"/>
      <c r="D66" s="37"/>
      <c r="E66" s="37"/>
      <c r="F66" s="37"/>
      <c r="G66" s="37"/>
      <c r="H66" s="37"/>
      <c r="I66" s="37"/>
      <c r="J66" s="37"/>
      <c r="K66" s="37"/>
      <c r="L66" s="37"/>
      <c r="M66" s="37"/>
      <c r="N66" s="37"/>
      <c r="O66" s="40"/>
      <c r="P66" s="40"/>
    </row>
    <row r="67" spans="1:16" x14ac:dyDescent="0.2">
      <c r="A67" s="37" t="s">
        <v>37</v>
      </c>
      <c r="B67" s="37"/>
      <c r="C67" s="37"/>
      <c r="D67" s="37"/>
      <c r="E67" s="37"/>
      <c r="F67" s="37"/>
      <c r="G67" s="37"/>
      <c r="H67" s="37"/>
      <c r="I67" s="37"/>
      <c r="J67" s="37"/>
      <c r="K67" s="37"/>
      <c r="L67" s="37"/>
      <c r="M67" s="37"/>
      <c r="N67" s="37"/>
      <c r="O67" s="45">
        <f>O26+O28+O63</f>
        <v>159.07320000000004</v>
      </c>
      <c r="P67" s="245">
        <v>40967</v>
      </c>
    </row>
    <row r="68" spans="1:16" x14ac:dyDescent="0.2">
      <c r="A68" s="37"/>
      <c r="B68" s="37"/>
      <c r="C68" s="37"/>
      <c r="D68" s="37"/>
      <c r="E68" s="37"/>
      <c r="F68" s="37"/>
      <c r="G68" s="46"/>
      <c r="H68" s="46"/>
      <c r="I68" s="46"/>
      <c r="J68" s="46"/>
      <c r="K68" s="36"/>
      <c r="L68" s="36"/>
      <c r="M68" s="36"/>
      <c r="N68" s="36"/>
      <c r="O68" s="40"/>
    </row>
    <row r="69" spans="1:16" x14ac:dyDescent="0.2">
      <c r="A69" s="41" t="s">
        <v>117</v>
      </c>
      <c r="B69" s="37"/>
      <c r="C69" s="37"/>
      <c r="D69" s="37"/>
      <c r="E69" s="37"/>
      <c r="F69" s="37"/>
      <c r="G69" s="46"/>
      <c r="H69" s="46"/>
      <c r="I69" s="46"/>
      <c r="J69" s="46"/>
      <c r="K69" s="36"/>
      <c r="L69" s="36"/>
      <c r="M69" s="36"/>
      <c r="N69" s="36"/>
      <c r="O69" s="138">
        <f>MAX($O$65,$O$67)</f>
        <v>159.07320000000004</v>
      </c>
    </row>
    <row r="70" spans="1:16" x14ac:dyDescent="0.2">
      <c r="A70" s="37"/>
      <c r="B70" s="37"/>
      <c r="C70" s="37"/>
      <c r="D70" s="37"/>
      <c r="E70" s="37"/>
      <c r="F70" s="37"/>
      <c r="G70" s="46"/>
      <c r="H70" s="46"/>
      <c r="I70" s="46"/>
      <c r="J70" s="46"/>
      <c r="K70" s="36"/>
      <c r="L70" s="36"/>
      <c r="M70" s="36"/>
      <c r="N70" s="36"/>
      <c r="O70" s="40"/>
    </row>
    <row r="71" spans="1:16" x14ac:dyDescent="0.2">
      <c r="A71" s="37"/>
      <c r="B71" s="37"/>
      <c r="C71" s="37"/>
      <c r="D71" s="37"/>
      <c r="E71" s="37"/>
      <c r="F71" s="37"/>
      <c r="G71" s="96" t="s">
        <v>86</v>
      </c>
      <c r="H71" s="46"/>
      <c r="I71" s="37"/>
      <c r="J71" s="46"/>
      <c r="K71" s="36"/>
      <c r="L71" s="191"/>
      <c r="M71" s="191"/>
      <c r="N71" s="191"/>
      <c r="O71" s="191">
        <f>ROUND(IF($C$16&lt;1,0,$O$69/($C$16*100)*10000),2)</f>
        <v>15.91</v>
      </c>
      <c r="P71" s="37" t="s">
        <v>87</v>
      </c>
    </row>
    <row r="72" spans="1:16" x14ac:dyDescent="0.2">
      <c r="A72" s="37"/>
      <c r="B72" s="37"/>
      <c r="C72" s="37"/>
      <c r="D72" s="37"/>
      <c r="E72" s="37"/>
      <c r="F72" s="37"/>
      <c r="G72" s="242" t="s">
        <v>191</v>
      </c>
      <c r="H72" s="136"/>
      <c r="I72" s="133"/>
      <c r="J72" s="136"/>
      <c r="K72" s="137"/>
      <c r="L72" s="78"/>
      <c r="M72" s="78"/>
      <c r="N72" s="78"/>
      <c r="O72" s="243">
        <f>ROUND(IF($C$16&lt;1,0,(L65)/($C$16*100)*10000),2)</f>
        <v>11.24</v>
      </c>
      <c r="P72" s="25" t="s">
        <v>87</v>
      </c>
    </row>
    <row r="73" spans="1:16" x14ac:dyDescent="0.2">
      <c r="A73" s="37"/>
      <c r="B73" s="37"/>
      <c r="C73" s="37"/>
      <c r="D73" s="37"/>
      <c r="E73" s="37"/>
      <c r="F73" s="37"/>
      <c r="G73" s="96"/>
      <c r="H73" s="46"/>
      <c r="I73" s="96"/>
      <c r="J73" s="46"/>
      <c r="K73" s="36"/>
      <c r="L73" s="36"/>
      <c r="M73" s="36"/>
      <c r="N73" s="36"/>
      <c r="O73" s="130"/>
      <c r="P73" s="37"/>
    </row>
    <row r="74" spans="1:16" ht="20.25" customHeight="1" x14ac:dyDescent="0.3">
      <c r="A74" s="3"/>
      <c r="B74" s="37"/>
      <c r="C74" s="37"/>
      <c r="D74" s="228" t="str">
        <f>IF('Customer Info'!$C$32=TRUE,"Notice: Billing Charge does not include Self Assessed KWH Tax"," ")</f>
        <v xml:space="preserve"> </v>
      </c>
      <c r="E74" s="3"/>
      <c r="F74" s="4"/>
      <c r="G74" s="121"/>
      <c r="H74" s="55"/>
      <c r="I74" s="34"/>
      <c r="J74" s="55"/>
      <c r="K74" s="37"/>
      <c r="L74" s="37"/>
      <c r="M74" s="37"/>
      <c r="N74" s="34"/>
    </row>
    <row r="75" spans="1:16" x14ac:dyDescent="0.2">
      <c r="A75" s="37"/>
      <c r="B75" s="37"/>
      <c r="C75" s="37"/>
      <c r="D75" s="54"/>
      <c r="E75" s="3"/>
      <c r="F75" s="4"/>
      <c r="G75" s="55"/>
      <c r="H75" s="55"/>
      <c r="I75" s="93"/>
      <c r="J75" s="55"/>
      <c r="K75" s="37"/>
      <c r="L75" s="37"/>
      <c r="M75" s="37"/>
      <c r="N75" s="37"/>
      <c r="O75" s="40"/>
    </row>
    <row r="76" spans="1:16" x14ac:dyDescent="0.2">
      <c r="A76" s="37"/>
      <c r="B76" s="37"/>
      <c r="C76" s="37"/>
      <c r="D76" s="54"/>
      <c r="E76" s="3"/>
      <c r="F76" s="4"/>
      <c r="G76" s="55"/>
      <c r="H76" s="55"/>
      <c r="I76" s="55"/>
      <c r="J76" s="55"/>
      <c r="K76" s="37"/>
      <c r="L76" s="37"/>
      <c r="M76" s="37"/>
      <c r="N76" s="37"/>
      <c r="O76" s="40"/>
    </row>
    <row r="77" spans="1:16" x14ac:dyDescent="0.2">
      <c r="A77" s="41"/>
      <c r="B77" s="37"/>
      <c r="C77" s="37"/>
      <c r="D77" s="37"/>
      <c r="E77" s="37"/>
      <c r="F77" s="37"/>
      <c r="G77" s="37"/>
      <c r="H77" s="37"/>
      <c r="J77" s="37"/>
      <c r="K77" s="37"/>
      <c r="L77" s="40"/>
      <c r="M77" s="40"/>
      <c r="N77" s="40"/>
      <c r="O77" s="138"/>
    </row>
    <row r="78" spans="1:16" x14ac:dyDescent="0.2">
      <c r="B78" s="37"/>
      <c r="C78" s="37"/>
      <c r="D78" s="37"/>
      <c r="E78" s="37"/>
      <c r="F78" s="37"/>
      <c r="G78" s="96"/>
      <c r="H78" s="37"/>
      <c r="I78" s="37"/>
      <c r="J78" s="37"/>
      <c r="K78" s="37"/>
      <c r="L78" s="60"/>
      <c r="M78" s="60"/>
      <c r="N78" s="60"/>
      <c r="O78" s="130"/>
      <c r="P78" s="37"/>
    </row>
    <row r="79" spans="1:16" x14ac:dyDescent="0.2">
      <c r="G79" s="133"/>
      <c r="H79" s="56"/>
      <c r="I79" s="133"/>
      <c r="J79" s="56"/>
      <c r="K79" s="56"/>
      <c r="L79" s="134"/>
      <c r="M79" s="134"/>
      <c r="N79" s="134"/>
      <c r="O79" s="135"/>
      <c r="P79" s="25"/>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row r="94" spans="1:1" x14ac:dyDescent="0.2">
      <c r="A94" s="350"/>
    </row>
    <row r="95" spans="1:1" x14ac:dyDescent="0.2">
      <c r="A95" s="350"/>
    </row>
  </sheetData>
  <sheetProtection algorithmName="SHA-512" hashValue="IQR5ElPyl/fdxKbo7DtlJERkxopaKV6/p09vfSOjwrMwNvtt38wStZ/OAbHA8g8a+ItvDCsrrHrJ1Ro9mIm6yA==" saltValue="xMB7v0VFcPdX/Fpi380q5g==" spinCount="100000" sheet="1" objects="1" scenarios="1"/>
  <mergeCells count="26">
    <mergeCell ref="A81:A95"/>
    <mergeCell ref="D22:H22"/>
    <mergeCell ref="G24:J24"/>
    <mergeCell ref="A2:P2"/>
    <mergeCell ref="A1:P1"/>
    <mergeCell ref="A3:P3"/>
    <mergeCell ref="A4:P4"/>
    <mergeCell ref="L24:O24"/>
    <mergeCell ref="A11:I11"/>
    <mergeCell ref="D21:H21"/>
    <mergeCell ref="HA2:HP2"/>
    <mergeCell ref="HQ2:IF2"/>
    <mergeCell ref="IG2:IV2"/>
    <mergeCell ref="A7:P7"/>
    <mergeCell ref="EO2:FD2"/>
    <mergeCell ref="FE2:FT2"/>
    <mergeCell ref="FU2:GJ2"/>
    <mergeCell ref="GK2:GZ2"/>
    <mergeCell ref="CC2:CR2"/>
    <mergeCell ref="CS2:DH2"/>
    <mergeCell ref="DI2:DX2"/>
    <mergeCell ref="DY2:EN2"/>
    <mergeCell ref="Q2:AF2"/>
    <mergeCell ref="AG2:AV2"/>
    <mergeCell ref="AW2:BL2"/>
    <mergeCell ref="BM2:CB2"/>
  </mergeCells>
  <phoneticPr fontId="0" type="noConversion"/>
  <printOptions horizontalCentered="1"/>
  <pageMargins left="0.5" right="0.5" top="0.25" bottom="0.25" header="0.25" footer="0.26"/>
  <pageSetup scale="55" orientation="landscape" r:id="rId1"/>
  <headerFooter alignWithMargins="0"/>
  <rowBreaks count="1" manualBreakCount="1">
    <brk id="7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27666" r:id="rId5" name="Button 18">
              <controlPr defaultSize="0" print="0" autoFill="0" autoPict="0" macro="[0]!Info">
                <anchor moveWithCells="1">
                  <from>
                    <xdr:col>15</xdr:col>
                    <xdr:colOff>409575</xdr:colOff>
                    <xdr:row>89</xdr:row>
                    <xdr:rowOff>76200</xdr:rowOff>
                  </from>
                  <to>
                    <xdr:col>16</xdr:col>
                    <xdr:colOff>38100</xdr:colOff>
                    <xdr:row>90</xdr:row>
                    <xdr:rowOff>133350</xdr:rowOff>
                  </to>
                </anchor>
              </controlPr>
            </control>
          </mc:Choice>
        </mc:AlternateContent>
        <mc:AlternateContent xmlns:mc="http://schemas.openxmlformats.org/markup-compatibility/2006">
          <mc:Choice Requires="x14">
            <control shapeId="27667" r:id="rId6" name="Button 19">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27668" r:id="rId7" name="Button 20">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27669" r:id="rId8" name="Button 2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27670" r:id="rId9" name="Button 22">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27679" r:id="rId10" name="Button 31">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27680" r:id="rId11" name="Button 32">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27681" r:id="rId12" name="Button 33">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27682" r:id="rId13" name="Button 34">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27683" r:id="rId14" name="Button 35">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27684" r:id="rId15" name="Button 36">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27685" r:id="rId16" name="Button 37">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27686" r:id="rId17" name="Button 38">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27687" r:id="rId18" name="Button 39">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27688" r:id="rId19" name="Button 40">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27689" r:id="rId20" name="Button 41">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27690" r:id="rId21" name="Button 42">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27691" r:id="rId22" name="Button 43">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27692" r:id="rId23" name="Button 44">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27693" r:id="rId24" name="Button 45">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27694" r:id="rId25" name="Button 46">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27695" r:id="rId26" name="Button 47">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27696" r:id="rId27" name="Button 48">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27697" r:id="rId28" name="Button 49">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27698" r:id="rId29" name="Button 50">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27699" r:id="rId30" name="Button 51">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27700" r:id="rId31" name="Button 52">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27701" r:id="rId32" name="Button 53">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27702" r:id="rId33" name="Button 54">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27703" r:id="rId34" name="Button 55">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27704" r:id="rId35" name="Button 56">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27705" r:id="rId36" name="Button 57">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27706" r:id="rId37" name="Button 58">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27707" r:id="rId38" name="Button 59">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27708" r:id="rId39" name="Button 60">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27709" r:id="rId40" name="Button 61">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27710" r:id="rId41" name="Button 62">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27711" r:id="rId42" name="Button 63">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27712" r:id="rId43" name="Button 64">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27713" r:id="rId44" name="Button 65">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27714" r:id="rId45" name="Button 66">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27715" r:id="rId46" name="Button 67">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27716" r:id="rId47" name="Button 68">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27717" r:id="rId48" name="Button 69">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27718" r:id="rId49" name="Button 70">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27719" r:id="rId50" name="Button 71">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27720" r:id="rId51" name="Button 72">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27721" r:id="rId52" name="Button 73">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27722" r:id="rId53" name="Button 74">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27723" r:id="rId54" name="Button 75">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27724" r:id="rId55" name="Button 76">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27725" r:id="rId56" name="Button 77">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27726" r:id="rId57" name="Button 78">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27727" r:id="rId58" name="Button 79">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27728" r:id="rId59" name="Button 80">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27729" r:id="rId60" name="Button 81">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27730" r:id="rId61" name="Button 82">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pageSetUpPr fitToPage="1"/>
  </sheetPr>
  <dimension ref="A1:IV95"/>
  <sheetViews>
    <sheetView showGridLines="0" topLeftCell="A5" zoomScale="80" zoomScaleNormal="80" workbookViewId="0">
      <selection activeCell="P29" sqref="P29"/>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 min="31" max="31" width="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264</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76">
        <f ca="1">TODAY()</f>
        <v>45371</v>
      </c>
      <c r="B6" s="210" t="s">
        <v>263</v>
      </c>
      <c r="C6" s="274"/>
      <c r="D6" s="274"/>
      <c r="E6" s="274"/>
      <c r="F6" s="274"/>
      <c r="G6" s="274"/>
      <c r="H6" s="274"/>
      <c r="I6" s="274"/>
      <c r="J6" s="274"/>
      <c r="K6" s="274"/>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ROUND(C14*C20,1)</f>
        <v>0</v>
      </c>
      <c r="E14" s="29" t="s">
        <v>45</v>
      </c>
      <c r="F14" s="30"/>
      <c r="G14" s="29" t="s">
        <v>15</v>
      </c>
      <c r="I14" s="53" t="s">
        <v>15</v>
      </c>
      <c r="J14" s="29"/>
      <c r="K14" s="29"/>
      <c r="L14" s="29"/>
      <c r="M14" s="29"/>
      <c r="N14" s="29"/>
    </row>
    <row r="15" spans="1:256" x14ac:dyDescent="0.2">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C16*C20</f>
        <v>1000</v>
      </c>
      <c r="E16" s="31" t="s">
        <v>41</v>
      </c>
      <c r="F16" s="33"/>
      <c r="G16" s="31"/>
      <c r="H16" s="31"/>
      <c r="I16" s="31"/>
      <c r="J16" s="31"/>
      <c r="K16" s="31"/>
      <c r="L16" s="31"/>
      <c r="M16" s="31"/>
      <c r="N16" s="31"/>
      <c r="O16" s="31"/>
    </row>
    <row r="17" spans="1:30" x14ac:dyDescent="0.2">
      <c r="A17" s="31" t="s">
        <v>286</v>
      </c>
      <c r="B17" s="31"/>
      <c r="C17" s="32">
        <f>'Customer Info'!$B$27</f>
        <v>0</v>
      </c>
      <c r="D17" s="32">
        <f>$C$17*$C$20</f>
        <v>0</v>
      </c>
      <c r="E17" s="31" t="s">
        <v>289</v>
      </c>
      <c r="F17" s="33"/>
      <c r="G17" s="31"/>
      <c r="H17" s="31"/>
      <c r="I17" s="31"/>
      <c r="J17" s="31"/>
      <c r="K17" s="31"/>
      <c r="L17" s="31"/>
      <c r="M17" s="31"/>
      <c r="N17" s="31"/>
      <c r="O17" s="31"/>
    </row>
    <row r="18" spans="1:30" x14ac:dyDescent="0.2">
      <c r="A18" s="31" t="s">
        <v>287</v>
      </c>
      <c r="B18" s="31"/>
      <c r="C18" s="285">
        <f>IF('Customer Info'!$B$18=0,0,ROUND(MAX(ROUND('Customer Info'!$B$18*$C$20,1),ROUND('Customer Info'!$B$19*$C$20,1))/'Customer Info'!$D$29,1))</f>
        <v>0</v>
      </c>
      <c r="D18" s="285">
        <f>$C$18*C20</f>
        <v>0</v>
      </c>
      <c r="E18" s="31" t="s">
        <v>290</v>
      </c>
      <c r="F18" s="33"/>
      <c r="G18" s="31"/>
      <c r="H18" s="31"/>
      <c r="I18" s="31"/>
      <c r="J18" s="31"/>
      <c r="K18" s="31"/>
      <c r="L18" s="31"/>
      <c r="M18" s="31"/>
      <c r="N18" s="31"/>
      <c r="O18" s="31"/>
    </row>
    <row r="19" spans="1:30" x14ac:dyDescent="0.2">
      <c r="A19" s="31" t="s">
        <v>288</v>
      </c>
      <c r="B19" s="31"/>
      <c r="C19" s="32"/>
      <c r="D19" s="285">
        <f>MAX(100,ROUND(1.15*(MAX('Customer Info'!$B$18*'GS PRI'!C20,'Customer Info'!$B$19*'GS PRI'!C20)),1))</f>
        <v>100</v>
      </c>
      <c r="E19" s="31" t="s">
        <v>290</v>
      </c>
      <c r="F19" s="33"/>
      <c r="G19" s="31"/>
      <c r="H19" s="31"/>
      <c r="I19" s="31"/>
      <c r="J19" s="31"/>
      <c r="K19" s="31"/>
      <c r="L19" s="31"/>
      <c r="M19" s="31"/>
      <c r="N19" s="31"/>
      <c r="O19" s="31"/>
    </row>
    <row r="20" spans="1:30" x14ac:dyDescent="0.2">
      <c r="A20" s="31" t="s">
        <v>54</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
      <c r="A21" s="31" t="s">
        <v>15</v>
      </c>
      <c r="B21" s="31"/>
      <c r="C21" s="82" t="s">
        <v>15</v>
      </c>
      <c r="D21" s="371" t="s">
        <v>15</v>
      </c>
      <c r="E21" s="371"/>
      <c r="F21" s="371"/>
      <c r="G21" s="371"/>
      <c r="H21" s="371"/>
      <c r="K21" s="31"/>
      <c r="L21" s="31"/>
      <c r="M21" s="31"/>
      <c r="N21" s="31"/>
      <c r="O21" s="50"/>
    </row>
    <row r="22" spans="1:30" x14ac:dyDescent="0.2">
      <c r="A22" s="31" t="s">
        <v>15</v>
      </c>
      <c r="B22" s="31"/>
      <c r="C22" s="82" t="s">
        <v>15</v>
      </c>
      <c r="D22" s="371" t="s">
        <v>15</v>
      </c>
      <c r="E22" s="371"/>
      <c r="F22" s="371"/>
      <c r="G22" s="371"/>
      <c r="H22" s="371"/>
      <c r="I22" s="23"/>
      <c r="J22" s="23"/>
      <c r="K22" s="31"/>
      <c r="L22" s="31"/>
      <c r="M22" s="31"/>
      <c r="N22" s="31"/>
      <c r="O22" s="50"/>
    </row>
    <row r="23" spans="1:30" x14ac:dyDescent="0.2">
      <c r="A23" s="31"/>
      <c r="B23" s="31"/>
      <c r="C23" s="33"/>
      <c r="D23" s="33"/>
      <c r="E23" s="33"/>
      <c r="F23" s="33"/>
      <c r="G23" s="23"/>
      <c r="H23" s="23"/>
      <c r="I23" s="23"/>
      <c r="J23" s="23"/>
      <c r="K23" s="31"/>
      <c r="L23" s="31"/>
      <c r="M23" s="31"/>
      <c r="N23" s="31"/>
      <c r="O23" s="31"/>
    </row>
    <row r="24" spans="1:30" x14ac:dyDescent="0.2">
      <c r="A24" s="28" t="s">
        <v>31</v>
      </c>
      <c r="B24" s="22"/>
      <c r="C24" s="22"/>
      <c r="D24" s="22"/>
      <c r="E24" s="22"/>
      <c r="F24" s="22"/>
      <c r="G24" s="362" t="s">
        <v>68</v>
      </c>
      <c r="H24" s="363"/>
      <c r="I24" s="363"/>
      <c r="J24" s="364"/>
      <c r="K24" s="22"/>
      <c r="L24" s="365" t="s">
        <v>69</v>
      </c>
      <c r="M24" s="365"/>
      <c r="N24" s="365"/>
      <c r="O24" s="365"/>
    </row>
    <row r="25" spans="1:30" x14ac:dyDescent="0.2">
      <c r="A25" s="18"/>
      <c r="B25" s="18"/>
      <c r="C25" s="18"/>
      <c r="D25" s="18"/>
      <c r="E25" s="18"/>
      <c r="F25" s="18"/>
      <c r="G25" s="8" t="s">
        <v>65</v>
      </c>
      <c r="H25" s="8" t="s">
        <v>66</v>
      </c>
      <c r="I25" s="8" t="s">
        <v>67</v>
      </c>
      <c r="J25" s="112" t="s">
        <v>34</v>
      </c>
      <c r="K25" s="18"/>
      <c r="L25" s="131" t="s">
        <v>65</v>
      </c>
      <c r="M25" s="131" t="s">
        <v>66</v>
      </c>
      <c r="N25" s="131" t="s">
        <v>67</v>
      </c>
      <c r="O25" s="132" t="s">
        <v>34</v>
      </c>
      <c r="P25" s="43" t="s">
        <v>57</v>
      </c>
    </row>
    <row r="26" spans="1:30" x14ac:dyDescent="0.2">
      <c r="A26" t="s">
        <v>32</v>
      </c>
      <c r="G26" s="86"/>
      <c r="H26" s="86"/>
      <c r="I26" s="86">
        <v>138.5</v>
      </c>
      <c r="J26" s="86">
        <f>SUM(G26:I26)</f>
        <v>138.5</v>
      </c>
      <c r="L26" s="88"/>
      <c r="M26" s="88"/>
      <c r="N26" s="88">
        <f>I26</f>
        <v>138.5</v>
      </c>
      <c r="O26" s="209">
        <f>SUM(L26:N26)</f>
        <v>138.5</v>
      </c>
      <c r="P26" s="245">
        <v>44531</v>
      </c>
    </row>
    <row r="27" spans="1:30" x14ac:dyDescent="0.2">
      <c r="A27" t="s">
        <v>132</v>
      </c>
      <c r="D27" s="1">
        <f>D16</f>
        <v>1000</v>
      </c>
      <c r="E27" s="101" t="s">
        <v>41</v>
      </c>
      <c r="F27" s="102" t="s">
        <v>8</v>
      </c>
      <c r="G27" s="84"/>
      <c r="H27" s="86"/>
      <c r="I27" s="86"/>
      <c r="J27" s="84"/>
      <c r="K27" s="104" t="s">
        <v>42</v>
      </c>
      <c r="L27" s="87"/>
      <c r="M27" s="88"/>
      <c r="N27" s="87"/>
      <c r="O27" s="209"/>
      <c r="P27" s="245"/>
    </row>
    <row r="28" spans="1:30" x14ac:dyDescent="0.2">
      <c r="A28" t="s">
        <v>33</v>
      </c>
      <c r="D28" s="49">
        <f>ROUND(MAX(D14,D15,('Customer Info'!B14-100)*0.6,('Customer Info'!B16-100)*0.6),1)</f>
        <v>0</v>
      </c>
      <c r="E28" s="29" t="s">
        <v>45</v>
      </c>
      <c r="F28" s="4" t="s">
        <v>8</v>
      </c>
      <c r="G28" s="85"/>
      <c r="H28" s="85"/>
      <c r="I28" s="85">
        <v>6.46</v>
      </c>
      <c r="J28" s="85">
        <f>SUM(G28:I28)</f>
        <v>6.46</v>
      </c>
      <c r="K28" s="36" t="s">
        <v>44</v>
      </c>
      <c r="L28" s="87"/>
      <c r="M28" s="87"/>
      <c r="N28" s="87">
        <f>ROUND($D28*I28,2)</f>
        <v>0</v>
      </c>
      <c r="O28" s="209">
        <f>SUM(L28:N28)</f>
        <v>0</v>
      </c>
      <c r="P28" s="245">
        <v>45261</v>
      </c>
    </row>
    <row r="29" spans="1:30" x14ac:dyDescent="0.2">
      <c r="A29" t="s">
        <v>262</v>
      </c>
      <c r="D29" s="49">
        <f>IF(D18&lt;=100,0,ROUND(IF(D18-D19&gt;0,D18-D19),1))</f>
        <v>0</v>
      </c>
      <c r="E29" s="29" t="s">
        <v>260</v>
      </c>
      <c r="F29" s="4" t="s">
        <v>8</v>
      </c>
      <c r="G29" s="116"/>
      <c r="H29" s="85"/>
      <c r="I29" s="85">
        <v>1.21</v>
      </c>
      <c r="J29" s="116">
        <f>SUM(G29:I29)</f>
        <v>1.21</v>
      </c>
      <c r="K29" s="36" t="s">
        <v>44</v>
      </c>
      <c r="L29" s="87"/>
      <c r="M29" s="87"/>
      <c r="N29" s="87">
        <f>ROUND($D29*I29,2)</f>
        <v>0</v>
      </c>
      <c r="O29" s="87">
        <f>SUM(L29:N29)</f>
        <v>0</v>
      </c>
      <c r="P29" s="245">
        <v>44531</v>
      </c>
    </row>
    <row r="30" spans="1:30" x14ac:dyDescent="0.2">
      <c r="A30" s="37" t="s">
        <v>50</v>
      </c>
      <c r="B30" s="37"/>
      <c r="C30" s="37"/>
      <c r="D30" s="38"/>
      <c r="E30" s="38"/>
      <c r="F30" s="37"/>
      <c r="G30" s="37"/>
      <c r="H30" s="37"/>
      <c r="I30" s="37"/>
      <c r="J30" s="37"/>
      <c r="K30" s="39"/>
      <c r="L30" s="40"/>
      <c r="M30" s="40"/>
      <c r="N30" s="40">
        <f>SUM(N26:N29)</f>
        <v>138.5</v>
      </c>
      <c r="O30" s="40">
        <f>SUM(O26:O29)</f>
        <v>138.5</v>
      </c>
    </row>
    <row r="31" spans="1:30" x14ac:dyDescent="0.2">
      <c r="A31" s="89"/>
      <c r="B31" s="89"/>
      <c r="C31" s="90"/>
      <c r="D31" s="90"/>
      <c r="E31" s="90"/>
      <c r="F31" s="90"/>
      <c r="G31" s="91"/>
      <c r="H31" s="91"/>
      <c r="I31" s="91"/>
      <c r="J31" s="91"/>
      <c r="K31" s="89"/>
      <c r="L31" s="89"/>
      <c r="M31" s="89"/>
      <c r="N31" s="89"/>
      <c r="O31" s="89"/>
      <c r="P31" s="89"/>
    </row>
    <row r="32" spans="1:30" x14ac:dyDescent="0.2">
      <c r="A32" s="41" t="s">
        <v>70</v>
      </c>
      <c r="D32" s="1"/>
      <c r="E32" s="1"/>
      <c r="K32" s="36"/>
      <c r="L32" s="36"/>
      <c r="M32" s="36"/>
      <c r="N32" s="36"/>
      <c r="O32" s="34"/>
      <c r="P32" s="34"/>
    </row>
    <row r="33" spans="1:220" x14ac:dyDescent="0.2">
      <c r="A33" s="37"/>
      <c r="D33" s="1"/>
      <c r="E33" s="1"/>
      <c r="K33" s="36"/>
      <c r="L33" s="36"/>
      <c r="M33" s="36"/>
      <c r="N33" s="36"/>
      <c r="O33" s="34"/>
    </row>
    <row r="34" spans="1:220" x14ac:dyDescent="0.2">
      <c r="A34" s="78" t="s">
        <v>79</v>
      </c>
      <c r="D34" s="1">
        <f>IF($C$16&lt;0,0,IF($C$16&gt;833000,833000,$C$16))</f>
        <v>1000</v>
      </c>
      <c r="E34" s="35" t="s">
        <v>41</v>
      </c>
      <c r="F34" s="4" t="s">
        <v>8</v>
      </c>
      <c r="G34" s="83"/>
      <c r="H34" s="84"/>
      <c r="I34" s="103">
        <f>'Rider Rates'!$B$4</f>
        <v>5.9216E-3</v>
      </c>
      <c r="J34" s="6">
        <f>SUM(G34:I34)</f>
        <v>5.9216E-3</v>
      </c>
      <c r="K34" s="36" t="s">
        <v>42</v>
      </c>
      <c r="L34" s="87"/>
      <c r="M34" s="87"/>
      <c r="N34" s="87">
        <f>ROUND($D34*I34,2)</f>
        <v>5.92</v>
      </c>
      <c r="O34" s="87">
        <f>SUM(L34:N34)</f>
        <v>5.92</v>
      </c>
      <c r="P34" s="245">
        <f>'Rider Rates'!$D$4</f>
        <v>45293</v>
      </c>
    </row>
    <row r="35" spans="1:220" x14ac:dyDescent="0.2">
      <c r="A35" s="78" t="s">
        <v>80</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0" x14ac:dyDescent="0.2">
      <c r="A36" s="78" t="s">
        <v>47</v>
      </c>
      <c r="B36" t="s">
        <v>15</v>
      </c>
      <c r="D36" s="1">
        <f>IF('Customer Info'!$C$32=TRUE,0,IF(C16&lt;0,0,IF(C16&gt;2000,2000,C16)))</f>
        <v>1000</v>
      </c>
      <c r="E36" s="35" t="s">
        <v>41</v>
      </c>
      <c r="F36" s="4" t="s">
        <v>8</v>
      </c>
      <c r="G36" s="83"/>
      <c r="H36" s="84"/>
      <c r="I36" s="177">
        <f>'Rider Rates'!$B$8</f>
        <v>4.6499999999999996E-3</v>
      </c>
      <c r="J36" s="117">
        <f>SUM(G36:I36)</f>
        <v>4.6499999999999996E-3</v>
      </c>
      <c r="K36" s="36" t="s">
        <v>42</v>
      </c>
      <c r="L36" s="87"/>
      <c r="M36" s="87"/>
      <c r="N36" s="87">
        <f>ROUND($D36*I36,2)</f>
        <v>4.6500000000000004</v>
      </c>
      <c r="O36" s="87">
        <f>SUM(L36:N36)</f>
        <v>4.6500000000000004</v>
      </c>
      <c r="P36" s="245">
        <f>'Rider Rates'!$D$7</f>
        <v>44531</v>
      </c>
    </row>
    <row r="37" spans="1:220" x14ac:dyDescent="0.2">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0" x14ac:dyDescent="0.2">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0" x14ac:dyDescent="0.2">
      <c r="A39" s="241" t="s">
        <v>239</v>
      </c>
      <c r="B39" s="78"/>
      <c r="C39" s="78"/>
      <c r="D39" s="208">
        <f>$N$30</f>
        <v>138.5</v>
      </c>
      <c r="E39" s="101" t="s">
        <v>122</v>
      </c>
      <c r="F39" s="102" t="s">
        <v>8</v>
      </c>
      <c r="G39" s="103"/>
      <c r="H39" s="103"/>
      <c r="I39" s="178">
        <f>'Rider Rates'!$B$18+'Rider Rates'!$E$18</f>
        <v>0</v>
      </c>
      <c r="J39" s="120">
        <f>SUM(H39:I39)</f>
        <v>0</v>
      </c>
      <c r="K39" s="104"/>
      <c r="L39" s="105"/>
      <c r="M39" s="105"/>
      <c r="N39" s="105">
        <f>ROUND($D$39*'Rider Rates'!$B$18,2)+ROUND($D$39*'Rider Rates'!$E$18,2)</f>
        <v>0</v>
      </c>
      <c r="O39" s="105">
        <f t="shared" ref="O39:O45" si="0">SUM(L39:N39)</f>
        <v>0</v>
      </c>
      <c r="P39" s="245">
        <f>MAX('Rider Rates'!$D$18,'Rider Rates'!$F$18)</f>
        <v>44531</v>
      </c>
    </row>
    <row r="40" spans="1:220" x14ac:dyDescent="0.2">
      <c r="A40" s="210" t="s">
        <v>187</v>
      </c>
      <c r="B40" s="78"/>
      <c r="C40" s="78"/>
      <c r="D40" s="100">
        <f>'Customer Info'!$B$21+'Customer Info'!$B$22-'Customer Info'!$B$23</f>
        <v>1000</v>
      </c>
      <c r="E40" s="101" t="s">
        <v>41</v>
      </c>
      <c r="F40" s="102" t="s">
        <v>8</v>
      </c>
      <c r="G40" s="103">
        <f>'Rider Rates'!B24</f>
        <v>0.10234</v>
      </c>
      <c r="H40" s="103"/>
      <c r="I40" s="103"/>
      <c r="J40" s="237">
        <f>SUM(G40:H40)</f>
        <v>0.10234</v>
      </c>
      <c r="K40" s="104" t="s">
        <v>42</v>
      </c>
      <c r="L40" s="105">
        <f>ROUND(D40*G40,2)</f>
        <v>102.34</v>
      </c>
      <c r="M40" s="105"/>
      <c r="N40" s="105"/>
      <c r="O40" s="105">
        <f t="shared" si="0"/>
        <v>102.34</v>
      </c>
      <c r="P40" s="245">
        <f>'Rider Rates'!$D$23</f>
        <v>45078</v>
      </c>
    </row>
    <row r="41" spans="1:220" x14ac:dyDescent="0.2">
      <c r="A41" s="241" t="s">
        <v>162</v>
      </c>
      <c r="B41" s="78"/>
      <c r="C41" s="78"/>
      <c r="D41" s="100">
        <f>'Customer Info'!$B$21+'Customer Info'!$B$22-'Customer Info'!$B$23</f>
        <v>1000</v>
      </c>
      <c r="E41" s="101" t="s">
        <v>41</v>
      </c>
      <c r="F41" s="102" t="s">
        <v>8</v>
      </c>
      <c r="G41" s="103">
        <f>'Rider Rates'!$B$37</f>
        <v>2.31E-3</v>
      </c>
      <c r="H41" s="103"/>
      <c r="I41" s="103"/>
      <c r="J41" s="237">
        <f>SUM(G41:H41)</f>
        <v>2.31E-3</v>
      </c>
      <c r="K41" s="104" t="s">
        <v>42</v>
      </c>
      <c r="L41" s="105">
        <f>ROUND(D41*G41,2)</f>
        <v>2.31</v>
      </c>
      <c r="M41" s="105"/>
      <c r="N41" s="105"/>
      <c r="O41" s="105">
        <f t="shared" si="0"/>
        <v>2.31</v>
      </c>
      <c r="P41" s="245">
        <f>'Rider Rates'!$D$37</f>
        <v>45078</v>
      </c>
    </row>
    <row r="42" spans="1:220" x14ac:dyDescent="0.2">
      <c r="A42" s="210" t="s">
        <v>194</v>
      </c>
      <c r="B42" s="78"/>
      <c r="C42" s="78"/>
      <c r="D42" s="100">
        <f>'Customer Info'!$B$21+'Customer Info'!$B$22-'Customer Info'!$B$23</f>
        <v>1000</v>
      </c>
      <c r="E42" s="101" t="s">
        <v>41</v>
      </c>
      <c r="F42" s="102" t="s">
        <v>8</v>
      </c>
      <c r="G42" s="103">
        <f>'Rider Rates'!$B$42</f>
        <v>-4.8640000000000001E-4</v>
      </c>
      <c r="H42" s="103"/>
      <c r="I42" s="103"/>
      <c r="J42" s="237">
        <f>SUM(G42:H42)</f>
        <v>-4.8640000000000001E-4</v>
      </c>
      <c r="K42" s="104" t="s">
        <v>42</v>
      </c>
      <c r="L42" s="105">
        <f>ROUND(D42*G42,2)</f>
        <v>-0.49</v>
      </c>
      <c r="M42" s="105"/>
      <c r="N42" s="105"/>
      <c r="O42" s="105">
        <f t="shared" si="0"/>
        <v>-0.49</v>
      </c>
      <c r="P42" s="245">
        <f>'Rider Rates'!$D$42</f>
        <v>45383</v>
      </c>
    </row>
    <row r="43" spans="1:220" x14ac:dyDescent="0.2">
      <c r="A43" s="241" t="s">
        <v>212</v>
      </c>
      <c r="B43" s="78"/>
      <c r="C43" s="78"/>
      <c r="D43" s="1">
        <f>IF($C$16&lt;0,0,IF($C$16&gt;833000,833000,$C$16))</f>
        <v>1000</v>
      </c>
      <c r="E43" s="101" t="s">
        <v>41</v>
      </c>
      <c r="F43" s="102" t="s">
        <v>8</v>
      </c>
      <c r="G43" s="103"/>
      <c r="H43" s="103"/>
      <c r="I43" s="103">
        <f>'Rider Rates'!D46</f>
        <v>1.7826999999999999E-3</v>
      </c>
      <c r="J43" s="103">
        <f>SUM(G43:I43)</f>
        <v>1.7826999999999999E-3</v>
      </c>
      <c r="K43" s="104" t="s">
        <v>42</v>
      </c>
      <c r="L43" s="105"/>
      <c r="M43" s="105"/>
      <c r="N43" s="87">
        <f>D43*J43</f>
        <v>1.7827</v>
      </c>
      <c r="O43" s="105">
        <f t="shared" si="0"/>
        <v>1.7827</v>
      </c>
      <c r="P43" s="245">
        <f>'Rider Rates'!E46</f>
        <v>45292</v>
      </c>
    </row>
    <row r="44" spans="1:220" x14ac:dyDescent="0.2">
      <c r="A44" s="210" t="s">
        <v>190</v>
      </c>
      <c r="B44" s="78"/>
      <c r="C44" s="78"/>
      <c r="D44" s="1">
        <f>IF($C$16&lt;0,0,$C$16)</f>
        <v>1000</v>
      </c>
      <c r="E44" s="113" t="s">
        <v>41</v>
      </c>
      <c r="F44" s="102" t="s">
        <v>8</v>
      </c>
      <c r="G44" s="103"/>
      <c r="H44" s="103">
        <f>'Rider Rates'!B55</f>
        <v>5.8060000000000002E-4</v>
      </c>
      <c r="I44" s="103"/>
      <c r="J44" s="103">
        <f>SUM(G44:I44)</f>
        <v>5.8060000000000002E-4</v>
      </c>
      <c r="K44" s="104" t="s">
        <v>42</v>
      </c>
      <c r="L44" s="105"/>
      <c r="M44" s="105">
        <f>ROUND(D44*H44,2)</f>
        <v>0.57999999999999996</v>
      </c>
      <c r="N44" s="205"/>
      <c r="O44" s="105">
        <f t="shared" si="0"/>
        <v>0.57999999999999996</v>
      </c>
      <c r="P44" s="245">
        <f>'Rider Rates'!$D$54</f>
        <v>45383</v>
      </c>
    </row>
    <row r="45" spans="1:220" x14ac:dyDescent="0.2">
      <c r="A45" s="210" t="s">
        <v>190</v>
      </c>
      <c r="B45" s="78"/>
      <c r="C45" s="78"/>
      <c r="D45" s="49">
        <f>D28</f>
        <v>0</v>
      </c>
      <c r="E45" s="35" t="s">
        <v>64</v>
      </c>
      <c r="F45" s="4" t="s">
        <v>8</v>
      </c>
      <c r="G45" s="103"/>
      <c r="H45" s="239">
        <f>'Rider Rates'!B60</f>
        <v>6.76</v>
      </c>
      <c r="I45" s="103"/>
      <c r="J45" s="239">
        <f>SUM(G45:I45)</f>
        <v>6.76</v>
      </c>
      <c r="K45" s="104" t="s">
        <v>44</v>
      </c>
      <c r="L45" s="105"/>
      <c r="M45" s="105">
        <f>ROUND(D45*H45,2)</f>
        <v>0</v>
      </c>
      <c r="N45" s="205"/>
      <c r="O45" s="105">
        <f t="shared" si="0"/>
        <v>0</v>
      </c>
      <c r="P45" s="245">
        <f>'Rider Rates'!$D$59</f>
        <v>45383</v>
      </c>
    </row>
    <row r="46" spans="1:220" x14ac:dyDescent="0.2">
      <c r="A46" s="99" t="s">
        <v>83</v>
      </c>
      <c r="B46" s="78"/>
      <c r="C46" s="78"/>
      <c r="D46" s="1">
        <f>IF('Customer Info'!C34=TRUE,0,IF($C$16&lt;0,0,$C$16))</f>
        <v>1000</v>
      </c>
      <c r="E46" s="101" t="s">
        <v>41</v>
      </c>
      <c r="F46" s="102" t="s">
        <v>8</v>
      </c>
      <c r="G46" s="103"/>
      <c r="H46" s="103"/>
      <c r="I46" s="103">
        <f>'Rider Rates'!$B$66+'Rider Rates'!$C$66</f>
        <v>0</v>
      </c>
      <c r="J46" s="103">
        <f>SUM(G46:I46)</f>
        <v>0</v>
      </c>
      <c r="K46" s="104" t="s">
        <v>42</v>
      </c>
      <c r="L46" s="105"/>
      <c r="M46" s="105"/>
      <c r="N46" s="87">
        <f>ROUND($D$46*'Rider Rates'!$B$66,2)+ROUND($D$46*'Rider Rates'!$C$66,2)</f>
        <v>0</v>
      </c>
      <c r="O46" s="209">
        <f t="shared" ref="O46:O53" si="1">SUM(L46:N46)</f>
        <v>0</v>
      </c>
      <c r="P46" s="245">
        <f>'Rider Rates'!$D$66</f>
        <v>44531</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0" x14ac:dyDescent="0.2">
      <c r="A47" s="99" t="s">
        <v>83</v>
      </c>
      <c r="B47" s="78"/>
      <c r="C47" s="78"/>
      <c r="D47" s="49">
        <f>IF('Customer Info'!C34=TRUE,0,$D$28)</f>
        <v>0</v>
      </c>
      <c r="E47" s="101" t="s">
        <v>45</v>
      </c>
      <c r="F47" s="102" t="s">
        <v>8</v>
      </c>
      <c r="G47" s="103"/>
      <c r="H47" s="103"/>
      <c r="I47" s="239">
        <f>'Rider Rates'!$B$76</f>
        <v>0</v>
      </c>
      <c r="J47" s="239">
        <f>SUM(G47:I47)</f>
        <v>0</v>
      </c>
      <c r="K47" s="104" t="s">
        <v>42</v>
      </c>
      <c r="L47" s="105"/>
      <c r="M47" s="105"/>
      <c r="N47" s="87">
        <f>ROUND($D47*I47,2)</f>
        <v>0</v>
      </c>
      <c r="O47" s="209">
        <f>SUM(L47:N47)</f>
        <v>0</v>
      </c>
      <c r="P47" s="245">
        <f>'Rider Rates'!$D$76</f>
        <v>44197</v>
      </c>
      <c r="Q47" s="107"/>
      <c r="R47" s="108"/>
      <c r="S47" s="109"/>
      <c r="T47" s="78"/>
      <c r="U47" s="110"/>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row>
    <row r="48" spans="1:220" x14ac:dyDescent="0.2">
      <c r="A48" s="99" t="s">
        <v>81</v>
      </c>
      <c r="B48" s="78"/>
      <c r="C48" s="78"/>
      <c r="D48" s="208">
        <f>$N$30</f>
        <v>138.5</v>
      </c>
      <c r="E48" s="101" t="s">
        <v>122</v>
      </c>
      <c r="F48" s="102" t="s">
        <v>8</v>
      </c>
      <c r="G48" s="111"/>
      <c r="H48" s="112"/>
      <c r="I48" s="120">
        <f>'Rider Rates'!$B$80</f>
        <v>2.9347000000000002E-2</v>
      </c>
      <c r="J48" s="120">
        <f>SUM(H48:I48)</f>
        <v>2.9347000000000002E-2</v>
      </c>
      <c r="K48" s="104"/>
      <c r="L48" s="105"/>
      <c r="M48" s="105"/>
      <c r="N48" s="105">
        <f>ROUND(N$30*I48,2)</f>
        <v>4.0599999999999996</v>
      </c>
      <c r="O48" s="209">
        <f t="shared" si="1"/>
        <v>4.0599999999999996</v>
      </c>
      <c r="P48" s="245">
        <f>'Rider Rates'!$D$80</f>
        <v>45383</v>
      </c>
      <c r="Q48" s="107"/>
      <c r="R48" s="108"/>
      <c r="S48" s="109"/>
      <c r="T48" s="78"/>
      <c r="U48" s="110"/>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row>
    <row r="49" spans="1:221" x14ac:dyDescent="0.2">
      <c r="A49" s="99" t="s">
        <v>82</v>
      </c>
      <c r="B49" s="78"/>
      <c r="C49" s="78"/>
      <c r="D49" s="208">
        <f>$N$30</f>
        <v>138.5</v>
      </c>
      <c r="E49" s="101" t="s">
        <v>122</v>
      </c>
      <c r="F49" s="102" t="s">
        <v>8</v>
      </c>
      <c r="G49" s="114"/>
      <c r="H49" s="115"/>
      <c r="I49" s="120">
        <f>'Rider Rates'!$B$82</f>
        <v>6.6985699999999995E-2</v>
      </c>
      <c r="J49" s="120">
        <f>SUM(H49:I49)</f>
        <v>6.6985699999999995E-2</v>
      </c>
      <c r="K49" s="104"/>
      <c r="L49" s="105"/>
      <c r="M49" s="105"/>
      <c r="N49" s="105">
        <f>ROUND(N$30*I49,2)</f>
        <v>9.2799999999999994</v>
      </c>
      <c r="O49" s="209">
        <f t="shared" si="1"/>
        <v>9.2799999999999994</v>
      </c>
      <c r="P49" s="245">
        <f>'Rider Rates'!$D$82</f>
        <v>45167</v>
      </c>
      <c r="Q49" s="107"/>
      <c r="R49" s="108"/>
      <c r="S49" s="109"/>
      <c r="T49" s="78"/>
      <c r="U49" s="110"/>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row>
    <row r="50" spans="1:221" x14ac:dyDescent="0.2">
      <c r="A50" s="210" t="s">
        <v>208</v>
      </c>
      <c r="B50" s="78"/>
      <c r="C50" s="78"/>
      <c r="D50" s="195"/>
      <c r="E50" s="113" t="s">
        <v>115</v>
      </c>
      <c r="F50" s="106"/>
      <c r="G50" s="114"/>
      <c r="H50" s="115"/>
      <c r="I50" s="196">
        <f>'Rider Rates'!$B$86</f>
        <v>15.91</v>
      </c>
      <c r="J50" s="196">
        <f>SUM(G50:I50)</f>
        <v>15.91</v>
      </c>
      <c r="K50" s="104"/>
      <c r="L50" s="105"/>
      <c r="M50" s="105"/>
      <c r="N50" s="105">
        <f>I50</f>
        <v>15.91</v>
      </c>
      <c r="O50" s="105">
        <f>SUM(L50:N50)</f>
        <v>15.91</v>
      </c>
      <c r="P50" s="245">
        <f>'Rider Rates'!$D$86</f>
        <v>45351</v>
      </c>
    </row>
    <row r="51" spans="1:221" x14ac:dyDescent="0.2">
      <c r="A51" s="241" t="s">
        <v>253</v>
      </c>
      <c r="B51" s="78"/>
      <c r="C51" s="78"/>
      <c r="D51" s="1">
        <f>$D$34</f>
        <v>1000</v>
      </c>
      <c r="E51" s="101" t="s">
        <v>41</v>
      </c>
      <c r="F51" s="102" t="s">
        <v>8</v>
      </c>
      <c r="G51" s="103"/>
      <c r="H51" s="103"/>
      <c r="I51" s="103"/>
      <c r="J51" s="103">
        <f>'Rider Rates'!$B$91</f>
        <v>0</v>
      </c>
      <c r="K51" s="104" t="s">
        <v>42</v>
      </c>
      <c r="L51" s="105"/>
      <c r="M51" s="105"/>
      <c r="N51" s="87"/>
      <c r="O51" s="105">
        <f>ROUND($D51*('Rider Rates'!B$91),2)</f>
        <v>0</v>
      </c>
      <c r="P51" s="245">
        <f>'Rider Rates'!$D$91</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41" t="s">
        <v>254</v>
      </c>
      <c r="B52" s="78"/>
      <c r="C52" s="78"/>
      <c r="D52" s="1">
        <f>$D$35</f>
        <v>0</v>
      </c>
      <c r="E52" s="101" t="s">
        <v>41</v>
      </c>
      <c r="F52" s="102" t="s">
        <v>8</v>
      </c>
      <c r="G52" s="103"/>
      <c r="H52" s="103"/>
      <c r="I52" s="103"/>
      <c r="J52" s="103">
        <f>'Rider Rates'!$B$92</f>
        <v>0</v>
      </c>
      <c r="K52" s="104" t="s">
        <v>42</v>
      </c>
      <c r="L52" s="105"/>
      <c r="M52" s="105"/>
      <c r="N52" s="87"/>
      <c r="O52" s="105">
        <f>ROUND($D52*('Rider Rates'!B$92),2)</f>
        <v>0</v>
      </c>
      <c r="P52" s="245">
        <f>'Rider Rates'!$D$92</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99" t="s">
        <v>157</v>
      </c>
      <c r="B53" s="78"/>
      <c r="C53" s="78"/>
      <c r="D53" s="208">
        <f>$N$30</f>
        <v>138.5</v>
      </c>
      <c r="E53" s="101" t="s">
        <v>122</v>
      </c>
      <c r="F53" s="102" t="s">
        <v>8</v>
      </c>
      <c r="G53" s="114"/>
      <c r="H53" s="115"/>
      <c r="I53" s="120">
        <f>'Rider Rates'!$B$100</f>
        <v>0.21398439999999999</v>
      </c>
      <c r="J53" s="120">
        <f>SUM(H53:I53)</f>
        <v>0.21398439999999999</v>
      </c>
      <c r="K53" s="104"/>
      <c r="L53" s="105"/>
      <c r="M53" s="105"/>
      <c r="N53" s="105">
        <f>ROUND(N$30*I53,2)</f>
        <v>29.64</v>
      </c>
      <c r="O53" s="105">
        <f t="shared" si="1"/>
        <v>29.64</v>
      </c>
      <c r="P53" s="245">
        <f>'Rider Rates'!$D$100</f>
        <v>45351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10" t="s">
        <v>211</v>
      </c>
      <c r="B54" s="78"/>
      <c r="C54" s="78"/>
      <c r="D54" s="195"/>
      <c r="E54" s="113" t="s">
        <v>115</v>
      </c>
      <c r="F54" s="106"/>
      <c r="G54" s="114"/>
      <c r="H54" s="115"/>
      <c r="I54" s="196">
        <f>'Rider Rates'!$B$104</f>
        <v>0</v>
      </c>
      <c r="J54" s="196">
        <f>SUM(G54:I54)</f>
        <v>0</v>
      </c>
      <c r="K54" s="104"/>
      <c r="L54" s="105"/>
      <c r="M54" s="105"/>
      <c r="N54" s="105">
        <f>I54</f>
        <v>0</v>
      </c>
      <c r="O54" s="105">
        <f t="shared" ref="O54:O59" si="2">SUM(L54:N54)</f>
        <v>0</v>
      </c>
      <c r="P54" s="245">
        <f>'Rider Rates'!$D$104</f>
        <v>44894</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10" t="s">
        <v>219</v>
      </c>
      <c r="B55" s="78"/>
      <c r="C55" s="78"/>
      <c r="D55" s="195"/>
      <c r="E55" s="113" t="s">
        <v>115</v>
      </c>
      <c r="F55" s="106"/>
      <c r="G55" s="114"/>
      <c r="H55" s="115"/>
      <c r="I55" s="258">
        <f>'Rider Rates'!B117</f>
        <v>5.83</v>
      </c>
      <c r="J55" s="196">
        <f>SUM(G55:I55)</f>
        <v>5.83</v>
      </c>
      <c r="K55" s="104"/>
      <c r="L55" s="105"/>
      <c r="M55" s="105"/>
      <c r="N55" s="260">
        <f>I55</f>
        <v>5.83</v>
      </c>
      <c r="O55" s="105">
        <f t="shared" si="2"/>
        <v>5.83</v>
      </c>
      <c r="P55" s="245">
        <f>'Rider Rates'!D117</f>
        <v>45226</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99" t="s">
        <v>158</v>
      </c>
      <c r="B56" s="78"/>
      <c r="C56" s="78"/>
      <c r="D56" s="100">
        <f>IF('Customer Info'!$C$32=TRUE,0,'Customer Info'!$B$21+'Customer Info'!$B$22-'Customer Info'!$B$23)</f>
        <v>1000</v>
      </c>
      <c r="E56" s="101" t="s">
        <v>41</v>
      </c>
      <c r="F56" s="102" t="s">
        <v>8</v>
      </c>
      <c r="G56" s="103">
        <f>'Rider Rates'!$B$108</f>
        <v>3.7618E-3</v>
      </c>
      <c r="H56" s="103"/>
      <c r="I56" s="120"/>
      <c r="J56" s="237">
        <f>SUM(G56:H56)</f>
        <v>3.7618E-3</v>
      </c>
      <c r="K56" s="104" t="s">
        <v>42</v>
      </c>
      <c r="L56" s="105">
        <f>ROUND(D56*G56,2)</f>
        <v>3.76</v>
      </c>
      <c r="M56" s="105"/>
      <c r="N56" s="105"/>
      <c r="O56" s="105">
        <f t="shared" si="2"/>
        <v>3.76</v>
      </c>
      <c r="P56" s="245">
        <f>'Rider Rates'!$D$108</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10" t="s">
        <v>210</v>
      </c>
      <c r="B57" s="78"/>
      <c r="C57" s="78"/>
      <c r="D57" s="1">
        <f>IF($C$16&lt;1,0,$C$16)</f>
        <v>1000</v>
      </c>
      <c r="E57" s="101" t="s">
        <v>41</v>
      </c>
      <c r="F57" s="249" t="s">
        <v>8</v>
      </c>
      <c r="G57" s="165"/>
      <c r="H57" s="165"/>
      <c r="I57" s="251">
        <f>'Rider Rates'!B113</f>
        <v>-6.2E-4</v>
      </c>
      <c r="J57" s="251">
        <f>SUM(G57:I57)</f>
        <v>-6.2E-4</v>
      </c>
      <c r="K57" s="104" t="s">
        <v>42</v>
      </c>
      <c r="L57" s="105"/>
      <c r="M57" s="105"/>
      <c r="N57" s="105">
        <f>D57*I57</f>
        <v>-0.62</v>
      </c>
      <c r="O57" s="105">
        <f t="shared" si="2"/>
        <v>-0.62</v>
      </c>
      <c r="P57" s="245">
        <f>'Rider Rates'!D113</f>
        <v>44531</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78" t="s">
        <v>235</v>
      </c>
      <c r="B58" s="78"/>
      <c r="C58" s="78"/>
      <c r="D58" s="100">
        <f>IF(C16&lt;0,0,IF(C16&gt;833000,833000,C16))</f>
        <v>1000</v>
      </c>
      <c r="E58" s="101" t="s">
        <v>41</v>
      </c>
      <c r="F58" s="102" t="s">
        <v>8</v>
      </c>
      <c r="G58" s="265"/>
      <c r="H58" s="265"/>
      <c r="I58" s="265">
        <f>'Rider Rates'!$B$121</f>
        <v>2.9050000000000001E-4</v>
      </c>
      <c r="J58" s="265">
        <f>SUM(G58:I58)</f>
        <v>2.9050000000000001E-4</v>
      </c>
      <c r="K58" s="104" t="s">
        <v>42</v>
      </c>
      <c r="L58" s="266"/>
      <c r="M58" s="266"/>
      <c r="N58" s="266">
        <f>IF(D58*J58&gt;'Rider Rates'!$C$121,'Rider Rates'!$C$121,D58*J58)</f>
        <v>0.29050000000000004</v>
      </c>
      <c r="O58" s="266">
        <f t="shared" si="2"/>
        <v>0.29050000000000004</v>
      </c>
      <c r="P58" s="264">
        <f>'Rider Rates'!$E$121</f>
        <v>45292</v>
      </c>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78" t="s">
        <v>236</v>
      </c>
      <c r="B59" s="78"/>
      <c r="C59" s="78"/>
      <c r="D59" s="123">
        <f>IF(C16&gt;833000,C16-833000,0)</f>
        <v>0</v>
      </c>
      <c r="E59" s="101" t="s">
        <v>41</v>
      </c>
      <c r="F59" s="102" t="s">
        <v>8</v>
      </c>
      <c r="G59" s="265"/>
      <c r="H59" s="265"/>
      <c r="I59" s="265">
        <f>'Rider Rates'!$B$122</f>
        <v>0</v>
      </c>
      <c r="J59" s="265">
        <f>SUM(G59:I59)</f>
        <v>0</v>
      </c>
      <c r="K59" s="104" t="s">
        <v>42</v>
      </c>
      <c r="L59" s="266"/>
      <c r="M59" s="266"/>
      <c r="N59" s="266">
        <f>D59*J59</f>
        <v>0</v>
      </c>
      <c r="O59" s="266">
        <f t="shared" si="2"/>
        <v>0</v>
      </c>
      <c r="P59" s="264">
        <f>'Rider Rates'!$E$122</f>
        <v>44927</v>
      </c>
      <c r="Q59" s="106"/>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241" t="s">
        <v>244</v>
      </c>
      <c r="B60" s="78"/>
      <c r="C60" s="78"/>
      <c r="D60" s="100">
        <f>D16</f>
        <v>1000</v>
      </c>
      <c r="E60" s="101" t="s">
        <v>41</v>
      </c>
      <c r="F60" s="249" t="s">
        <v>8</v>
      </c>
      <c r="G60" s="103"/>
      <c r="H60" s="103"/>
      <c r="I60" s="103">
        <f>'Rider Rates'!$B$128</f>
        <v>0</v>
      </c>
      <c r="J60" s="237">
        <f>SUM(G60:I60)</f>
        <v>0</v>
      </c>
      <c r="K60" s="104" t="s">
        <v>42</v>
      </c>
      <c r="L60" s="105"/>
      <c r="M60" s="105"/>
      <c r="N60" s="105">
        <f>D60*J60</f>
        <v>0</v>
      </c>
      <c r="O60" s="105">
        <f>SUM(L60:N60)</f>
        <v>0</v>
      </c>
      <c r="P60" s="245">
        <f>'Rider Rates'!$D$126</f>
        <v>44531</v>
      </c>
      <c r="Q60" s="106"/>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241" t="s">
        <v>243</v>
      </c>
      <c r="B61" s="78"/>
      <c r="C61" s="78"/>
      <c r="D61" s="100"/>
      <c r="E61" s="101" t="s">
        <v>115</v>
      </c>
      <c r="F61" s="102" t="s">
        <v>8</v>
      </c>
      <c r="G61" s="263"/>
      <c r="H61" s="263"/>
      <c r="I61" s="263">
        <f>'Rider Rates'!$B$133</f>
        <v>0</v>
      </c>
      <c r="J61" s="263">
        <f>SUM(G61:I61)</f>
        <v>0</v>
      </c>
      <c r="K61" s="104"/>
      <c r="L61" s="209"/>
      <c r="M61" s="209"/>
      <c r="N61" s="209">
        <f>J61</f>
        <v>0</v>
      </c>
      <c r="O61" s="209">
        <f>SUM(L61:N61)</f>
        <v>0</v>
      </c>
      <c r="P61" s="264">
        <f>'Rider Rates'!$D$133</f>
        <v>44531</v>
      </c>
      <c r="Q61" s="106"/>
      <c r="R61" s="107"/>
      <c r="S61" s="108"/>
      <c r="T61" s="109"/>
      <c r="U61" s="78"/>
      <c r="V61" s="110"/>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241" t="s">
        <v>245</v>
      </c>
      <c r="B62" s="78"/>
      <c r="C62" s="78"/>
      <c r="D62" s="100"/>
      <c r="E62" s="101"/>
      <c r="F62" s="102"/>
      <c r="G62" s="263"/>
      <c r="H62" s="263"/>
      <c r="I62" s="263"/>
      <c r="J62" s="263"/>
      <c r="K62" s="104"/>
      <c r="L62" s="209"/>
      <c r="M62" s="209"/>
      <c r="N62" s="209"/>
      <c r="O62" s="209"/>
      <c r="P62" s="264"/>
      <c r="Q62" s="106"/>
      <c r="R62" s="107"/>
      <c r="S62" s="108"/>
      <c r="T62" s="109"/>
      <c r="U62" s="78"/>
      <c r="V62" s="110"/>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x14ac:dyDescent="0.2">
      <c r="A63" s="179" t="s">
        <v>71</v>
      </c>
      <c r="B63" s="148"/>
      <c r="C63" s="148"/>
      <c r="D63" s="180"/>
      <c r="E63" s="181"/>
      <c r="F63" s="182"/>
      <c r="G63" s="182"/>
      <c r="H63" s="182"/>
      <c r="I63" s="182"/>
      <c r="J63" s="182"/>
      <c r="K63" s="183"/>
      <c r="L63" s="169">
        <f>SUM(L34:L62)</f>
        <v>107.92000000000002</v>
      </c>
      <c r="M63" s="169">
        <f t="shared" ref="M63:O63" si="3">SUM(M34:M62)</f>
        <v>0.57999999999999996</v>
      </c>
      <c r="N63" s="169">
        <f t="shared" si="3"/>
        <v>76.743199999999987</v>
      </c>
      <c r="O63" s="169">
        <f t="shared" si="3"/>
        <v>185.24320000000003</v>
      </c>
      <c r="P63" s="184"/>
    </row>
    <row r="64" spans="1:221" x14ac:dyDescent="0.2">
      <c r="A64" s="37"/>
      <c r="D64" s="1"/>
      <c r="E64" s="35"/>
      <c r="F64" s="4"/>
      <c r="G64" s="42"/>
      <c r="H64" s="42"/>
      <c r="I64" s="42"/>
      <c r="J64" s="42"/>
      <c r="K64" s="36"/>
      <c r="L64" s="36"/>
      <c r="M64" s="36"/>
      <c r="N64" s="36"/>
      <c r="O64" s="34"/>
      <c r="P64" s="36"/>
    </row>
    <row r="65" spans="1:16" x14ac:dyDescent="0.2">
      <c r="A65" s="81" t="s">
        <v>72</v>
      </c>
      <c r="B65" s="92"/>
      <c r="C65" s="92"/>
      <c r="D65" s="92"/>
      <c r="E65" s="92"/>
      <c r="F65" s="92"/>
      <c r="G65" s="92"/>
      <c r="H65" s="92"/>
      <c r="I65" s="92"/>
      <c r="J65" s="92"/>
      <c r="K65" s="92"/>
      <c r="L65" s="98">
        <f>L30+L63</f>
        <v>107.92000000000002</v>
      </c>
      <c r="M65" s="98">
        <f>M30+M63</f>
        <v>0.57999999999999996</v>
      </c>
      <c r="N65" s="98">
        <f>N30+N63</f>
        <v>215.2432</v>
      </c>
      <c r="O65" s="98">
        <f>O30+O63</f>
        <v>323.7432</v>
      </c>
      <c r="P65" s="98"/>
    </row>
    <row r="66" spans="1:16" x14ac:dyDescent="0.2">
      <c r="A66" s="37"/>
      <c r="B66" s="37"/>
      <c r="C66" s="37"/>
      <c r="D66" s="37"/>
      <c r="E66" s="37"/>
      <c r="F66" s="37"/>
      <c r="G66" s="37"/>
      <c r="H66" s="37"/>
      <c r="I66" s="37"/>
      <c r="J66" s="37"/>
      <c r="K66" s="37"/>
      <c r="L66" s="37"/>
      <c r="M66" s="37"/>
      <c r="N66" s="37"/>
      <c r="O66" s="40"/>
      <c r="P66" s="40"/>
    </row>
    <row r="67" spans="1:16" x14ac:dyDescent="0.2">
      <c r="A67" s="37" t="s">
        <v>37</v>
      </c>
      <c r="B67" s="37"/>
      <c r="C67" s="37"/>
      <c r="D67" s="37"/>
      <c r="E67" s="37"/>
      <c r="F67" s="37"/>
      <c r="G67" s="37"/>
      <c r="H67" s="37"/>
      <c r="I67" s="37"/>
      <c r="J67" s="37"/>
      <c r="K67" s="37"/>
      <c r="L67" s="37"/>
      <c r="M67" s="37"/>
      <c r="N67" s="37"/>
      <c r="O67" s="45">
        <f>O26+O28+O63</f>
        <v>323.7432</v>
      </c>
      <c r="P67" s="245">
        <v>40967</v>
      </c>
    </row>
    <row r="68" spans="1:16" x14ac:dyDescent="0.2">
      <c r="A68" s="37"/>
      <c r="B68" s="37"/>
      <c r="C68" s="37"/>
      <c r="D68" s="37"/>
      <c r="E68" s="37"/>
      <c r="F68" s="37"/>
      <c r="G68" s="46"/>
      <c r="H68" s="46"/>
      <c r="I68" s="46"/>
      <c r="J68" s="46"/>
      <c r="K68" s="36"/>
      <c r="L68" s="36"/>
      <c r="M68" s="36"/>
      <c r="N68" s="36"/>
      <c r="O68" s="40"/>
    </row>
    <row r="69" spans="1:16" x14ac:dyDescent="0.2">
      <c r="A69" s="41" t="s">
        <v>117</v>
      </c>
      <c r="B69" s="37"/>
      <c r="C69" s="37"/>
      <c r="D69" s="37"/>
      <c r="E69" s="37"/>
      <c r="F69" s="37"/>
      <c r="G69" s="46"/>
      <c r="H69" s="46"/>
      <c r="I69" s="46"/>
      <c r="J69" s="46"/>
      <c r="K69" s="36"/>
      <c r="L69" s="36"/>
      <c r="M69" s="36"/>
      <c r="N69" s="36"/>
      <c r="O69" s="138">
        <f>MAX($O$65,$O$67)</f>
        <v>323.7432</v>
      </c>
    </row>
    <row r="70" spans="1:16" x14ac:dyDescent="0.2">
      <c r="A70" s="37"/>
      <c r="B70" s="37"/>
      <c r="C70" s="37"/>
      <c r="D70" s="37"/>
      <c r="E70" s="37"/>
      <c r="F70" s="37"/>
      <c r="G70" s="46"/>
      <c r="H70" s="46"/>
      <c r="I70" s="46"/>
      <c r="J70" s="46"/>
      <c r="K70" s="36"/>
      <c r="L70" s="36"/>
      <c r="M70" s="36"/>
      <c r="N70" s="36"/>
      <c r="O70" s="40"/>
    </row>
    <row r="71" spans="1:16" x14ac:dyDescent="0.2">
      <c r="A71" s="37"/>
      <c r="B71" s="37"/>
      <c r="C71" s="37"/>
      <c r="D71" s="37"/>
      <c r="E71" s="37"/>
      <c r="F71" s="37"/>
      <c r="G71" s="96" t="s">
        <v>86</v>
      </c>
      <c r="H71" s="46"/>
      <c r="I71" s="37"/>
      <c r="J71" s="46"/>
      <c r="K71" s="36"/>
      <c r="L71" s="191"/>
      <c r="M71" s="191"/>
      <c r="N71" s="191"/>
      <c r="O71" s="191">
        <f>ROUND(IF($C$16&lt;1,0,$O$69/($C$16*100)*10000),2)</f>
        <v>32.369999999999997</v>
      </c>
      <c r="P71" s="37" t="s">
        <v>87</v>
      </c>
    </row>
    <row r="72" spans="1:16" x14ac:dyDescent="0.2">
      <c r="A72" s="37"/>
      <c r="B72" s="37"/>
      <c r="C72" s="37"/>
      <c r="D72" s="37"/>
      <c r="E72" s="37"/>
      <c r="F72" s="37"/>
      <c r="G72" s="242" t="s">
        <v>191</v>
      </c>
      <c r="H72" s="136"/>
      <c r="I72" s="133"/>
      <c r="J72" s="136"/>
      <c r="K72" s="137"/>
      <c r="L72" s="78"/>
      <c r="M72" s="78"/>
      <c r="N72" s="78"/>
      <c r="O72" s="243">
        <f>ROUND(IF($C$16&lt;1,0,(L65)/($C$16*100)*10000),2)</f>
        <v>10.79</v>
      </c>
      <c r="P72" s="25" t="s">
        <v>87</v>
      </c>
    </row>
    <row r="73" spans="1:16" x14ac:dyDescent="0.2">
      <c r="A73" s="37"/>
      <c r="B73" s="37"/>
      <c r="C73" s="37"/>
      <c r="D73" s="37"/>
      <c r="E73" s="37"/>
      <c r="F73" s="37"/>
      <c r="G73" s="96"/>
      <c r="H73" s="46"/>
      <c r="I73" s="96"/>
      <c r="J73" s="46"/>
      <c r="K73" s="36"/>
      <c r="L73" s="36"/>
      <c r="M73" s="36"/>
      <c r="N73" s="36"/>
      <c r="O73" s="130"/>
      <c r="P73" s="37"/>
    </row>
    <row r="74" spans="1:16" ht="20.25" customHeight="1" x14ac:dyDescent="0.3">
      <c r="A74" s="3"/>
      <c r="B74" s="37"/>
      <c r="C74" s="37"/>
      <c r="D74" s="228" t="str">
        <f>IF('Customer Info'!$C$32=TRUE,"Notice: Billing Charge does not include Self Assessed KWH Tax"," ")</f>
        <v xml:space="preserve"> </v>
      </c>
      <c r="E74" s="3"/>
      <c r="F74" s="4"/>
      <c r="G74" s="121"/>
      <c r="H74" s="55"/>
      <c r="I74" s="34"/>
      <c r="J74" s="55"/>
      <c r="K74" s="37"/>
      <c r="L74" s="37"/>
      <c r="M74" s="37"/>
      <c r="N74" s="34"/>
    </row>
    <row r="75" spans="1:16" x14ac:dyDescent="0.2">
      <c r="A75" s="37"/>
      <c r="B75" s="37"/>
      <c r="C75" s="37"/>
      <c r="D75" s="54"/>
      <c r="E75" s="3"/>
      <c r="F75" s="4"/>
      <c r="G75" s="55"/>
      <c r="H75" s="55"/>
      <c r="I75" s="93"/>
      <c r="J75" s="55"/>
      <c r="K75" s="37"/>
      <c r="L75" s="37"/>
      <c r="M75" s="37"/>
      <c r="N75" s="37"/>
      <c r="O75" s="40"/>
    </row>
    <row r="76" spans="1:16" x14ac:dyDescent="0.2">
      <c r="A76" s="37"/>
      <c r="B76" s="37"/>
      <c r="C76" s="37"/>
      <c r="D76" s="54"/>
      <c r="E76" s="3"/>
      <c r="F76" s="4"/>
      <c r="G76" s="55"/>
      <c r="H76" s="55"/>
      <c r="I76" s="55"/>
      <c r="J76" s="55"/>
      <c r="K76" s="37"/>
      <c r="L76" s="37"/>
      <c r="M76" s="37"/>
      <c r="N76" s="37"/>
      <c r="O76" s="40"/>
    </row>
    <row r="77" spans="1:16" x14ac:dyDescent="0.2">
      <c r="A77" s="41"/>
      <c r="B77" s="37"/>
      <c r="C77" s="37"/>
      <c r="D77" s="37"/>
      <c r="E77" s="37"/>
      <c r="F77" s="37"/>
      <c r="G77" s="37"/>
      <c r="H77" s="37"/>
      <c r="J77" s="37"/>
      <c r="K77" s="37"/>
      <c r="L77" s="40"/>
      <c r="M77" s="40"/>
      <c r="N77" s="40"/>
      <c r="O77" s="138"/>
    </row>
    <row r="78" spans="1:16" x14ac:dyDescent="0.2">
      <c r="B78" s="37"/>
      <c r="C78" s="37"/>
      <c r="D78" s="37"/>
      <c r="E78" s="37"/>
      <c r="F78" s="37"/>
      <c r="G78" s="96"/>
      <c r="H78" s="37"/>
      <c r="I78" s="37"/>
      <c r="J78" s="37"/>
      <c r="K78" s="37"/>
      <c r="L78" s="60"/>
      <c r="M78" s="60"/>
      <c r="N78" s="60"/>
      <c r="O78" s="130"/>
      <c r="P78" s="37"/>
    </row>
    <row r="79" spans="1:16" x14ac:dyDescent="0.2">
      <c r="G79" s="133"/>
      <c r="H79" s="56"/>
      <c r="I79" s="133"/>
      <c r="J79" s="56"/>
      <c r="K79" s="56"/>
      <c r="L79" s="134"/>
      <c r="M79" s="134"/>
      <c r="N79" s="134"/>
      <c r="O79" s="135"/>
      <c r="P79" s="25"/>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row r="94" spans="1:1" x14ac:dyDescent="0.2">
      <c r="A94" s="350"/>
    </row>
    <row r="95" spans="1:1" x14ac:dyDescent="0.2">
      <c r="A95" s="350"/>
    </row>
  </sheetData>
  <sheetProtection algorithmName="SHA-512" hashValue="GHn9ptm8AP6QzhQwmj/h3RKh5cBs4pTfNMhSbhEkB3POaWh4oDf/Xo9ADZeo7swd9Z9ySvPiYgSCTsb20lGulg==" saltValue="4U870TlOvLYuEnr2x5skRA=="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81:A95"/>
    <mergeCell ref="A4:P4"/>
    <mergeCell ref="A7:P7"/>
    <mergeCell ref="A11:I11"/>
    <mergeCell ref="D21:H21"/>
    <mergeCell ref="D22:H22"/>
    <mergeCell ref="G24:J24"/>
    <mergeCell ref="L24:O24"/>
  </mergeCells>
  <printOptions horizontalCentered="1"/>
  <pageMargins left="0.5" right="0.5" top="0.25" bottom="0.25" header="0.25" footer="0.26"/>
  <pageSetup scale="55" orientation="landscape" r:id="rId1"/>
  <headerFooter alignWithMargins="0"/>
  <rowBreaks count="1" manualBreakCount="1">
    <brk id="7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76802" r:id="rId5" name="Button 2">
              <controlPr defaultSize="0" print="0" autoFill="0" autoPict="0" macro="[0]!Info">
                <anchor moveWithCells="1">
                  <from>
                    <xdr:col>15</xdr:col>
                    <xdr:colOff>409575</xdr:colOff>
                    <xdr:row>89</xdr:row>
                    <xdr:rowOff>76200</xdr:rowOff>
                  </from>
                  <to>
                    <xdr:col>16</xdr:col>
                    <xdr:colOff>38100</xdr:colOff>
                    <xdr:row>90</xdr:row>
                    <xdr:rowOff>133350</xdr:rowOff>
                  </to>
                </anchor>
              </controlPr>
            </control>
          </mc:Choice>
        </mc:AlternateContent>
        <mc:AlternateContent xmlns:mc="http://schemas.openxmlformats.org/markup-compatibility/2006">
          <mc:Choice Requires="x14">
            <control shapeId="76803"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6804"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6805"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6806"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6807"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6808"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6809"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6810"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6811"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6812"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6813"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6814"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6815"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6816"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6817"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6818"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6819"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6820"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6821"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6822"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6823"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6824"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6825"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6826"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6827"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6828"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6829"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6830"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6831"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6832"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6833"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6834"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6835"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6836"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6837"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6838"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6839"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6840"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6841"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6842"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6843"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6844"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6845"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6846"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6847"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6848"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6849"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6850"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6851"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6852"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6853"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6854"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6855"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6856"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6857"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6858"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pageSetUpPr fitToPage="1"/>
  </sheetPr>
  <dimension ref="A1:IV94"/>
  <sheetViews>
    <sheetView showGridLines="0" topLeftCell="A7" zoomScale="80" zoomScaleNormal="80" workbookViewId="0">
      <selection activeCell="A34" sqref="A34:XFD34"/>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3" width="17" customWidth="1"/>
    <col min="14"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 min="31" max="31" width="9.140625"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265</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76">
        <f ca="1">TODAY()</f>
        <v>45371</v>
      </c>
      <c r="B6" s="210" t="s">
        <v>266</v>
      </c>
      <c r="C6" s="274"/>
      <c r="D6" s="274"/>
      <c r="E6" s="274"/>
      <c r="F6" s="274"/>
      <c r="G6" s="274"/>
      <c r="H6" s="274"/>
      <c r="I6" s="274"/>
      <c r="J6" s="274"/>
      <c r="K6" s="274"/>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Rates'!$C$25</f>
        <v>0.10049</v>
      </c>
      <c r="T12" s="207">
        <f>'Rider Rates'!$C$25</f>
        <v>0.10049</v>
      </c>
      <c r="U12" s="207">
        <f>'Rider Rates'!$C$25</f>
        <v>0.10049</v>
      </c>
      <c r="V12" s="207">
        <f>'Rider Rates'!$C$25</f>
        <v>0.10049</v>
      </c>
      <c r="W12" s="207">
        <f>'Rider Rates'!$C$25</f>
        <v>0.10049</v>
      </c>
      <c r="X12" s="207">
        <f>'Rider Rates'!$C$25</f>
        <v>0.10049</v>
      </c>
      <c r="Y12" s="207">
        <f>'Rider Rates'!$C$25</f>
        <v>0.10049</v>
      </c>
      <c r="Z12" s="207">
        <f>'Rider Rates'!$C$25</f>
        <v>0.10049</v>
      </c>
      <c r="AA12" s="207">
        <f>'Rider Rates'!$C$25</f>
        <v>0.10049</v>
      </c>
      <c r="AB12" s="207">
        <f>'Rider Rates'!$C$25</f>
        <v>0.10049</v>
      </c>
      <c r="AC12" s="207">
        <f>'Rider Rates'!$C$25</f>
        <v>0.10049</v>
      </c>
      <c r="AD12" s="207">
        <f>'Rider Rates'!$C$25</f>
        <v>0.10049</v>
      </c>
      <c r="AE12" s="207"/>
      <c r="AF12" s="207"/>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ROUND(C14*C19,1)</f>
        <v>0</v>
      </c>
      <c r="E14" s="29" t="s">
        <v>45</v>
      </c>
      <c r="F14" s="30"/>
      <c r="G14" s="29" t="s">
        <v>15</v>
      </c>
      <c r="I14" s="53" t="s">
        <v>15</v>
      </c>
      <c r="J14" s="29"/>
      <c r="K14" s="29"/>
      <c r="L14" s="29"/>
      <c r="M14" s="29"/>
      <c r="N14" s="29"/>
    </row>
    <row r="15" spans="1:256" x14ac:dyDescent="0.2">
      <c r="A15" s="31" t="s">
        <v>29</v>
      </c>
      <c r="B15" s="31"/>
      <c r="C15" s="44">
        <f>'Customer Info'!B19</f>
        <v>0</v>
      </c>
      <c r="D15" s="44">
        <f>C15*C19</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C16*C19</f>
        <v>1000</v>
      </c>
      <c r="E16" s="31" t="s">
        <v>41</v>
      </c>
      <c r="F16" s="33"/>
      <c r="G16" s="31"/>
      <c r="H16" s="31"/>
      <c r="I16" s="31"/>
      <c r="J16" s="31"/>
      <c r="K16" s="31"/>
      <c r="L16" s="31"/>
      <c r="M16" s="31"/>
      <c r="N16" s="31"/>
      <c r="O16" s="31"/>
    </row>
    <row r="17" spans="1:30" x14ac:dyDescent="0.2">
      <c r="A17" s="31" t="s">
        <v>129</v>
      </c>
      <c r="B17" s="31"/>
      <c r="C17" s="32">
        <f>'Customer Info'!$B$26</f>
        <v>0</v>
      </c>
      <c r="D17" s="32">
        <f>C17*C19</f>
        <v>0</v>
      </c>
      <c r="E17" s="31" t="s">
        <v>258</v>
      </c>
      <c r="F17" s="33"/>
      <c r="K17" s="31"/>
      <c r="L17" s="31"/>
      <c r="M17" s="31"/>
      <c r="N17" s="31"/>
    </row>
    <row r="18" spans="1:30" x14ac:dyDescent="0.2">
      <c r="A18" s="31" t="s">
        <v>257</v>
      </c>
      <c r="B18" s="31"/>
      <c r="C18" s="32"/>
      <c r="D18" s="32">
        <f>IF((D17-(ROUND(MAX(D14,D15)*0.5,1)))&lt;0,0,(D17-(ROUND(MAX(D14,D15)*0.5,1))))</f>
        <v>0</v>
      </c>
      <c r="E18" s="31" t="s">
        <v>261</v>
      </c>
      <c r="F18" s="33"/>
      <c r="K18" s="31"/>
      <c r="L18" s="31"/>
      <c r="M18" s="31"/>
      <c r="N18" s="31"/>
    </row>
    <row r="19" spans="1:30" x14ac:dyDescent="0.2">
      <c r="A19" s="31" t="s">
        <v>54</v>
      </c>
      <c r="B19" s="31"/>
      <c r="C19" s="58">
        <f>+'Customer Info'!E18</f>
        <v>1</v>
      </c>
      <c r="D19" s="31"/>
      <c r="E19" s="31"/>
      <c r="F19" s="33"/>
      <c r="G19" s="23"/>
      <c r="H19" s="23"/>
      <c r="I19" s="23"/>
      <c r="J19" s="23"/>
      <c r="K19" s="31"/>
      <c r="L19" s="31"/>
      <c r="M19" s="31"/>
      <c r="N19" s="31"/>
      <c r="S19" s="207"/>
      <c r="T19" s="207"/>
      <c r="U19" s="207"/>
      <c r="V19" s="207"/>
      <c r="W19" s="207"/>
      <c r="X19" s="207"/>
      <c r="Y19" s="207"/>
      <c r="Z19" s="207"/>
      <c r="AA19" s="207"/>
      <c r="AB19" s="207"/>
      <c r="AC19" s="207"/>
      <c r="AD19" s="207"/>
    </row>
    <row r="20" spans="1:30" x14ac:dyDescent="0.2">
      <c r="A20" s="31" t="s">
        <v>15</v>
      </c>
      <c r="B20" s="31"/>
      <c r="C20" s="82" t="s">
        <v>15</v>
      </c>
      <c r="D20" s="371" t="s">
        <v>15</v>
      </c>
      <c r="E20" s="371"/>
      <c r="F20" s="371"/>
      <c r="G20" s="371"/>
      <c r="H20" s="371"/>
      <c r="K20" s="31"/>
      <c r="L20" s="31"/>
      <c r="M20" s="31"/>
      <c r="N20" s="31"/>
      <c r="O20" s="50"/>
    </row>
    <row r="21" spans="1:30" x14ac:dyDescent="0.2">
      <c r="A21" s="31" t="s">
        <v>15</v>
      </c>
      <c r="B21" s="31"/>
      <c r="C21" s="82" t="s">
        <v>15</v>
      </c>
      <c r="D21" s="371" t="s">
        <v>15</v>
      </c>
      <c r="E21" s="371"/>
      <c r="F21" s="371"/>
      <c r="G21" s="371"/>
      <c r="H21" s="371"/>
      <c r="I21" s="23"/>
      <c r="J21" s="23"/>
      <c r="K21" s="31"/>
      <c r="L21" s="31"/>
      <c r="M21" s="31"/>
      <c r="N21" s="31"/>
      <c r="O21" s="50"/>
    </row>
    <row r="22" spans="1:30" x14ac:dyDescent="0.2">
      <c r="A22" s="31"/>
      <c r="B22" s="31"/>
      <c r="C22" s="33"/>
      <c r="D22" s="33"/>
      <c r="E22" s="33"/>
      <c r="F22" s="33"/>
      <c r="G22" s="23"/>
      <c r="H22" s="23"/>
      <c r="I22" s="23"/>
      <c r="J22" s="23"/>
      <c r="K22" s="31"/>
      <c r="L22" s="31"/>
      <c r="M22" s="31"/>
      <c r="N22" s="31"/>
      <c r="O22" s="31"/>
    </row>
    <row r="23" spans="1:30" x14ac:dyDescent="0.2">
      <c r="A23" s="28" t="s">
        <v>31</v>
      </c>
      <c r="B23" s="22"/>
      <c r="C23" s="22"/>
      <c r="D23" s="22"/>
      <c r="E23" s="22"/>
      <c r="F23" s="22"/>
      <c r="G23" s="362" t="s">
        <v>68</v>
      </c>
      <c r="H23" s="363"/>
      <c r="I23" s="363"/>
      <c r="J23" s="364"/>
      <c r="K23" s="22"/>
      <c r="L23" s="365" t="s">
        <v>69</v>
      </c>
      <c r="M23" s="365"/>
      <c r="N23" s="365"/>
      <c r="O23" s="365"/>
    </row>
    <row r="24" spans="1:30" x14ac:dyDescent="0.2">
      <c r="A24" s="18"/>
      <c r="B24" s="18"/>
      <c r="C24" s="18"/>
      <c r="D24" s="18"/>
      <c r="E24" s="18"/>
      <c r="F24" s="18"/>
      <c r="G24" s="8" t="s">
        <v>65</v>
      </c>
      <c r="H24" s="8" t="s">
        <v>66</v>
      </c>
      <c r="I24" s="8" t="s">
        <v>67</v>
      </c>
      <c r="J24" s="112" t="s">
        <v>34</v>
      </c>
      <c r="K24" s="18"/>
      <c r="L24" s="131" t="s">
        <v>65</v>
      </c>
      <c r="M24" s="131" t="s">
        <v>66</v>
      </c>
      <c r="N24" s="131" t="s">
        <v>67</v>
      </c>
      <c r="O24" s="132" t="s">
        <v>34</v>
      </c>
      <c r="P24" s="43" t="s">
        <v>57</v>
      </c>
    </row>
    <row r="25" spans="1:30" x14ac:dyDescent="0.2">
      <c r="A25" t="s">
        <v>32</v>
      </c>
      <c r="G25" s="86"/>
      <c r="H25" s="86"/>
      <c r="I25" s="86">
        <f>IF(D14&gt;2000,3600,825)</f>
        <v>825</v>
      </c>
      <c r="J25" s="86">
        <f>SUM(G25:I25)</f>
        <v>825</v>
      </c>
      <c r="L25" s="88"/>
      <c r="M25" s="88"/>
      <c r="N25" s="88">
        <f>I25</f>
        <v>825</v>
      </c>
      <c r="O25" s="209">
        <f>SUM(L25:N25)</f>
        <v>825</v>
      </c>
      <c r="P25" s="245">
        <v>44531</v>
      </c>
    </row>
    <row r="26" spans="1:30" x14ac:dyDescent="0.2">
      <c r="A26" t="s">
        <v>132</v>
      </c>
      <c r="D26" s="1">
        <f>D16</f>
        <v>1000</v>
      </c>
      <c r="E26" s="101" t="s">
        <v>41</v>
      </c>
      <c r="F26" s="102" t="s">
        <v>8</v>
      </c>
      <c r="G26" s="84"/>
      <c r="H26" s="86"/>
      <c r="I26" s="86"/>
      <c r="J26" s="84"/>
      <c r="K26" s="104" t="s">
        <v>42</v>
      </c>
      <c r="L26" s="87"/>
      <c r="M26" s="88"/>
      <c r="N26" s="87"/>
      <c r="O26" s="209"/>
      <c r="P26" s="245"/>
    </row>
    <row r="27" spans="1:30" x14ac:dyDescent="0.2">
      <c r="A27" t="s">
        <v>33</v>
      </c>
      <c r="D27" s="49">
        <f>ROUND(MAX(D14,D15,('Customer Info'!B14-100)*0.6,('Customer Info'!B16-100)*0.6),1)</f>
        <v>0</v>
      </c>
      <c r="E27" s="29" t="s">
        <v>45</v>
      </c>
      <c r="F27" s="4" t="s">
        <v>8</v>
      </c>
      <c r="G27" s="85"/>
      <c r="H27" s="85"/>
      <c r="I27" s="85">
        <v>0</v>
      </c>
      <c r="J27" s="85">
        <f>SUM(G27:I27)</f>
        <v>0</v>
      </c>
      <c r="K27" s="36" t="s">
        <v>44</v>
      </c>
      <c r="L27" s="87"/>
      <c r="M27" s="87"/>
      <c r="N27" s="87">
        <f>ROUND($D27*I27,2)</f>
        <v>0</v>
      </c>
      <c r="O27" s="209">
        <f>SUM(L27:N27)</f>
        <v>0</v>
      </c>
      <c r="P27" s="245">
        <v>44531</v>
      </c>
    </row>
    <row r="28" spans="1:30" x14ac:dyDescent="0.2">
      <c r="A28" t="s">
        <v>262</v>
      </c>
      <c r="D28" s="49">
        <f>D18</f>
        <v>0</v>
      </c>
      <c r="E28" s="29" t="s">
        <v>260</v>
      </c>
      <c r="F28" s="4" t="s">
        <v>8</v>
      </c>
      <c r="G28" s="116"/>
      <c r="H28" s="85"/>
      <c r="I28" s="85">
        <v>0.7</v>
      </c>
      <c r="J28" s="116">
        <f>SUM(G28:I28)</f>
        <v>0.7</v>
      </c>
      <c r="K28" s="36" t="s">
        <v>44</v>
      </c>
      <c r="L28" s="87"/>
      <c r="M28" s="87"/>
      <c r="N28" s="87">
        <f>ROUND($D28*I28,2)</f>
        <v>0</v>
      </c>
      <c r="O28" s="87">
        <f>SUM(L28:N28)</f>
        <v>0</v>
      </c>
      <c r="P28" s="245">
        <v>44531</v>
      </c>
    </row>
    <row r="29" spans="1:30" x14ac:dyDescent="0.2">
      <c r="A29" s="37" t="s">
        <v>50</v>
      </c>
      <c r="B29" s="37"/>
      <c r="C29" s="37"/>
      <c r="D29" s="38"/>
      <c r="E29" s="38"/>
      <c r="F29" s="37"/>
      <c r="G29" s="37"/>
      <c r="H29" s="37"/>
      <c r="I29" s="37"/>
      <c r="J29" s="37"/>
      <c r="K29" s="39"/>
      <c r="L29" s="40"/>
      <c r="M29" s="40"/>
      <c r="N29" s="40">
        <f>SUM(N25:N28)</f>
        <v>825</v>
      </c>
      <c r="O29" s="40">
        <f>SUM(O25:O28)</f>
        <v>825</v>
      </c>
    </row>
    <row r="30" spans="1:30" x14ac:dyDescent="0.2">
      <c r="A30" s="89"/>
      <c r="B30" s="89"/>
      <c r="C30" s="90"/>
      <c r="D30" s="90"/>
      <c r="E30" s="90"/>
      <c r="F30" s="90"/>
      <c r="G30" s="91"/>
      <c r="H30" s="91"/>
      <c r="I30" s="91"/>
      <c r="J30" s="91"/>
      <c r="K30" s="89"/>
      <c r="L30" s="89"/>
      <c r="M30" s="89"/>
      <c r="N30" s="89"/>
      <c r="O30" s="89"/>
      <c r="P30" s="89"/>
    </row>
    <row r="31" spans="1:30" x14ac:dyDescent="0.2">
      <c r="A31" s="41" t="s">
        <v>70</v>
      </c>
      <c r="D31" s="1"/>
      <c r="E31" s="1"/>
      <c r="K31" s="36"/>
      <c r="L31" s="36"/>
      <c r="M31" s="36"/>
      <c r="N31" s="36"/>
      <c r="O31" s="34"/>
      <c r="P31" s="34"/>
    </row>
    <row r="32" spans="1:30" x14ac:dyDescent="0.2">
      <c r="A32" s="37"/>
      <c r="D32" s="1"/>
      <c r="E32" s="1"/>
      <c r="K32" s="36"/>
      <c r="L32" s="36"/>
      <c r="M32" s="36"/>
      <c r="N32" s="36"/>
      <c r="O32" s="34"/>
    </row>
    <row r="33" spans="1:220" x14ac:dyDescent="0.2">
      <c r="A33" s="78" t="s">
        <v>79</v>
      </c>
      <c r="D33" s="1">
        <f>IF($C$16&lt;0,0,IF($C$16&gt;833000,833000,$C$16))</f>
        <v>1000</v>
      </c>
      <c r="E33" s="35" t="s">
        <v>41</v>
      </c>
      <c r="F33" s="4" t="s">
        <v>8</v>
      </c>
      <c r="G33" s="83"/>
      <c r="H33" s="84"/>
      <c r="I33" s="103">
        <f>'Rider Rates'!$B$4</f>
        <v>5.9216E-3</v>
      </c>
      <c r="J33" s="6">
        <f>SUM(G33:I33)</f>
        <v>5.9216E-3</v>
      </c>
      <c r="K33" s="36" t="s">
        <v>42</v>
      </c>
      <c r="L33" s="87"/>
      <c r="M33" s="87"/>
      <c r="N33" s="87">
        <f>ROUND($D33*I33,2)</f>
        <v>5.92</v>
      </c>
      <c r="O33" s="87">
        <f>SUM(L33:N33)</f>
        <v>5.92</v>
      </c>
      <c r="P33" s="245">
        <f>'Rider Rates'!$D$4</f>
        <v>45293</v>
      </c>
    </row>
    <row r="34" spans="1:220" x14ac:dyDescent="0.2">
      <c r="A34" s="78" t="s">
        <v>80</v>
      </c>
      <c r="D34" s="1">
        <f>IF($C$16-833000&gt;0,$C$16-D33,0)</f>
        <v>0</v>
      </c>
      <c r="E34" s="35" t="s">
        <v>41</v>
      </c>
      <c r="F34" s="4" t="s">
        <v>8</v>
      </c>
      <c r="G34" s="83"/>
      <c r="H34" s="84"/>
      <c r="I34" s="103">
        <f>'Rider Rates'!$B$5</f>
        <v>1.7560000000000001E-4</v>
      </c>
      <c r="J34" s="118">
        <f>SUM(G34:I34)</f>
        <v>1.7560000000000001E-4</v>
      </c>
      <c r="K34" s="36" t="s">
        <v>42</v>
      </c>
      <c r="L34" s="87"/>
      <c r="M34" s="87"/>
      <c r="N34" s="87">
        <f>ROUND($D34*I34,2)</f>
        <v>0</v>
      </c>
      <c r="O34" s="87">
        <f>SUM(L34:N34)</f>
        <v>0</v>
      </c>
      <c r="P34" s="245">
        <f>'Rider Rates'!$D$4</f>
        <v>45293</v>
      </c>
    </row>
    <row r="35" spans="1:220" x14ac:dyDescent="0.2">
      <c r="A35" s="78" t="s">
        <v>47</v>
      </c>
      <c r="B35" t="s">
        <v>15</v>
      </c>
      <c r="D35" s="1">
        <f>IF('Customer Info'!$C$32=TRUE,0,IF(C16&lt;0,0,IF(C16&gt;2000,2000,C16)))</f>
        <v>1000</v>
      </c>
      <c r="E35" s="35" t="s">
        <v>41</v>
      </c>
      <c r="F35" s="4" t="s">
        <v>8</v>
      </c>
      <c r="G35" s="83"/>
      <c r="H35" s="84"/>
      <c r="I35" s="177">
        <f>'Rider Rates'!$B$8</f>
        <v>4.6499999999999996E-3</v>
      </c>
      <c r="J35" s="117">
        <f>SUM(G35:I35)</f>
        <v>4.6499999999999996E-3</v>
      </c>
      <c r="K35" s="36" t="s">
        <v>42</v>
      </c>
      <c r="L35" s="87"/>
      <c r="M35" s="87"/>
      <c r="N35" s="87">
        <f>ROUND($D35*I35,2)</f>
        <v>4.6500000000000004</v>
      </c>
      <c r="O35" s="87">
        <f>SUM(L35:N35)</f>
        <v>4.6500000000000004</v>
      </c>
      <c r="P35" s="245">
        <f>'Rider Rates'!$D$7</f>
        <v>44531</v>
      </c>
    </row>
    <row r="36" spans="1:220" x14ac:dyDescent="0.2">
      <c r="A36" s="78" t="s">
        <v>48</v>
      </c>
      <c r="B36" t="s">
        <v>15</v>
      </c>
      <c r="D36" s="1">
        <f>IF('Customer Info'!$C$32=TRUE,0,IF(C16&gt;15000,13000,IF(C16&gt;2000,C16-2000,0)))</f>
        <v>0</v>
      </c>
      <c r="E36" s="35" t="s">
        <v>41</v>
      </c>
      <c r="F36" s="4" t="s">
        <v>8</v>
      </c>
      <c r="G36" s="83"/>
      <c r="H36" s="84"/>
      <c r="I36" s="177">
        <f>'Rider Rates'!$B$9</f>
        <v>4.1900000000000001E-3</v>
      </c>
      <c r="J36" s="117">
        <f>SUM(G36:I36)</f>
        <v>4.1900000000000001E-3</v>
      </c>
      <c r="K36" s="36" t="s">
        <v>42</v>
      </c>
      <c r="L36" s="87"/>
      <c r="M36" s="87"/>
      <c r="N36" s="87">
        <f>ROUND($D36*I36,2)</f>
        <v>0</v>
      </c>
      <c r="O36" s="87">
        <f>SUM(L36:N36)</f>
        <v>0</v>
      </c>
      <c r="P36" s="245">
        <f>'Rider Rates'!$D$7</f>
        <v>44531</v>
      </c>
    </row>
    <row r="37" spans="1:220" x14ac:dyDescent="0.2">
      <c r="A37" s="78" t="s">
        <v>49</v>
      </c>
      <c r="B37" t="s">
        <v>15</v>
      </c>
      <c r="D37" s="1">
        <f>IF('Customer Info'!$C$32=TRUE,0,IF(C16-D35-D36&gt;0,C16-D35-D36,0))</f>
        <v>0</v>
      </c>
      <c r="E37" s="35" t="s">
        <v>41</v>
      </c>
      <c r="F37" s="4" t="s">
        <v>8</v>
      </c>
      <c r="G37" s="83"/>
      <c r="H37" s="84"/>
      <c r="I37" s="177">
        <f>'Rider Rates'!$B$10</f>
        <v>3.63E-3</v>
      </c>
      <c r="J37" s="117">
        <f>SUM(G37:I37)</f>
        <v>3.63E-3</v>
      </c>
      <c r="K37" s="36" t="s">
        <v>42</v>
      </c>
      <c r="L37" s="87"/>
      <c r="M37" s="87"/>
      <c r="N37" s="87">
        <f>ROUND($D37*I37,2)</f>
        <v>0</v>
      </c>
      <c r="O37" s="87">
        <f>SUM(L37:N37)</f>
        <v>0</v>
      </c>
      <c r="P37" s="245">
        <f>'Rider Rates'!$D$7</f>
        <v>44531</v>
      </c>
    </row>
    <row r="38" spans="1:220" x14ac:dyDescent="0.2">
      <c r="A38" s="241" t="s">
        <v>239</v>
      </c>
      <c r="B38" s="78"/>
      <c r="C38" s="78"/>
      <c r="D38" s="208">
        <f>$N$29</f>
        <v>825</v>
      </c>
      <c r="E38" s="101" t="s">
        <v>122</v>
      </c>
      <c r="F38" s="102" t="s">
        <v>8</v>
      </c>
      <c r="G38" s="103"/>
      <c r="H38" s="103"/>
      <c r="I38" s="178">
        <f>'Rider Rates'!$B$18+'Rider Rates'!$E$18</f>
        <v>0</v>
      </c>
      <c r="J38" s="120">
        <f>SUM(H38:I38)</f>
        <v>0</v>
      </c>
      <c r="K38" s="104"/>
      <c r="L38" s="105"/>
      <c r="M38" s="105"/>
      <c r="N38" s="105">
        <f>ROUND($D$38*'Rider Rates'!$B$18,2)+ROUND($D$38*'Rider Rates'!$E$18,2)</f>
        <v>0</v>
      </c>
      <c r="O38" s="105">
        <f t="shared" ref="O38:O44" si="0">SUM(L38:N38)</f>
        <v>0</v>
      </c>
      <c r="P38" s="245">
        <f>MAX('Rider Rates'!$D$18,'Rider Rates'!$F$18)</f>
        <v>44531</v>
      </c>
    </row>
    <row r="39" spans="1:220" x14ac:dyDescent="0.2">
      <c r="A39" s="210" t="s">
        <v>187</v>
      </c>
      <c r="B39" s="78"/>
      <c r="C39" s="78"/>
      <c r="D39" s="100">
        <f>'Customer Info'!$B$21+'Customer Info'!$B$22-'Customer Info'!$B$23</f>
        <v>1000</v>
      </c>
      <c r="E39" s="101" t="s">
        <v>41</v>
      </c>
      <c r="F39" s="102" t="s">
        <v>8</v>
      </c>
      <c r="G39" s="103">
        <f>'Rider Rates'!B25</f>
        <v>0.10049</v>
      </c>
      <c r="H39" s="103"/>
      <c r="I39" s="103"/>
      <c r="J39" s="237">
        <f>SUM(G39:H39)</f>
        <v>0.10049</v>
      </c>
      <c r="K39" s="104" t="s">
        <v>42</v>
      </c>
      <c r="L39" s="324">
        <f>ROUND(D39*G39,2)</f>
        <v>100.49</v>
      </c>
      <c r="M39" s="105"/>
      <c r="N39" s="105"/>
      <c r="O39" s="105">
        <f t="shared" si="0"/>
        <v>100.49</v>
      </c>
      <c r="P39" s="245">
        <f>'Rider Rates'!$D$23</f>
        <v>45078</v>
      </c>
    </row>
    <row r="40" spans="1:220" x14ac:dyDescent="0.2">
      <c r="A40" s="241" t="s">
        <v>162</v>
      </c>
      <c r="B40" s="78"/>
      <c r="C40" s="78"/>
      <c r="D40" s="100">
        <f>'Customer Info'!$B$21+'Customer Info'!$B$22-'Customer Info'!$B$23</f>
        <v>1000</v>
      </c>
      <c r="E40" s="101" t="s">
        <v>41</v>
      </c>
      <c r="F40" s="102" t="s">
        <v>8</v>
      </c>
      <c r="G40" s="103">
        <f>'Rider Rates'!$B$38</f>
        <v>1.6800000000000001E-3</v>
      </c>
      <c r="H40" s="103"/>
      <c r="I40" s="103"/>
      <c r="J40" s="237">
        <f>SUM(G40:H40)</f>
        <v>1.6800000000000001E-3</v>
      </c>
      <c r="K40" s="104" t="s">
        <v>42</v>
      </c>
      <c r="L40" s="105">
        <f>ROUND(D40*G40,2)</f>
        <v>1.68</v>
      </c>
      <c r="M40" s="105"/>
      <c r="N40" s="105"/>
      <c r="O40" s="105">
        <f t="shared" si="0"/>
        <v>1.68</v>
      </c>
      <c r="P40" s="245">
        <f>'Rider Rates'!$D$38</f>
        <v>45078</v>
      </c>
    </row>
    <row r="41" spans="1:220" x14ac:dyDescent="0.2">
      <c r="A41" s="210" t="s">
        <v>194</v>
      </c>
      <c r="B41" s="78"/>
      <c r="C41" s="78"/>
      <c r="D41" s="100">
        <f>'Customer Info'!$B$21+'Customer Info'!$B$22-'Customer Info'!$B$23</f>
        <v>1000</v>
      </c>
      <c r="E41" s="101" t="s">
        <v>41</v>
      </c>
      <c r="F41" s="102" t="s">
        <v>8</v>
      </c>
      <c r="G41" s="103">
        <f>'Rider Rates'!$B$42</f>
        <v>-4.8640000000000001E-4</v>
      </c>
      <c r="H41" s="103"/>
      <c r="I41" s="103"/>
      <c r="J41" s="237">
        <f>SUM(G41:H41)</f>
        <v>-4.8640000000000001E-4</v>
      </c>
      <c r="K41" s="104" t="s">
        <v>42</v>
      </c>
      <c r="L41" s="105">
        <f>ROUND(D41*G41,2)</f>
        <v>-0.49</v>
      </c>
      <c r="M41" s="105"/>
      <c r="N41" s="105"/>
      <c r="O41" s="105">
        <f t="shared" si="0"/>
        <v>-0.49</v>
      </c>
      <c r="P41" s="245">
        <f>'Rider Rates'!$D$42</f>
        <v>45383</v>
      </c>
    </row>
    <row r="42" spans="1:220" x14ac:dyDescent="0.2">
      <c r="A42" s="241" t="s">
        <v>212</v>
      </c>
      <c r="B42" s="78"/>
      <c r="C42" s="78"/>
      <c r="D42" s="1">
        <f>IF($C$16&lt;0,0,IF($C$16&gt;833000,833000,$C$16))</f>
        <v>1000</v>
      </c>
      <c r="E42" s="101" t="s">
        <v>41</v>
      </c>
      <c r="F42" s="102" t="s">
        <v>8</v>
      </c>
      <c r="G42" s="103"/>
      <c r="H42" s="103"/>
      <c r="I42" s="103">
        <f>'Rider Rates'!D46</f>
        <v>1.7826999999999999E-3</v>
      </c>
      <c r="J42" s="103">
        <f>SUM(G42:I42)</f>
        <v>1.7826999999999999E-3</v>
      </c>
      <c r="K42" s="104" t="s">
        <v>42</v>
      </c>
      <c r="L42" s="105"/>
      <c r="M42" s="105"/>
      <c r="N42" s="87">
        <f>D42*J42</f>
        <v>1.7827</v>
      </c>
      <c r="O42" s="105">
        <f t="shared" si="0"/>
        <v>1.7827</v>
      </c>
      <c r="P42" s="245">
        <f>'Rider Rates'!E46</f>
        <v>45292</v>
      </c>
    </row>
    <row r="43" spans="1:220" x14ac:dyDescent="0.2">
      <c r="A43" s="210" t="s">
        <v>190</v>
      </c>
      <c r="B43" s="78"/>
      <c r="C43" s="78"/>
      <c r="D43" s="1">
        <f>IF($C$16&lt;0,0,$C$16)</f>
        <v>1000</v>
      </c>
      <c r="E43" s="113" t="s">
        <v>41</v>
      </c>
      <c r="F43" s="102" t="s">
        <v>8</v>
      </c>
      <c r="G43" s="103"/>
      <c r="H43" s="103">
        <f>'Rider Rates'!$B$56</f>
        <v>5.7019999999999998E-4</v>
      </c>
      <c r="I43" s="103"/>
      <c r="J43" s="103">
        <f>SUM(G43:I43)</f>
        <v>5.7019999999999998E-4</v>
      </c>
      <c r="K43" s="104" t="s">
        <v>42</v>
      </c>
      <c r="L43" s="105"/>
      <c r="M43" s="105">
        <f>ROUND(D43*H43,2)</f>
        <v>0.56999999999999995</v>
      </c>
      <c r="N43" s="205"/>
      <c r="O43" s="105">
        <f t="shared" si="0"/>
        <v>0.56999999999999995</v>
      </c>
      <c r="P43" s="245">
        <f>'Rider Rates'!$D$56</f>
        <v>45383</v>
      </c>
    </row>
    <row r="44" spans="1:220" x14ac:dyDescent="0.2">
      <c r="A44" s="210" t="s">
        <v>190</v>
      </c>
      <c r="B44" s="78"/>
      <c r="C44" s="78"/>
      <c r="D44" s="49">
        <f>D27</f>
        <v>0</v>
      </c>
      <c r="E44" s="35" t="s">
        <v>64</v>
      </c>
      <c r="F44" s="4" t="s">
        <v>8</v>
      </c>
      <c r="G44" s="103"/>
      <c r="H44" s="239">
        <f>'Rider Rates'!$B$61</f>
        <v>7.45</v>
      </c>
      <c r="I44" s="103"/>
      <c r="J44" s="239">
        <f>SUM(G44:I44)</f>
        <v>7.45</v>
      </c>
      <c r="K44" s="104" t="s">
        <v>44</v>
      </c>
      <c r="L44" s="105"/>
      <c r="M44" s="105">
        <f>ROUND(D44*H44,2)</f>
        <v>0</v>
      </c>
      <c r="N44" s="205"/>
      <c r="O44" s="105">
        <f t="shared" si="0"/>
        <v>0</v>
      </c>
      <c r="P44" s="245">
        <f>'Rider Rates'!$D$61</f>
        <v>45383</v>
      </c>
    </row>
    <row r="45" spans="1:220" x14ac:dyDescent="0.2">
      <c r="A45" s="99" t="s">
        <v>83</v>
      </c>
      <c r="B45" s="78"/>
      <c r="C45" s="78"/>
      <c r="D45" s="1">
        <f>IF('Customer Info'!C34=TRUE,0,IF($C$16&lt;0,0,$C$16))</f>
        <v>1000</v>
      </c>
      <c r="E45" s="101" t="s">
        <v>41</v>
      </c>
      <c r="F45" s="102" t="s">
        <v>8</v>
      </c>
      <c r="G45" s="103"/>
      <c r="H45" s="103"/>
      <c r="I45" s="103">
        <f>'Rider Rates'!$B$66+'Rider Rates'!$C$66</f>
        <v>0</v>
      </c>
      <c r="J45" s="103">
        <f>SUM(G45:I45)</f>
        <v>0</v>
      </c>
      <c r="K45" s="104" t="s">
        <v>42</v>
      </c>
      <c r="L45" s="105"/>
      <c r="M45" s="105"/>
      <c r="N45" s="87">
        <f>ROUND($D$45*'Rider Rates'!$B$66,2)+ROUND($D$45*'Rider Rates'!$C$66,2)</f>
        <v>0</v>
      </c>
      <c r="O45" s="209">
        <f t="shared" ref="O45:O52" si="1">SUM(L45:N45)</f>
        <v>0</v>
      </c>
      <c r="P45" s="245">
        <f>'Rider Rates'!$D$66</f>
        <v>44531</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0" x14ac:dyDescent="0.2">
      <c r="A46" s="99" t="s">
        <v>83</v>
      </c>
      <c r="B46" s="78"/>
      <c r="C46" s="78"/>
      <c r="D46" s="49">
        <f>IF('Customer Info'!C34=TRUE,0,$D$27)</f>
        <v>0</v>
      </c>
      <c r="E46" s="101" t="s">
        <v>45</v>
      </c>
      <c r="F46" s="102" t="s">
        <v>8</v>
      </c>
      <c r="G46" s="103"/>
      <c r="H46" s="103"/>
      <c r="I46" s="239">
        <f>'Rider Rates'!$B$76</f>
        <v>0</v>
      </c>
      <c r="J46" s="239">
        <f>SUM(G46:I46)</f>
        <v>0</v>
      </c>
      <c r="K46" s="104" t="s">
        <v>42</v>
      </c>
      <c r="L46" s="105"/>
      <c r="M46" s="105"/>
      <c r="N46" s="87">
        <f>ROUND($D46*I46,2)</f>
        <v>0</v>
      </c>
      <c r="O46" s="209">
        <f>SUM(L46:N46)</f>
        <v>0</v>
      </c>
      <c r="P46" s="245">
        <v>44531</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0" x14ac:dyDescent="0.2">
      <c r="A47" s="99" t="s">
        <v>81</v>
      </c>
      <c r="B47" s="78"/>
      <c r="C47" s="78"/>
      <c r="D47" s="208">
        <f>$N$29</f>
        <v>825</v>
      </c>
      <c r="E47" s="101" t="s">
        <v>122</v>
      </c>
      <c r="F47" s="102" t="s">
        <v>8</v>
      </c>
      <c r="G47" s="111"/>
      <c r="H47" s="112"/>
      <c r="I47" s="120">
        <f>'Rider Rates'!$B$80</f>
        <v>2.9347000000000002E-2</v>
      </c>
      <c r="J47" s="120">
        <f>SUM(H47:I47)</f>
        <v>2.9347000000000002E-2</v>
      </c>
      <c r="K47" s="104"/>
      <c r="L47" s="105"/>
      <c r="M47" s="105"/>
      <c r="N47" s="105">
        <f>ROUND(N$29*I47,2)</f>
        <v>24.21</v>
      </c>
      <c r="O47" s="209">
        <f t="shared" si="1"/>
        <v>24.21</v>
      </c>
      <c r="P47" s="245">
        <f>'Rider Rates'!$D$80</f>
        <v>45383</v>
      </c>
      <c r="Q47" s="107"/>
      <c r="R47" s="108"/>
      <c r="S47" s="109"/>
      <c r="T47" s="78"/>
      <c r="U47" s="110"/>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row>
    <row r="48" spans="1:220" x14ac:dyDescent="0.2">
      <c r="A48" s="99" t="s">
        <v>82</v>
      </c>
      <c r="B48" s="78"/>
      <c r="C48" s="78"/>
      <c r="D48" s="208">
        <f>$N$29</f>
        <v>825</v>
      </c>
      <c r="E48" s="101" t="s">
        <v>122</v>
      </c>
      <c r="F48" s="102" t="s">
        <v>8</v>
      </c>
      <c r="G48" s="114"/>
      <c r="H48" s="115"/>
      <c r="I48" s="120">
        <f>'Rider Rates'!$B$82</f>
        <v>6.6985699999999995E-2</v>
      </c>
      <c r="J48" s="120">
        <f>SUM(H48:I48)</f>
        <v>6.6985699999999995E-2</v>
      </c>
      <c r="K48" s="104"/>
      <c r="L48" s="105"/>
      <c r="M48" s="105"/>
      <c r="N48" s="105">
        <f>ROUND(N$29*I48,2)</f>
        <v>55.26</v>
      </c>
      <c r="O48" s="209">
        <f t="shared" si="1"/>
        <v>55.26</v>
      </c>
      <c r="P48" s="245">
        <f>'Rider Rates'!$D$82</f>
        <v>45167</v>
      </c>
      <c r="Q48" s="107"/>
      <c r="R48" s="108"/>
      <c r="S48" s="109"/>
      <c r="T48" s="78"/>
      <c r="U48" s="110"/>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row>
    <row r="49" spans="1:221" x14ac:dyDescent="0.2">
      <c r="A49" s="210" t="s">
        <v>208</v>
      </c>
      <c r="B49" s="78"/>
      <c r="C49" s="78"/>
      <c r="D49" s="195"/>
      <c r="E49" s="113" t="s">
        <v>115</v>
      </c>
      <c r="F49" s="106"/>
      <c r="G49" s="114"/>
      <c r="H49" s="115"/>
      <c r="I49" s="196">
        <f>'Rider Rates'!$B$86</f>
        <v>15.91</v>
      </c>
      <c r="J49" s="196">
        <f>SUM(G49:I49)</f>
        <v>15.91</v>
      </c>
      <c r="K49" s="104"/>
      <c r="L49" s="105"/>
      <c r="M49" s="105"/>
      <c r="N49" s="105">
        <f>I49</f>
        <v>15.91</v>
      </c>
      <c r="O49" s="105">
        <f>SUM(L49:N49)</f>
        <v>15.91</v>
      </c>
      <c r="P49" s="245">
        <f>'Rider Rates'!$D$86</f>
        <v>45351</v>
      </c>
    </row>
    <row r="50" spans="1:221" x14ac:dyDescent="0.2">
      <c r="A50" s="241" t="s">
        <v>253</v>
      </c>
      <c r="B50" s="78"/>
      <c r="C50" s="78"/>
      <c r="D50" s="1">
        <f>$D$33</f>
        <v>1000</v>
      </c>
      <c r="E50" s="101" t="s">
        <v>41</v>
      </c>
      <c r="F50" s="102" t="s">
        <v>8</v>
      </c>
      <c r="G50" s="103"/>
      <c r="H50" s="103"/>
      <c r="I50" s="103"/>
      <c r="J50" s="103">
        <f>'Rider Rates'!$B$91</f>
        <v>0</v>
      </c>
      <c r="K50" s="104" t="s">
        <v>42</v>
      </c>
      <c r="L50" s="105"/>
      <c r="M50" s="105"/>
      <c r="N50" s="87"/>
      <c r="O50" s="105">
        <f>ROUND($D50*('Rider Rates'!B$91),2)</f>
        <v>0</v>
      </c>
      <c r="P50" s="245">
        <f>'Rider Rates'!$D$91</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41" t="s">
        <v>254</v>
      </c>
      <c r="B51" s="78"/>
      <c r="C51" s="78"/>
      <c r="D51" s="1">
        <f>$D$34</f>
        <v>0</v>
      </c>
      <c r="E51" s="101" t="s">
        <v>41</v>
      </c>
      <c r="F51" s="102" t="s">
        <v>8</v>
      </c>
      <c r="G51" s="103"/>
      <c r="H51" s="103"/>
      <c r="I51" s="103"/>
      <c r="J51" s="103">
        <f>'Rider Rates'!$B$92</f>
        <v>0</v>
      </c>
      <c r="K51" s="104" t="s">
        <v>42</v>
      </c>
      <c r="L51" s="105"/>
      <c r="M51" s="105"/>
      <c r="N51" s="87"/>
      <c r="O51" s="105">
        <f>ROUND($D51*('Rider Rates'!B$92),2)</f>
        <v>0</v>
      </c>
      <c r="P51" s="245">
        <f>'Rider Rates'!$D$92</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99" t="s">
        <v>157</v>
      </c>
      <c r="B52" s="78"/>
      <c r="C52" s="78"/>
      <c r="D52" s="208">
        <f>$N$29</f>
        <v>825</v>
      </c>
      <c r="E52" s="101" t="s">
        <v>122</v>
      </c>
      <c r="F52" s="102" t="s">
        <v>8</v>
      </c>
      <c r="G52" s="114"/>
      <c r="H52" s="115"/>
      <c r="I52" s="120">
        <f>'Rider Rates'!$B$100</f>
        <v>0.21398439999999999</v>
      </c>
      <c r="J52" s="120">
        <f>SUM(H52:I52)</f>
        <v>0.21398439999999999</v>
      </c>
      <c r="K52" s="104"/>
      <c r="L52" s="105"/>
      <c r="M52" s="105"/>
      <c r="N52" s="105">
        <f>ROUND(N$29*I52,2)</f>
        <v>176.54</v>
      </c>
      <c r="O52" s="105">
        <f t="shared" si="1"/>
        <v>176.54</v>
      </c>
      <c r="P52" s="245">
        <f>'Rider Rates'!$D$100</f>
        <v>45351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10" t="s">
        <v>211</v>
      </c>
      <c r="B53" s="78"/>
      <c r="C53" s="78"/>
      <c r="D53" s="195"/>
      <c r="E53" s="113" t="s">
        <v>115</v>
      </c>
      <c r="F53" s="106"/>
      <c r="G53" s="114"/>
      <c r="H53" s="115"/>
      <c r="I53" s="196">
        <f>'Rider Rates'!$B$104</f>
        <v>0</v>
      </c>
      <c r="J53" s="196">
        <f>SUM(G53:I53)</f>
        <v>0</v>
      </c>
      <c r="K53" s="104"/>
      <c r="L53" s="105"/>
      <c r="M53" s="105"/>
      <c r="N53" s="105">
        <f>I53</f>
        <v>0</v>
      </c>
      <c r="O53" s="105">
        <f t="shared" ref="O53:O58" si="2">SUM(L53:N53)</f>
        <v>0</v>
      </c>
      <c r="P53" s="245">
        <f>'Rider Rates'!$D$104</f>
        <v>44894</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10" t="s">
        <v>219</v>
      </c>
      <c r="B54" s="78"/>
      <c r="C54" s="78"/>
      <c r="D54" s="195"/>
      <c r="E54" s="113" t="s">
        <v>115</v>
      </c>
      <c r="F54" s="106"/>
      <c r="G54" s="114"/>
      <c r="H54" s="115"/>
      <c r="I54" s="258">
        <f>'Rider Rates'!B117</f>
        <v>5.83</v>
      </c>
      <c r="J54" s="196">
        <f>SUM(G54:I54)</f>
        <v>5.83</v>
      </c>
      <c r="K54" s="104"/>
      <c r="L54" s="105"/>
      <c r="M54" s="105"/>
      <c r="N54" s="260">
        <f>I54</f>
        <v>5.83</v>
      </c>
      <c r="O54" s="105">
        <f t="shared" si="2"/>
        <v>5.83</v>
      </c>
      <c r="P54" s="245">
        <f>'Rider Rates'!D117</f>
        <v>45226</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99" t="s">
        <v>158</v>
      </c>
      <c r="B55" s="78"/>
      <c r="C55" s="78"/>
      <c r="D55" s="100">
        <f>IF('Customer Info'!$C$32=TRUE,0,'Customer Info'!$B$21+'Customer Info'!$B$22-'Customer Info'!$B$23)</f>
        <v>1000</v>
      </c>
      <c r="E55" s="101" t="s">
        <v>41</v>
      </c>
      <c r="F55" s="102" t="s">
        <v>8</v>
      </c>
      <c r="G55" s="103">
        <f>'Rider Rates'!$B$109</f>
        <v>3.6865999999999999E-3</v>
      </c>
      <c r="H55" s="103"/>
      <c r="I55" s="120"/>
      <c r="J55" s="237">
        <f>SUM(G55:H55)</f>
        <v>3.6865999999999999E-3</v>
      </c>
      <c r="K55" s="104" t="s">
        <v>42</v>
      </c>
      <c r="L55" s="105">
        <f>ROUND(D55*G55,2)</f>
        <v>3.69</v>
      </c>
      <c r="M55" s="105"/>
      <c r="N55" s="105"/>
      <c r="O55" s="105">
        <f t="shared" si="2"/>
        <v>3.69</v>
      </c>
      <c r="P55" s="245">
        <f>'Rider Rates'!$D$109</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10" t="s">
        <v>210</v>
      </c>
      <c r="B56" s="78"/>
      <c r="C56" s="78"/>
      <c r="D56" s="1">
        <f>IF($C$16&lt;1,0,$C$16)</f>
        <v>1000</v>
      </c>
      <c r="E56" s="101" t="s">
        <v>41</v>
      </c>
      <c r="F56" s="249" t="s">
        <v>8</v>
      </c>
      <c r="G56" s="165"/>
      <c r="H56" s="165"/>
      <c r="I56" s="251">
        <f>'Rider Rates'!B113</f>
        <v>-6.2E-4</v>
      </c>
      <c r="J56" s="251">
        <f>SUM(G56:I56)</f>
        <v>-6.2E-4</v>
      </c>
      <c r="K56" s="104" t="s">
        <v>42</v>
      </c>
      <c r="L56" s="105"/>
      <c r="M56" s="105"/>
      <c r="N56" s="105">
        <f>D56*I56</f>
        <v>-0.62</v>
      </c>
      <c r="O56" s="105">
        <f t="shared" si="2"/>
        <v>-0.62</v>
      </c>
      <c r="P56" s="245">
        <f>'Rider Rates'!D113</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78" t="s">
        <v>235</v>
      </c>
      <c r="B57" s="78"/>
      <c r="C57" s="78"/>
      <c r="D57" s="100">
        <f>IF(C16&lt;0,0,IF(C16&gt;833000,833000,C16))</f>
        <v>1000</v>
      </c>
      <c r="E57" s="101" t="s">
        <v>41</v>
      </c>
      <c r="F57" s="102" t="s">
        <v>8</v>
      </c>
      <c r="G57" s="265"/>
      <c r="H57" s="265"/>
      <c r="I57" s="265">
        <f>'Rider Rates'!$B$121</f>
        <v>2.9050000000000001E-4</v>
      </c>
      <c r="J57" s="265">
        <f>SUM(G57:I57)</f>
        <v>2.9050000000000001E-4</v>
      </c>
      <c r="K57" s="104" t="s">
        <v>42</v>
      </c>
      <c r="L57" s="266"/>
      <c r="M57" s="266"/>
      <c r="N57" s="266">
        <f>IF(D57*J57&gt;'Rider Rates'!$C$121,'Rider Rates'!$C$121,D57*J57)</f>
        <v>0.29050000000000004</v>
      </c>
      <c r="O57" s="266">
        <f t="shared" si="2"/>
        <v>0.29050000000000004</v>
      </c>
      <c r="P57" s="264">
        <f>'Rider Rates'!$E$121</f>
        <v>45292</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78" t="s">
        <v>236</v>
      </c>
      <c r="B58" s="78"/>
      <c r="C58" s="78"/>
      <c r="D58" s="123">
        <f>IF(C16&gt;833000,C16-833000,0)</f>
        <v>0</v>
      </c>
      <c r="E58" s="101" t="s">
        <v>41</v>
      </c>
      <c r="F58" s="102" t="s">
        <v>8</v>
      </c>
      <c r="G58" s="265"/>
      <c r="H58" s="265"/>
      <c r="I58" s="265">
        <f>'Rider Rates'!$B$122</f>
        <v>0</v>
      </c>
      <c r="J58" s="265">
        <f>SUM(G58:I58)</f>
        <v>0</v>
      </c>
      <c r="K58" s="104" t="s">
        <v>42</v>
      </c>
      <c r="L58" s="266"/>
      <c r="M58" s="266"/>
      <c r="N58" s="266">
        <f>D58*J58</f>
        <v>0</v>
      </c>
      <c r="O58" s="266">
        <f t="shared" si="2"/>
        <v>0</v>
      </c>
      <c r="P58" s="264">
        <f>'Rider Rates'!$E$122</f>
        <v>44927</v>
      </c>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241" t="s">
        <v>244</v>
      </c>
      <c r="B59" s="78"/>
      <c r="C59" s="78"/>
      <c r="D59" s="100">
        <f>D16</f>
        <v>1000</v>
      </c>
      <c r="E59" s="101" t="s">
        <v>41</v>
      </c>
      <c r="F59" s="249" t="s">
        <v>8</v>
      </c>
      <c r="G59" s="103"/>
      <c r="H59" s="103"/>
      <c r="I59" s="103">
        <f>'Rider Rates'!$B$128</f>
        <v>0</v>
      </c>
      <c r="J59" s="237">
        <f>SUM(G59:I59)</f>
        <v>0</v>
      </c>
      <c r="K59" s="104" t="s">
        <v>42</v>
      </c>
      <c r="L59" s="105"/>
      <c r="M59" s="105"/>
      <c r="N59" s="105">
        <f>D59*J59</f>
        <v>0</v>
      </c>
      <c r="O59" s="105">
        <f>SUM(L59:N59)</f>
        <v>0</v>
      </c>
      <c r="P59" s="245">
        <f>'Rider Rates'!$D$126</f>
        <v>44531</v>
      </c>
      <c r="Q59" s="106"/>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241" t="s">
        <v>243</v>
      </c>
      <c r="B60" s="78"/>
      <c r="C60" s="78"/>
      <c r="D60" s="100"/>
      <c r="E60" s="101" t="s">
        <v>115</v>
      </c>
      <c r="F60" s="102" t="s">
        <v>8</v>
      </c>
      <c r="G60" s="263"/>
      <c r="H60" s="263"/>
      <c r="I60" s="263">
        <f>'Rider Rates'!$B$133</f>
        <v>0</v>
      </c>
      <c r="J60" s="263">
        <f>SUM(G60:I60)</f>
        <v>0</v>
      </c>
      <c r="K60" s="104"/>
      <c r="L60" s="209"/>
      <c r="M60" s="209"/>
      <c r="N60" s="209">
        <f>J60</f>
        <v>0</v>
      </c>
      <c r="O60" s="209">
        <f>SUM(L60:N60)</f>
        <v>0</v>
      </c>
      <c r="P60" s="264">
        <f>'Rider Rates'!$D$133</f>
        <v>44531</v>
      </c>
      <c r="Q60" s="106"/>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241" t="s">
        <v>245</v>
      </c>
      <c r="B61" s="78"/>
      <c r="C61" s="78"/>
      <c r="D61" s="100"/>
      <c r="E61" s="101"/>
      <c r="F61" s="102"/>
      <c r="G61" s="263"/>
      <c r="H61" s="263"/>
      <c r="I61" s="263"/>
      <c r="J61" s="263"/>
      <c r="K61" s="104"/>
      <c r="L61" s="209"/>
      <c r="M61" s="209"/>
      <c r="N61" s="209"/>
      <c r="O61" s="209"/>
      <c r="P61" s="264"/>
      <c r="Q61" s="106"/>
      <c r="R61" s="107"/>
      <c r="S61" s="108"/>
      <c r="T61" s="109"/>
      <c r="U61" s="78"/>
      <c r="V61" s="110"/>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179" t="s">
        <v>71</v>
      </c>
      <c r="B62" s="148"/>
      <c r="C62" s="148"/>
      <c r="D62" s="180"/>
      <c r="E62" s="181"/>
      <c r="F62" s="182"/>
      <c r="G62" s="182"/>
      <c r="H62" s="182"/>
      <c r="I62" s="182"/>
      <c r="J62" s="182"/>
      <c r="K62" s="183"/>
      <c r="L62" s="169">
        <f>SUM(L33:L61)</f>
        <v>105.37</v>
      </c>
      <c r="M62" s="169">
        <f t="shared" ref="M62:O62" si="3">SUM(M33:M61)</f>
        <v>0.56999999999999995</v>
      </c>
      <c r="N62" s="169">
        <f t="shared" si="3"/>
        <v>289.77319999999997</v>
      </c>
      <c r="O62" s="169">
        <f t="shared" si="3"/>
        <v>395.71319999999997</v>
      </c>
      <c r="P62" s="184"/>
    </row>
    <row r="63" spans="1:221" x14ac:dyDescent="0.2">
      <c r="A63" s="37"/>
      <c r="D63" s="1"/>
      <c r="E63" s="35"/>
      <c r="F63" s="4"/>
      <c r="G63" s="42"/>
      <c r="H63" s="42"/>
      <c r="I63" s="42"/>
      <c r="J63" s="42"/>
      <c r="K63" s="36"/>
      <c r="L63" s="36"/>
      <c r="M63" s="36"/>
      <c r="N63" s="36"/>
      <c r="O63" s="34"/>
      <c r="P63" s="36"/>
    </row>
    <row r="64" spans="1:221" x14ac:dyDescent="0.2">
      <c r="A64" s="81" t="s">
        <v>72</v>
      </c>
      <c r="B64" s="92"/>
      <c r="C64" s="92"/>
      <c r="D64" s="92"/>
      <c r="E64" s="92"/>
      <c r="F64" s="92"/>
      <c r="G64" s="92"/>
      <c r="H64" s="92"/>
      <c r="I64" s="92"/>
      <c r="J64" s="92"/>
      <c r="K64" s="92"/>
      <c r="L64" s="98">
        <f>L29+L62</f>
        <v>105.37</v>
      </c>
      <c r="M64" s="98">
        <f>M29+M62</f>
        <v>0.56999999999999995</v>
      </c>
      <c r="N64" s="98">
        <f>N29+N62</f>
        <v>1114.7732000000001</v>
      </c>
      <c r="O64" s="98">
        <f>O29+O62</f>
        <v>1220.7131999999999</v>
      </c>
      <c r="P64" s="98"/>
    </row>
    <row r="65" spans="1:16" x14ac:dyDescent="0.2">
      <c r="A65" s="37"/>
      <c r="B65" s="37"/>
      <c r="C65" s="37"/>
      <c r="D65" s="37"/>
      <c r="E65" s="37"/>
      <c r="F65" s="37"/>
      <c r="G65" s="37"/>
      <c r="H65" s="37"/>
      <c r="I65" s="37"/>
      <c r="J65" s="37"/>
      <c r="K65" s="37"/>
      <c r="L65" s="37"/>
      <c r="M65" s="37"/>
      <c r="N65" s="37"/>
      <c r="O65" s="40"/>
      <c r="P65" s="40"/>
    </row>
    <row r="66" spans="1:16" x14ac:dyDescent="0.2">
      <c r="A66" s="37" t="s">
        <v>37</v>
      </c>
      <c r="B66" s="37"/>
      <c r="C66" s="37"/>
      <c r="D66" s="37"/>
      <c r="E66" s="37"/>
      <c r="F66" s="37"/>
      <c r="G66" s="37"/>
      <c r="H66" s="37"/>
      <c r="I66" s="37"/>
      <c r="J66" s="37"/>
      <c r="K66" s="37"/>
      <c r="L66" s="37"/>
      <c r="M66" s="37"/>
      <c r="N66" s="37"/>
      <c r="O66" s="45">
        <f>O25+O27+O62</f>
        <v>1220.7131999999999</v>
      </c>
      <c r="P66" s="245">
        <v>40967</v>
      </c>
    </row>
    <row r="67" spans="1:16" x14ac:dyDescent="0.2">
      <c r="A67" s="37"/>
      <c r="B67" s="37"/>
      <c r="C67" s="37"/>
      <c r="D67" s="37"/>
      <c r="E67" s="37"/>
      <c r="F67" s="37"/>
      <c r="G67" s="46"/>
      <c r="H67" s="46"/>
      <c r="I67" s="46"/>
      <c r="J67" s="46"/>
      <c r="K67" s="36"/>
      <c r="L67" s="36"/>
      <c r="M67" s="36"/>
      <c r="N67" s="36"/>
      <c r="O67" s="40"/>
    </row>
    <row r="68" spans="1:16" x14ac:dyDescent="0.2">
      <c r="A68" s="41" t="s">
        <v>117</v>
      </c>
      <c r="B68" s="37"/>
      <c r="C68" s="37"/>
      <c r="D68" s="37"/>
      <c r="E68" s="37"/>
      <c r="F68" s="37"/>
      <c r="G68" s="46"/>
      <c r="H68" s="46"/>
      <c r="I68" s="46"/>
      <c r="J68" s="46"/>
      <c r="K68" s="36"/>
      <c r="L68" s="36"/>
      <c r="M68" s="36"/>
      <c r="N68" s="36"/>
      <c r="O68" s="138">
        <f>MAX($O$64,$O$66)</f>
        <v>1220.7131999999999</v>
      </c>
    </row>
    <row r="69" spans="1:16" x14ac:dyDescent="0.2">
      <c r="A69" s="37"/>
      <c r="B69" s="37"/>
      <c r="C69" s="37"/>
      <c r="D69" s="37"/>
      <c r="E69" s="37"/>
      <c r="F69" s="37"/>
      <c r="G69" s="46"/>
      <c r="H69" s="46"/>
      <c r="I69" s="46"/>
      <c r="J69" s="46"/>
      <c r="K69" s="36"/>
      <c r="L69" s="36"/>
      <c r="M69" s="36"/>
      <c r="N69" s="36"/>
      <c r="O69" s="40"/>
    </row>
    <row r="70" spans="1:16" x14ac:dyDescent="0.2">
      <c r="A70" s="37"/>
      <c r="B70" s="37"/>
      <c r="C70" s="37"/>
      <c r="D70" s="37"/>
      <c r="E70" s="37"/>
      <c r="F70" s="37"/>
      <c r="G70" s="96" t="s">
        <v>86</v>
      </c>
      <c r="H70" s="46"/>
      <c r="I70" s="37"/>
      <c r="J70" s="46"/>
      <c r="K70" s="36"/>
      <c r="L70" s="191"/>
      <c r="M70" s="191"/>
      <c r="N70" s="191"/>
      <c r="O70" s="191">
        <f>ROUND(IF($C$16&lt;1,0,$O$68/($C$16*100)*10000),2)</f>
        <v>122.07</v>
      </c>
      <c r="P70" s="37" t="s">
        <v>87</v>
      </c>
    </row>
    <row r="71" spans="1:16" x14ac:dyDescent="0.2">
      <c r="A71" s="37"/>
      <c r="B71" s="37"/>
      <c r="C71" s="37"/>
      <c r="D71" s="37"/>
      <c r="E71" s="37"/>
      <c r="F71" s="37"/>
      <c r="G71" s="242" t="s">
        <v>191</v>
      </c>
      <c r="H71" s="136"/>
      <c r="I71" s="133"/>
      <c r="J71" s="136"/>
      <c r="K71" s="137"/>
      <c r="L71" s="78"/>
      <c r="M71" s="78"/>
      <c r="N71" s="78"/>
      <c r="O71" s="243">
        <f>ROUND(IF($C$16&lt;1,0,(L64)/($C$16*100)*10000),2)</f>
        <v>10.54</v>
      </c>
      <c r="P71" s="25" t="s">
        <v>87</v>
      </c>
    </row>
    <row r="72" spans="1:16" x14ac:dyDescent="0.2">
      <c r="A72" s="37"/>
      <c r="B72" s="37"/>
      <c r="C72" s="37"/>
      <c r="D72" s="37"/>
      <c r="E72" s="37"/>
      <c r="F72" s="37"/>
      <c r="G72" s="96"/>
      <c r="H72" s="46"/>
      <c r="I72" s="96"/>
      <c r="J72" s="46"/>
      <c r="K72" s="36"/>
      <c r="L72" s="36"/>
      <c r="M72" s="36"/>
      <c r="N72" s="36"/>
      <c r="O72" s="130"/>
      <c r="P72" s="37"/>
    </row>
    <row r="73" spans="1:16" ht="20.25" customHeight="1" x14ac:dyDescent="0.3">
      <c r="A73" s="3"/>
      <c r="B73" s="37"/>
      <c r="C73" s="37"/>
      <c r="D73" s="228" t="str">
        <f>IF('Customer Info'!$C$32=TRUE,"Notice: Billing Charge does not include Self Assessed KWH Tax"," ")</f>
        <v xml:space="preserve"> </v>
      </c>
      <c r="E73" s="3"/>
      <c r="F73" s="4"/>
      <c r="G73" s="121"/>
      <c r="H73" s="55"/>
      <c r="I73" s="34"/>
      <c r="J73" s="55"/>
      <c r="K73" s="37"/>
      <c r="L73" s="37"/>
      <c r="M73" s="37"/>
      <c r="N73" s="34"/>
    </row>
    <row r="74" spans="1:16" x14ac:dyDescent="0.2">
      <c r="A74" s="37"/>
      <c r="B74" s="37"/>
      <c r="C74" s="37"/>
      <c r="D74" s="54"/>
      <c r="E74" s="3"/>
      <c r="F74" s="4"/>
      <c r="G74" s="55"/>
      <c r="H74" s="55"/>
      <c r="I74" s="93"/>
      <c r="J74" s="55"/>
      <c r="K74" s="37"/>
      <c r="L74" s="37"/>
      <c r="M74" s="37"/>
      <c r="N74" s="37"/>
      <c r="O74" s="40"/>
    </row>
    <row r="75" spans="1:16" x14ac:dyDescent="0.2">
      <c r="A75" s="37"/>
      <c r="B75" s="37"/>
      <c r="C75" s="37"/>
      <c r="D75" s="54"/>
      <c r="E75" s="3"/>
      <c r="F75" s="4"/>
      <c r="G75" s="55"/>
      <c r="H75" s="55"/>
      <c r="I75" s="55"/>
      <c r="J75" s="55"/>
      <c r="K75" s="37"/>
      <c r="L75" s="37"/>
      <c r="M75" s="37"/>
      <c r="N75" s="37"/>
      <c r="O75" s="40"/>
    </row>
    <row r="76" spans="1:16" x14ac:dyDescent="0.2">
      <c r="A76" s="41"/>
      <c r="B76" s="37"/>
      <c r="C76" s="37"/>
      <c r="D76" s="37"/>
      <c r="E76" s="37"/>
      <c r="F76" s="37"/>
      <c r="G76" s="37"/>
      <c r="H76" s="37"/>
      <c r="J76" s="37"/>
      <c r="K76" s="37"/>
      <c r="L76" s="40"/>
      <c r="M76" s="40"/>
      <c r="N76" s="40"/>
      <c r="O76" s="138"/>
    </row>
    <row r="77" spans="1:16" x14ac:dyDescent="0.2">
      <c r="B77" s="37"/>
      <c r="C77" s="37"/>
      <c r="D77" s="37"/>
      <c r="E77" s="37"/>
      <c r="F77" s="37"/>
      <c r="G77" s="96"/>
      <c r="H77" s="37"/>
      <c r="I77" s="37"/>
      <c r="J77" s="37"/>
      <c r="K77" s="37"/>
      <c r="L77" s="60"/>
      <c r="M77" s="60"/>
      <c r="N77" s="60"/>
      <c r="O77" s="130"/>
      <c r="P77" s="37"/>
    </row>
    <row r="78" spans="1:16" x14ac:dyDescent="0.2">
      <c r="G78" s="133"/>
      <c r="H78" s="56"/>
      <c r="I78" s="133"/>
      <c r="J78" s="56"/>
      <c r="K78" s="56"/>
      <c r="L78" s="134"/>
      <c r="M78" s="134"/>
      <c r="N78" s="134"/>
      <c r="O78" s="135"/>
      <c r="P78" s="25"/>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row r="94" spans="1:1" x14ac:dyDescent="0.2">
      <c r="A94" s="350"/>
    </row>
  </sheetData>
  <sheetProtection algorithmName="SHA-512" hashValue="VUr/pYEfm62j6jBPvqP8YCu7sBFu8QIxfJQCy6TRD3Nr74Jr7AlbDQhKCZpX2NIeFU3wsEu6xWLmnom7QrJq4A==" saltValue="B2V9l5T8UK7TRA0gtGj9rQ=="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80:A94"/>
    <mergeCell ref="A4:P4"/>
    <mergeCell ref="A7:P7"/>
    <mergeCell ref="A11:I11"/>
    <mergeCell ref="D20:H20"/>
    <mergeCell ref="D21:H21"/>
    <mergeCell ref="G23:J23"/>
    <mergeCell ref="L23:O23"/>
  </mergeCells>
  <printOptions horizontalCentered="1"/>
  <pageMargins left="0.5" right="0.5" top="0.25" bottom="0.25" header="0.25" footer="0.26"/>
  <pageSetup scale="56" orientation="landscape" r:id="rId1"/>
  <headerFooter alignWithMargins="0"/>
  <rowBreaks count="1" manualBreakCount="1">
    <brk id="7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77826" r:id="rId5" name="Button 2">
              <controlPr defaultSize="0" print="0" autoFill="0" autoPict="0" macro="[0]!Info">
                <anchor moveWithCells="1">
                  <from>
                    <xdr:col>15</xdr:col>
                    <xdr:colOff>409575</xdr:colOff>
                    <xdr:row>88</xdr:row>
                    <xdr:rowOff>76200</xdr:rowOff>
                  </from>
                  <to>
                    <xdr:col>16</xdr:col>
                    <xdr:colOff>38100</xdr:colOff>
                    <xdr:row>89</xdr:row>
                    <xdr:rowOff>133350</xdr:rowOff>
                  </to>
                </anchor>
              </controlPr>
            </control>
          </mc:Choice>
        </mc:AlternateContent>
        <mc:AlternateContent xmlns:mc="http://schemas.openxmlformats.org/markup-compatibility/2006">
          <mc:Choice Requires="x14">
            <control shapeId="77827"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7828"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7829"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7830"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7831"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7832"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7833"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7834"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77835"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7836"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7837"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7838"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77839"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7840"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7841"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7842"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77843"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7844"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7845"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7846"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77847"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7848"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7849"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7850"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77851"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7852"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7853"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7854"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77855"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7856"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7857"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7858"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77859"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7860"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7861"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7862"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77863"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7864"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7865"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7866"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77867"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7868"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7869"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7870"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77871"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7872"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7873"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7874"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77875"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7876"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7877"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7878"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77879"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7880"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7881"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77882"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dimension ref="A1:IB88"/>
  <sheetViews>
    <sheetView showGridLines="0" zoomScale="80" zoomScaleNormal="80" workbookViewId="0">
      <selection activeCell="H40" sqref="H40"/>
    </sheetView>
  </sheetViews>
  <sheetFormatPr defaultRowHeight="12.75" x14ac:dyDescent="0.2"/>
  <cols>
    <col min="1" max="1" width="39" customWidth="1"/>
    <col min="2" max="2" width="2.5703125" customWidth="1"/>
    <col min="3" max="3" width="13.5703125" customWidth="1"/>
    <col min="4" max="4" width="15.28515625" customWidth="1"/>
    <col min="5" max="5" width="9.7109375" customWidth="1"/>
    <col min="6" max="6" width="2.7109375" customWidth="1"/>
    <col min="7" max="8" width="13.28515625" customWidth="1"/>
    <col min="9" max="9" width="14.5703125" customWidth="1"/>
    <col min="10" max="10" width="13.28515625" customWidth="1"/>
    <col min="11" max="11" width="6.5703125" customWidth="1"/>
    <col min="12" max="12" width="15.140625" customWidth="1"/>
    <col min="13" max="13" width="17.28515625" bestFit="1" customWidth="1"/>
    <col min="14" max="14" width="17.42578125" customWidth="1"/>
    <col min="15" max="15" width="17.28515625" bestFit="1" customWidth="1"/>
    <col min="16" max="16" width="13" customWidth="1"/>
    <col min="17" max="17" width="12.85546875" bestFit="1" customWidth="1"/>
    <col min="18" max="18" width="10.5703125" hidden="1" customWidth="1"/>
    <col min="19" max="19" width="10.28515625" hidden="1" customWidth="1"/>
    <col min="20" max="23" width="10.85546875" hidden="1" customWidth="1"/>
    <col min="24" max="26" width="10.28515625" hidden="1" customWidth="1"/>
    <col min="27" max="27" width="10.5703125" hidden="1" customWidth="1"/>
    <col min="28" max="28" width="10.85546875" hidden="1" customWidth="1"/>
    <col min="29" max="30" width="10" hidden="1" customWidth="1"/>
    <col min="31" max="31" width="9.140625" customWidth="1"/>
    <col min="32" max="32" width="10.28515625" customWidth="1"/>
    <col min="33" max="33" width="10.85546875" customWidth="1"/>
    <col min="34" max="34" width="10.28515625" customWidth="1"/>
  </cols>
  <sheetData>
    <row r="1" spans="1:59" ht="20.25" x14ac:dyDescent="0.3">
      <c r="A1" s="352" t="s">
        <v>120</v>
      </c>
      <c r="B1" s="352"/>
      <c r="C1" s="352"/>
      <c r="D1" s="352"/>
      <c r="E1" s="352"/>
      <c r="F1" s="352"/>
      <c r="G1" s="352"/>
      <c r="H1" s="352"/>
      <c r="I1" s="352"/>
      <c r="J1" s="352"/>
      <c r="K1" s="352"/>
      <c r="L1" s="352"/>
      <c r="M1" s="352"/>
      <c r="N1" s="352"/>
      <c r="O1" s="352"/>
      <c r="P1" s="352"/>
      <c r="Q1" s="197"/>
    </row>
    <row r="2" spans="1:59" ht="18" customHeight="1" x14ac:dyDescent="0.2">
      <c r="A2" s="361" t="s">
        <v>268</v>
      </c>
      <c r="B2" s="361"/>
      <c r="C2" s="361"/>
      <c r="D2" s="361"/>
      <c r="E2" s="361"/>
      <c r="F2" s="361"/>
      <c r="G2" s="361"/>
      <c r="H2" s="361"/>
      <c r="I2" s="361"/>
      <c r="J2" s="361"/>
      <c r="K2" s="361"/>
      <c r="L2" s="361"/>
      <c r="M2" s="361"/>
      <c r="N2" s="361"/>
      <c r="O2" s="361"/>
      <c r="P2" s="361"/>
    </row>
    <row r="3" spans="1:59" ht="18" x14ac:dyDescent="0.25">
      <c r="A3" s="361"/>
      <c r="B3" s="361"/>
      <c r="C3" s="361"/>
      <c r="D3" s="361"/>
      <c r="E3" s="361"/>
      <c r="F3" s="361"/>
      <c r="G3" s="361"/>
      <c r="H3" s="361"/>
      <c r="I3" s="361"/>
      <c r="J3" s="361"/>
      <c r="K3" s="361"/>
      <c r="L3" s="361"/>
      <c r="M3" s="361"/>
      <c r="N3" s="361"/>
      <c r="O3" s="361"/>
      <c r="P3" s="361"/>
      <c r="Q3" s="198"/>
    </row>
    <row r="4" spans="1:59"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c r="Q4" s="199"/>
    </row>
    <row r="5" spans="1:59" ht="15" x14ac:dyDescent="0.2">
      <c r="A5" s="75"/>
      <c r="B5" s="75"/>
      <c r="C5" s="75"/>
      <c r="D5" s="75"/>
      <c r="E5" s="75"/>
      <c r="F5" s="75"/>
      <c r="G5" s="75"/>
      <c r="H5" s="75"/>
      <c r="I5" s="75"/>
      <c r="J5" s="75"/>
      <c r="K5" s="75"/>
      <c r="L5" s="75"/>
      <c r="M5" s="75"/>
      <c r="N5" s="75"/>
      <c r="O5" s="75"/>
      <c r="P5" s="75"/>
      <c r="Q5" s="75"/>
    </row>
    <row r="6" spans="1:59" x14ac:dyDescent="0.2">
      <c r="A6" s="76">
        <f ca="1">TODAY()</f>
        <v>45371</v>
      </c>
      <c r="B6" s="360" t="s">
        <v>267</v>
      </c>
      <c r="C6" s="360"/>
      <c r="D6" s="360"/>
      <c r="E6" s="360"/>
      <c r="F6" s="360"/>
      <c r="G6" s="360"/>
      <c r="H6" s="360"/>
      <c r="I6" s="360"/>
      <c r="J6" s="360"/>
      <c r="K6" s="360"/>
      <c r="L6" s="360"/>
      <c r="M6" s="360"/>
      <c r="N6" s="360"/>
      <c r="O6" s="360"/>
    </row>
    <row r="7" spans="1:59" x14ac:dyDescent="0.2">
      <c r="A7" s="351" t="s">
        <v>15</v>
      </c>
      <c r="B7" s="351"/>
      <c r="C7" s="351"/>
      <c r="D7" s="351"/>
      <c r="E7" s="351"/>
      <c r="F7" s="351"/>
      <c r="G7" s="351"/>
      <c r="H7" s="351"/>
      <c r="I7" s="351"/>
      <c r="J7" s="351"/>
      <c r="K7" s="351"/>
    </row>
    <row r="8" spans="1:59" x14ac:dyDescent="0.2">
      <c r="C8" s="18"/>
      <c r="D8" s="18"/>
      <c r="E8" s="18"/>
      <c r="F8" s="18"/>
      <c r="G8" s="18"/>
      <c r="H8" s="18"/>
      <c r="I8" s="18"/>
      <c r="J8" s="18"/>
      <c r="K8" s="18"/>
    </row>
    <row r="9" spans="1:59" ht="15" x14ac:dyDescent="0.2">
      <c r="A9" s="23" t="s">
        <v>2</v>
      </c>
      <c r="B9" s="24"/>
      <c r="C9" s="25">
        <f>'Customer Info'!B7</f>
        <v>0</v>
      </c>
      <c r="I9" s="26"/>
    </row>
    <row r="10" spans="1:59" ht="15" x14ac:dyDescent="0.2">
      <c r="A10" s="27" t="s">
        <v>26</v>
      </c>
      <c r="B10" s="24"/>
      <c r="C10" s="25">
        <f>'Customer Info'!B8</f>
        <v>0</v>
      </c>
    </row>
    <row r="11" spans="1:59" x14ac:dyDescent="0.2">
      <c r="A11" s="23" t="s">
        <v>100</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x14ac:dyDescent="0.2">
      <c r="A12" s="142"/>
      <c r="B12" s="143"/>
      <c r="C12" s="144"/>
      <c r="D12" s="144"/>
      <c r="E12" s="144"/>
      <c r="F12" s="144"/>
      <c r="G12" s="144"/>
      <c r="H12" s="144"/>
      <c r="I12" s="144"/>
      <c r="J12" s="144"/>
      <c r="K12" s="144"/>
      <c r="L12" s="144"/>
      <c r="M12" s="144"/>
      <c r="N12" s="144"/>
      <c r="O12" s="144"/>
      <c r="P12" s="14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59" ht="15" x14ac:dyDescent="0.2">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
      <c r="A14" s="78"/>
      <c r="B14" s="78"/>
      <c r="C14" s="78"/>
      <c r="D14" s="78"/>
      <c r="E14" s="78"/>
      <c r="F14" s="78"/>
      <c r="G14" s="139" t="s">
        <v>15</v>
      </c>
      <c r="H14" s="139"/>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
      <c r="A17" s="153" t="s">
        <v>52</v>
      </c>
      <c r="B17" s="78"/>
      <c r="D17" s="154">
        <f>IF('Customer Info'!B21+'Customer Info'!B22-'Customer Info'!B23&lt;0,0,'Customer Info'!B21+'Customer Info'!B22-'Customer Info'!B23)</f>
        <v>1000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
      <c r="A18" s="153"/>
      <c r="B18" s="78"/>
      <c r="C18" s="154"/>
      <c r="D18" s="153"/>
      <c r="E18" s="78"/>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x14ac:dyDescent="0.2">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31</v>
      </c>
      <c r="B23" s="78"/>
      <c r="C23" s="78"/>
      <c r="D23" s="78"/>
      <c r="E23" s="78"/>
      <c r="F23" s="78"/>
      <c r="G23" s="357" t="s">
        <v>68</v>
      </c>
      <c r="H23" s="358"/>
      <c r="I23" s="358"/>
      <c r="J23" s="359"/>
      <c r="K23" s="159"/>
      <c r="L23" s="354" t="s">
        <v>69</v>
      </c>
      <c r="M23" s="355"/>
      <c r="N23" s="355"/>
      <c r="O23" s="356"/>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x14ac:dyDescent="0.2">
      <c r="A24" s="78"/>
      <c r="B24" s="78"/>
      <c r="C24" s="78"/>
      <c r="D24" s="78"/>
      <c r="E24" s="78"/>
      <c r="F24" s="78"/>
      <c r="G24" s="115" t="s">
        <v>65</v>
      </c>
      <c r="H24" s="115" t="s">
        <v>66</v>
      </c>
      <c r="I24" s="115" t="s">
        <v>67</v>
      </c>
      <c r="J24" s="115" t="s">
        <v>34</v>
      </c>
      <c r="K24" s="78"/>
      <c r="L24" s="146" t="s">
        <v>65</v>
      </c>
      <c r="M24" s="146" t="s">
        <v>66</v>
      </c>
      <c r="N24" s="146" t="s">
        <v>67</v>
      </c>
      <c r="O24" s="146" t="s">
        <v>34</v>
      </c>
      <c r="P24" s="161" t="s">
        <v>57</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
      <c r="A26" s="78" t="s">
        <v>178</v>
      </c>
      <c r="B26" s="78"/>
      <c r="C26" s="78"/>
      <c r="D26" s="1">
        <f>MAX($D$17,0)</f>
        <v>1000</v>
      </c>
      <c r="E26" s="101" t="s">
        <v>41</v>
      </c>
      <c r="F26" s="106" t="s">
        <v>8</v>
      </c>
      <c r="G26" s="247"/>
      <c r="H26" s="163"/>
      <c r="I26" s="165">
        <v>2.6312499999999999E-2</v>
      </c>
      <c r="J26" s="103">
        <f>SUM(G26:I26)</f>
        <v>2.6312499999999999E-2</v>
      </c>
      <c r="K26" s="108" t="s">
        <v>92</v>
      </c>
      <c r="L26" s="105"/>
      <c r="M26" s="105"/>
      <c r="N26" s="105">
        <f>ROUND($D26*I26,2)</f>
        <v>26.31</v>
      </c>
      <c r="O26" s="250">
        <f>SUM(L26:N26)</f>
        <v>26.31</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x14ac:dyDescent="0.2">
      <c r="A27" s="166" t="s">
        <v>50</v>
      </c>
      <c r="B27" s="166"/>
      <c r="C27" s="166"/>
      <c r="D27" s="167"/>
      <c r="E27" s="167"/>
      <c r="F27" s="166"/>
      <c r="G27" s="167"/>
      <c r="H27" s="167"/>
      <c r="I27" s="167"/>
      <c r="J27" s="167"/>
      <c r="K27" s="168"/>
      <c r="L27" s="169"/>
      <c r="M27" s="169"/>
      <c r="N27" s="169">
        <f>SUM(N25:N26)</f>
        <v>36.31</v>
      </c>
      <c r="O27" s="169">
        <f>SUM(O25:O26)</f>
        <v>36.31</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x14ac:dyDescent="0.2">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x14ac:dyDescent="0.2">
      <c r="A29" s="148" t="s">
        <v>70</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79</v>
      </c>
      <c r="B31" s="176"/>
      <c r="C31" s="176"/>
      <c r="D31" s="100">
        <f>IF($D$17&lt;0,0,IF($D$17&gt;833000,833000,$D$17))</f>
        <v>1000</v>
      </c>
      <c r="E31" s="101" t="s">
        <v>41</v>
      </c>
      <c r="F31" s="102" t="s">
        <v>8</v>
      </c>
      <c r="G31" s="103"/>
      <c r="H31" s="103"/>
      <c r="I31" s="103">
        <f>'Rider Rates'!$B$4</f>
        <v>5.9216E-3</v>
      </c>
      <c r="J31" s="103">
        <f t="shared" ref="J31:J45" si="0">SUM(G31:I31)</f>
        <v>5.9216E-3</v>
      </c>
      <c r="K31" s="104" t="s">
        <v>42</v>
      </c>
      <c r="L31" s="105"/>
      <c r="M31" s="105"/>
      <c r="N31" s="105">
        <f t="shared" ref="N31:N37" si="1">ROUND(D31*I31,2)</f>
        <v>5.92</v>
      </c>
      <c r="O31" s="250">
        <f t="shared" ref="O31:O48" si="2">SUM(L31:N31)</f>
        <v>5.92</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99" t="s">
        <v>80</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99" t="s">
        <v>97</v>
      </c>
      <c r="B33" s="78"/>
      <c r="C33" s="78"/>
      <c r="D33" s="100">
        <f>IF($D$17&lt;0,0,IF($D$17&gt;2000,2000,$D$17))</f>
        <v>1000</v>
      </c>
      <c r="E33" s="101" t="s">
        <v>41</v>
      </c>
      <c r="F33" s="102" t="s">
        <v>8</v>
      </c>
      <c r="G33" s="103"/>
      <c r="H33" s="103"/>
      <c r="I33" s="177">
        <f>'Rider Rates'!$B$8</f>
        <v>4.6499999999999996E-3</v>
      </c>
      <c r="J33" s="177">
        <f t="shared" si="0"/>
        <v>4.6499999999999996E-3</v>
      </c>
      <c r="K33" s="104" t="s">
        <v>42</v>
      </c>
      <c r="L33" s="105"/>
      <c r="M33" s="105"/>
      <c r="N33" s="105">
        <f t="shared" si="1"/>
        <v>4.6500000000000004</v>
      </c>
      <c r="O33" s="105">
        <f t="shared" si="2"/>
        <v>4.6500000000000004</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99" t="s">
        <v>98</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99" t="s">
        <v>99</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99" t="s">
        <v>114</v>
      </c>
      <c r="B36" s="78"/>
      <c r="C36" s="78"/>
      <c r="D36" s="195">
        <f>$N$27</f>
        <v>36.31</v>
      </c>
      <c r="E36" s="101" t="s">
        <v>122</v>
      </c>
      <c r="F36" s="102" t="s">
        <v>8</v>
      </c>
      <c r="G36" s="103"/>
      <c r="H36" s="103"/>
      <c r="I36" s="178">
        <f>'Rider Rates'!$B$12</f>
        <v>0</v>
      </c>
      <c r="J36" s="178">
        <f t="shared" si="0"/>
        <v>0</v>
      </c>
      <c r="K36" s="104"/>
      <c r="L36" s="105"/>
      <c r="M36" s="105"/>
      <c r="N36" s="105">
        <f t="shared" si="1"/>
        <v>0</v>
      </c>
      <c r="O36" s="105">
        <f t="shared" si="2"/>
        <v>0</v>
      </c>
      <c r="P36" s="245">
        <f>'Rider Rates'!$D$12</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160</v>
      </c>
      <c r="B37" s="78"/>
      <c r="C37" s="78"/>
      <c r="D37" s="100">
        <f>IF($D$17&lt;0,0,$D$17)</f>
        <v>1000</v>
      </c>
      <c r="E37" s="101" t="s">
        <v>41</v>
      </c>
      <c r="F37" s="102" t="s">
        <v>8</v>
      </c>
      <c r="G37" s="103"/>
      <c r="H37" s="103"/>
      <c r="I37" s="103">
        <f>'Rider Rates'!B15</f>
        <v>0</v>
      </c>
      <c r="J37" s="103">
        <f>SUM(G37:I37)</f>
        <v>0</v>
      </c>
      <c r="K37" s="104" t="s">
        <v>42</v>
      </c>
      <c r="L37" s="105"/>
      <c r="M37" s="105"/>
      <c r="N37" s="105">
        <f t="shared" si="1"/>
        <v>0</v>
      </c>
      <c r="O37" s="105">
        <f t="shared" si="2"/>
        <v>0</v>
      </c>
      <c r="P37" s="245">
        <f>'Rider Rates'!$D$15</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41" t="s">
        <v>239</v>
      </c>
      <c r="B38" s="78"/>
      <c r="C38" s="78"/>
      <c r="D38" s="195">
        <f>$N$27</f>
        <v>36.31</v>
      </c>
      <c r="E38" s="101" t="s">
        <v>122</v>
      </c>
      <c r="F38" s="102" t="s">
        <v>8</v>
      </c>
      <c r="G38" s="103"/>
      <c r="H38" s="103"/>
      <c r="I38" s="178">
        <f>'Rider Rates'!$B$18</f>
        <v>0</v>
      </c>
      <c r="J38" s="178">
        <f>SUM(G38:I38)</f>
        <v>0</v>
      </c>
      <c r="K38" s="104"/>
      <c r="L38" s="105"/>
      <c r="M38" s="105"/>
      <c r="N38" s="105">
        <f>ROUND($D$38*'Rider Rates'!$B$18,2)+ROUND($D$38*'Rider Rates'!$E$18,2)</f>
        <v>0</v>
      </c>
      <c r="O38" s="105">
        <f t="shared" si="2"/>
        <v>0</v>
      </c>
      <c r="P38" s="245">
        <f>MAX('Rider Rates'!$D$18,'Rider Rates'!$F$18)</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41" t="s">
        <v>212</v>
      </c>
      <c r="B39" s="78"/>
      <c r="C39" s="78"/>
      <c r="D39" s="100"/>
      <c r="E39" s="101" t="s">
        <v>115</v>
      </c>
      <c r="F39" s="102"/>
      <c r="G39" s="103"/>
      <c r="H39" s="103"/>
      <c r="I39" s="103">
        <f>'Rider Rates'!D45</f>
        <v>1.47</v>
      </c>
      <c r="J39" s="237">
        <f>SUM(G39:I39)</f>
        <v>1.47</v>
      </c>
      <c r="K39" s="104"/>
      <c r="L39" s="105"/>
      <c r="M39" s="105"/>
      <c r="N39" s="105">
        <f>J39</f>
        <v>1.47</v>
      </c>
      <c r="O39" s="105">
        <f>SUM(L39:N39)</f>
        <v>1.47</v>
      </c>
      <c r="P39" s="245">
        <f>'Rider Rates'!E45</f>
        <v>45292</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210" t="s">
        <v>190</v>
      </c>
      <c r="B40" s="78"/>
      <c r="C40" s="78"/>
      <c r="D40" s="100">
        <f>IF($D$17&lt;0,0,$D$17)</f>
        <v>1000</v>
      </c>
      <c r="E40" s="113" t="s">
        <v>41</v>
      </c>
      <c r="F40" s="102" t="s">
        <v>8</v>
      </c>
      <c r="G40" s="103"/>
      <c r="H40" s="103">
        <f>'Rider Rates'!$B$52</f>
        <v>4.3837099999999997E-2</v>
      </c>
      <c r="I40" s="103"/>
      <c r="J40" s="103">
        <f>SUM(G40:I40)</f>
        <v>4.3837099999999997E-2</v>
      </c>
      <c r="K40" s="104" t="s">
        <v>42</v>
      </c>
      <c r="L40" s="105"/>
      <c r="M40" s="105">
        <f>ROUND(D40*H40,2)</f>
        <v>43.84</v>
      </c>
      <c r="N40" s="205"/>
      <c r="O40" s="105">
        <f t="shared" si="2"/>
        <v>43.84</v>
      </c>
      <c r="P40" s="245">
        <f>'Rider Rates'!$D$52</f>
        <v>45383</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96</v>
      </c>
      <c r="B41" s="78"/>
      <c r="C41" s="78"/>
      <c r="D41" s="100">
        <f>IF('Customer Info'!C34=TRUE,0,IF($D$17&lt;0,0,$D$17))</f>
        <v>1000</v>
      </c>
      <c r="E41" s="101" t="s">
        <v>41</v>
      </c>
      <c r="F41" s="102" t="s">
        <v>8</v>
      </c>
      <c r="G41" s="103"/>
      <c r="H41" s="103"/>
      <c r="I41" s="103">
        <f>'Rider Rates'!$B$64+'Rider Rates'!$C$64</f>
        <v>0</v>
      </c>
      <c r="J41" s="103">
        <f t="shared" si="0"/>
        <v>0</v>
      </c>
      <c r="K41" s="104" t="s">
        <v>42</v>
      </c>
      <c r="L41" s="105"/>
      <c r="M41" s="105"/>
      <c r="N41" s="105">
        <f>ROUND($D$41*'Rider Rates'!$B$64,2)+ROUND($D$41*'Rider Rates'!$C$64,2)</f>
        <v>0</v>
      </c>
      <c r="O41" s="250">
        <f t="shared" si="2"/>
        <v>0</v>
      </c>
      <c r="P41" s="245">
        <f>'Rider Rates'!$D$64</f>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81</v>
      </c>
      <c r="B42" s="78"/>
      <c r="C42" s="78"/>
      <c r="D42" s="195">
        <f>$N$27</f>
        <v>36.31</v>
      </c>
      <c r="E42" s="101" t="s">
        <v>122</v>
      </c>
      <c r="F42" s="102" t="s">
        <v>8</v>
      </c>
      <c r="G42" s="111"/>
      <c r="H42" s="112"/>
      <c r="I42" s="120">
        <f>'Rider Rates'!$B$80</f>
        <v>2.9347000000000002E-2</v>
      </c>
      <c r="J42" s="120">
        <f>SUM(G42:I42)</f>
        <v>2.9347000000000002E-2</v>
      </c>
      <c r="K42" s="104"/>
      <c r="L42" s="105"/>
      <c r="M42" s="105"/>
      <c r="N42" s="105">
        <f>ROUND(D42*I42,2)</f>
        <v>1.07</v>
      </c>
      <c r="O42" s="105">
        <f t="shared" si="2"/>
        <v>1.07</v>
      </c>
      <c r="P42" s="245">
        <f>'Rider Rates'!$D$80</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99" t="s">
        <v>82</v>
      </c>
      <c r="B43" s="78"/>
      <c r="C43" s="78"/>
      <c r="D43" s="195">
        <f>$N$27</f>
        <v>36.31</v>
      </c>
      <c r="E43" s="101" t="s">
        <v>122</v>
      </c>
      <c r="F43" s="102" t="s">
        <v>8</v>
      </c>
      <c r="G43" s="114"/>
      <c r="H43" s="115"/>
      <c r="I43" s="120">
        <f>'Rider Rates'!$B$82</f>
        <v>6.6985699999999995E-2</v>
      </c>
      <c r="J43" s="120">
        <f t="shared" si="0"/>
        <v>6.6985699999999995E-2</v>
      </c>
      <c r="K43" s="104"/>
      <c r="L43" s="105"/>
      <c r="M43" s="105"/>
      <c r="N43" s="105">
        <f>ROUND(D43*I43,2)</f>
        <v>2.4300000000000002</v>
      </c>
      <c r="O43" s="105">
        <f t="shared" si="2"/>
        <v>2.4300000000000002</v>
      </c>
      <c r="P43" s="245">
        <f>'Rider Rates'!$D$82</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208</v>
      </c>
      <c r="B44" s="78"/>
      <c r="C44" s="78"/>
      <c r="D44" s="195"/>
      <c r="E44" s="113" t="s">
        <v>115</v>
      </c>
      <c r="F44" s="106"/>
      <c r="G44" s="114"/>
      <c r="H44" s="115"/>
      <c r="I44" s="196">
        <f>'Rider Rates'!$B$85</f>
        <v>1.95</v>
      </c>
      <c r="J44" s="196">
        <f>SUM(G44:I44)</f>
        <v>1.95</v>
      </c>
      <c r="K44" s="104"/>
      <c r="L44" s="105"/>
      <c r="M44" s="105"/>
      <c r="N44" s="105">
        <f>I44</f>
        <v>1.95</v>
      </c>
      <c r="O44" s="250">
        <f>SUM(L44:N44)</f>
        <v>1.95</v>
      </c>
      <c r="P44" s="245">
        <f>'Rider Rates'!$D$85</f>
        <v>45259</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99" t="s">
        <v>157</v>
      </c>
      <c r="B45" s="78"/>
      <c r="C45" s="78"/>
      <c r="D45" s="195">
        <f>$N$27</f>
        <v>36.31</v>
      </c>
      <c r="E45" s="101" t="s">
        <v>122</v>
      </c>
      <c r="F45" s="102" t="s">
        <v>8</v>
      </c>
      <c r="G45" s="114"/>
      <c r="H45" s="115"/>
      <c r="I45" s="120">
        <f>'Rider Rates'!$B$100</f>
        <v>0.21398439999999999</v>
      </c>
      <c r="J45" s="238">
        <f t="shared" si="0"/>
        <v>0.21398439999999999</v>
      </c>
      <c r="K45" s="104"/>
      <c r="L45" s="105"/>
      <c r="M45" s="105"/>
      <c r="N45" s="105">
        <f>ROUND(D45*I45,2)</f>
        <v>7.77</v>
      </c>
      <c r="O45" s="105">
        <f t="shared" si="2"/>
        <v>7.77</v>
      </c>
      <c r="P45" s="245">
        <f>'Rider Rates'!$D$100</f>
        <v>45351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210" t="s">
        <v>211</v>
      </c>
      <c r="B46" s="78"/>
      <c r="C46" s="78"/>
      <c r="D46" s="195"/>
      <c r="E46" s="113" t="s">
        <v>115</v>
      </c>
      <c r="F46" s="106"/>
      <c r="G46" s="114"/>
      <c r="H46" s="115"/>
      <c r="I46" s="196">
        <f>'Rider Rates'!$B$103</f>
        <v>0</v>
      </c>
      <c r="J46" s="196">
        <f t="shared" ref="J46:J51" si="3">SUM(G46:I46)</f>
        <v>0</v>
      </c>
      <c r="K46" s="104"/>
      <c r="L46" s="105"/>
      <c r="M46" s="105"/>
      <c r="N46" s="105">
        <f>I46</f>
        <v>0</v>
      </c>
      <c r="O46" s="105">
        <f>SUM(L46:N46)</f>
        <v>0</v>
      </c>
      <c r="P46" s="245">
        <f>'Rider Rates'!$D$103</f>
        <v>44894</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219</v>
      </c>
      <c r="B47" s="78"/>
      <c r="C47" s="78"/>
      <c r="D47" s="195"/>
      <c r="E47" s="113" t="s">
        <v>115</v>
      </c>
      <c r="F47" s="106"/>
      <c r="G47" s="114"/>
      <c r="H47" s="115"/>
      <c r="I47" s="258">
        <f>'Rider Rates'!B116</f>
        <v>1.26</v>
      </c>
      <c r="J47" s="259">
        <f t="shared" si="3"/>
        <v>1.26</v>
      </c>
      <c r="K47" s="104"/>
      <c r="L47" s="105"/>
      <c r="M47" s="105"/>
      <c r="N47" s="260">
        <f>I47</f>
        <v>1.26</v>
      </c>
      <c r="O47" s="105">
        <f>SUM(L47:N47)</f>
        <v>1.26</v>
      </c>
      <c r="P47" s="245">
        <f>'Rider Rates'!D116</f>
        <v>45226</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210</v>
      </c>
      <c r="B48" s="78"/>
      <c r="C48" s="78"/>
      <c r="D48" s="100">
        <f>IF($D$17&lt;1,0,$D$17)</f>
        <v>1000</v>
      </c>
      <c r="E48" s="101" t="s">
        <v>41</v>
      </c>
      <c r="F48" s="249" t="s">
        <v>8</v>
      </c>
      <c r="G48" s="103"/>
      <c r="H48" s="103"/>
      <c r="I48" s="103">
        <f>'Rider Rates'!$B$112</f>
        <v>-2.3000000000000001E-4</v>
      </c>
      <c r="J48" s="237">
        <f t="shared" si="3"/>
        <v>-2.3000000000000001E-4</v>
      </c>
      <c r="K48" s="104" t="s">
        <v>42</v>
      </c>
      <c r="L48" s="105"/>
      <c r="M48" s="105"/>
      <c r="N48" s="105">
        <f>D48*J48</f>
        <v>-0.23</v>
      </c>
      <c r="O48" s="105">
        <f t="shared" si="2"/>
        <v>-0.23</v>
      </c>
      <c r="P48" s="245">
        <f>'Rider Rates'!D112</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241" t="s">
        <v>232</v>
      </c>
      <c r="B49" s="78"/>
      <c r="C49" s="78"/>
      <c r="D49" s="100"/>
      <c r="E49" s="101" t="s">
        <v>115</v>
      </c>
      <c r="F49" s="102" t="s">
        <v>8</v>
      </c>
      <c r="G49" s="263"/>
      <c r="H49" s="263"/>
      <c r="I49" s="263">
        <f>'Rider Rates'!$B$120</f>
        <v>0.1</v>
      </c>
      <c r="J49" s="263">
        <f t="shared" si="3"/>
        <v>0.1</v>
      </c>
      <c r="K49" s="104"/>
      <c r="L49" s="209"/>
      <c r="M49" s="209"/>
      <c r="N49" s="209">
        <f>J49</f>
        <v>0.1</v>
      </c>
      <c r="O49" s="209">
        <f>SUM(L49:N49)</f>
        <v>0.1</v>
      </c>
      <c r="P49" s="264">
        <f>'Rider Rates'!E120</f>
        <v>44927</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41" t="s">
        <v>244</v>
      </c>
      <c r="B50" s="78"/>
      <c r="C50" s="78"/>
      <c r="D50" s="100">
        <f>D17</f>
        <v>1000</v>
      </c>
      <c r="E50" s="101" t="s">
        <v>41</v>
      </c>
      <c r="F50" s="249" t="s">
        <v>8</v>
      </c>
      <c r="G50" s="103"/>
      <c r="H50" s="103"/>
      <c r="I50" s="103">
        <f>'Rider Rates'!B125</f>
        <v>0</v>
      </c>
      <c r="J50" s="237">
        <f t="shared" si="3"/>
        <v>0</v>
      </c>
      <c r="K50" s="104" t="s">
        <v>42</v>
      </c>
      <c r="L50" s="105"/>
      <c r="M50" s="105"/>
      <c r="N50" s="105">
        <f>D50*J50</f>
        <v>0</v>
      </c>
      <c r="O50" s="105">
        <f t="shared" ref="O50" si="4">SUM(L50:N50)</f>
        <v>0</v>
      </c>
      <c r="P50" s="245">
        <f>'Rider Rates'!D125</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241" t="s">
        <v>243</v>
      </c>
      <c r="B51" s="78"/>
      <c r="C51" s="78"/>
      <c r="D51" s="100"/>
      <c r="E51" s="101" t="s">
        <v>115</v>
      </c>
      <c r="F51" s="102" t="s">
        <v>8</v>
      </c>
      <c r="G51" s="263"/>
      <c r="H51" s="263"/>
      <c r="I51" s="263">
        <f>'Rider Rates'!$B$132</f>
        <v>0</v>
      </c>
      <c r="J51" s="263">
        <f t="shared" si="3"/>
        <v>0</v>
      </c>
      <c r="K51" s="104"/>
      <c r="L51" s="209"/>
      <c r="M51" s="209"/>
      <c r="N51" s="209">
        <f>J51</f>
        <v>0</v>
      </c>
      <c r="O51" s="209">
        <f>SUM(L51:N51)</f>
        <v>0</v>
      </c>
      <c r="P51" s="264">
        <f>'Rider Rates'!D132</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241" t="s">
        <v>245</v>
      </c>
      <c r="B52" s="78"/>
      <c r="C52" s="78"/>
      <c r="D52" s="100"/>
      <c r="E52" s="101"/>
      <c r="F52" s="102"/>
      <c r="G52" s="263"/>
      <c r="H52" s="263"/>
      <c r="I52" s="263"/>
      <c r="J52" s="263"/>
      <c r="K52" s="104"/>
      <c r="L52" s="209"/>
      <c r="M52" s="209"/>
      <c r="N52" s="209"/>
      <c r="O52" s="209"/>
      <c r="P52" s="264"/>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179" t="s">
        <v>71</v>
      </c>
      <c r="B53" s="148"/>
      <c r="C53" s="148"/>
      <c r="D53" s="180"/>
      <c r="E53" s="181"/>
      <c r="F53" s="182"/>
      <c r="G53" s="182"/>
      <c r="H53" s="182"/>
      <c r="I53" s="182"/>
      <c r="J53" s="182"/>
      <c r="K53" s="183"/>
      <c r="L53" s="169">
        <f>SUM(L31:L52)</f>
        <v>0</v>
      </c>
      <c r="M53" s="169">
        <f t="shared" ref="M53:O53" si="5">SUM(M31:M52)</f>
        <v>43.84</v>
      </c>
      <c r="N53" s="169">
        <f t="shared" si="5"/>
        <v>26.390000000000004</v>
      </c>
      <c r="O53" s="169">
        <f t="shared" si="5"/>
        <v>70.23</v>
      </c>
      <c r="P53" s="184"/>
      <c r="Q53" s="106"/>
      <c r="R53" s="166"/>
      <c r="S53" s="166"/>
      <c r="T53" s="189"/>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78"/>
      <c r="B54" s="78"/>
      <c r="C54" s="78"/>
      <c r="D54" s="100"/>
      <c r="E54" s="113"/>
      <c r="F54" s="106"/>
      <c r="G54" s="106"/>
      <c r="H54" s="106"/>
      <c r="I54" s="106"/>
      <c r="J54" s="107"/>
      <c r="K54" s="104"/>
      <c r="L54" s="106"/>
      <c r="M54" s="106"/>
      <c r="N54" s="106"/>
      <c r="O54" s="106"/>
      <c r="P54" s="164"/>
      <c r="Q54" s="106"/>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185" t="s">
        <v>94</v>
      </c>
      <c r="B55" s="170"/>
      <c r="C55" s="170"/>
      <c r="D55" s="170"/>
      <c r="E55" s="170"/>
      <c r="F55" s="170"/>
      <c r="G55" s="170"/>
      <c r="H55" s="170"/>
      <c r="I55" s="170"/>
      <c r="J55" s="170"/>
      <c r="K55" s="170"/>
      <c r="L55" s="186">
        <f>L27+L53</f>
        <v>0</v>
      </c>
      <c r="M55" s="186">
        <f>M27+M53</f>
        <v>43.84</v>
      </c>
      <c r="N55" s="186">
        <f>N27+N53</f>
        <v>62.7</v>
      </c>
      <c r="O55" s="187">
        <f>O27+O53</f>
        <v>106.54</v>
      </c>
      <c r="P55" s="187"/>
      <c r="Q55" s="10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78"/>
      <c r="B56" s="78"/>
      <c r="C56" s="78"/>
      <c r="D56" s="78"/>
      <c r="E56" s="78"/>
      <c r="F56" s="78"/>
      <c r="G56" s="78"/>
      <c r="H56" s="78"/>
      <c r="I56" s="78"/>
      <c r="J56" s="78"/>
      <c r="K56" s="78"/>
      <c r="L56" s="78"/>
      <c r="M56" s="78"/>
      <c r="N56" s="151"/>
      <c r="O56" s="151"/>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78"/>
      <c r="B57" s="78"/>
      <c r="C57" s="78"/>
      <c r="D57" s="78"/>
      <c r="E57" s="78"/>
      <c r="F57" s="78"/>
      <c r="G57" s="78"/>
      <c r="H57" s="78"/>
      <c r="I57" s="78"/>
      <c r="J57" s="78"/>
      <c r="K57" s="78"/>
      <c r="L57" s="78"/>
      <c r="M57" s="78"/>
      <c r="N57" s="151"/>
      <c r="O57" s="151"/>
      <c r="P57" s="151"/>
      <c r="Q57" s="166"/>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66" t="s">
        <v>93</v>
      </c>
      <c r="B58" s="78"/>
      <c r="C58" s="78"/>
      <c r="D58" s="78"/>
      <c r="E58" s="78"/>
      <c r="F58" s="78"/>
      <c r="G58" s="78"/>
      <c r="H58" s="78"/>
      <c r="I58" s="78"/>
      <c r="J58" s="78"/>
      <c r="K58" s="78"/>
      <c r="L58" s="78"/>
      <c r="M58" s="78"/>
      <c r="N58" s="78"/>
      <c r="O58" s="109">
        <f>IF(D17&lt;0,MIN(O25,O55),O25)</f>
        <v>10</v>
      </c>
      <c r="P58" s="151"/>
      <c r="Q58" s="166"/>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166" t="s">
        <v>15</v>
      </c>
      <c r="B59" s="166"/>
      <c r="C59" s="166"/>
      <c r="D59" s="166"/>
      <c r="E59" s="166"/>
      <c r="F59" s="166"/>
      <c r="G59" s="166"/>
      <c r="H59" s="166"/>
      <c r="I59" s="78"/>
      <c r="J59" s="78"/>
      <c r="K59" s="78"/>
      <c r="L59" s="78"/>
      <c r="M59" s="78"/>
      <c r="N59" s="151"/>
      <c r="O59" s="151"/>
      <c r="P59" s="151"/>
      <c r="Q59" s="78"/>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148" t="s">
        <v>117</v>
      </c>
      <c r="B60" s="151"/>
      <c r="C60" s="151"/>
      <c r="D60" s="151"/>
      <c r="E60" s="151"/>
      <c r="F60" s="151"/>
      <c r="G60" s="151"/>
      <c r="H60" s="151"/>
      <c r="I60" s="151"/>
      <c r="J60" s="151"/>
      <c r="K60" s="151"/>
      <c r="L60" s="151"/>
      <c r="M60" s="151"/>
      <c r="N60" s="151"/>
      <c r="O60" s="190">
        <f>IF($D$17&lt;0,O55,IF(O55&gt;O58,O55,O58))</f>
        <v>106.54</v>
      </c>
      <c r="P60" s="160"/>
      <c r="Q60" s="78"/>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x14ac:dyDescent="0.2">
      <c r="A61" s="148"/>
      <c r="B61" s="151"/>
      <c r="C61" s="151"/>
      <c r="D61" s="151"/>
      <c r="E61" s="151"/>
      <c r="F61" s="151"/>
      <c r="G61" s="151"/>
      <c r="H61" s="151"/>
      <c r="I61" s="151"/>
      <c r="J61" s="151"/>
      <c r="K61" s="151"/>
      <c r="L61" s="151"/>
      <c r="M61" s="151"/>
      <c r="N61" s="151"/>
      <c r="O61" s="138"/>
      <c r="P61" s="160"/>
      <c r="Q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x14ac:dyDescent="0.2">
      <c r="A62" s="148"/>
      <c r="B62" s="166"/>
      <c r="C62" s="166"/>
      <c r="D62" s="166"/>
      <c r="E62" s="166"/>
      <c r="F62" s="166"/>
      <c r="G62" s="166"/>
      <c r="H62" s="166"/>
      <c r="I62" s="166" t="s">
        <v>121</v>
      </c>
      <c r="J62" s="166"/>
      <c r="K62" s="166"/>
      <c r="L62" s="191"/>
      <c r="M62" s="191"/>
      <c r="N62" s="191"/>
      <c r="O62" s="191">
        <f>ROUND(IF($D$17&lt;1,0,O55/($D$17*100)*10000),2)</f>
        <v>10.65</v>
      </c>
      <c r="P62" s="37" t="s">
        <v>87</v>
      </c>
      <c r="Q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row>
    <row r="63" spans="1:236" x14ac:dyDescent="0.2">
      <c r="A63" s="37"/>
      <c r="B63" s="78"/>
      <c r="C63" s="78"/>
      <c r="D63" s="78"/>
      <c r="E63" s="78"/>
      <c r="F63" s="78"/>
      <c r="G63" s="78"/>
      <c r="H63" s="192"/>
      <c r="I63" s="242" t="s">
        <v>191</v>
      </c>
      <c r="J63" s="78"/>
      <c r="K63" s="78"/>
      <c r="L63" s="78"/>
      <c r="M63" s="78"/>
      <c r="N63" s="78"/>
      <c r="O63" s="243">
        <f>ROUND(IF($D$17&lt;1,0,(L55)/($D$17*100)*10000),2)</f>
        <v>0</v>
      </c>
      <c r="P63" s="25" t="s">
        <v>87</v>
      </c>
      <c r="Q63" s="78"/>
      <c r="AE63" s="78"/>
      <c r="AF63" s="78"/>
      <c r="AG63" s="78"/>
      <c r="AH63" s="78"/>
      <c r="AI63" s="78"/>
      <c r="AJ63" s="78"/>
      <c r="AK63" s="78"/>
      <c r="AL63" s="78"/>
      <c r="AM63" s="78"/>
      <c r="AN63" s="78"/>
      <c r="AO63" s="78"/>
      <c r="AP63" s="78"/>
      <c r="AQ63" s="78"/>
      <c r="AR63" s="78"/>
      <c r="AS63" s="78"/>
      <c r="AT63" s="78"/>
      <c r="HE63" s="78"/>
      <c r="HF63" s="78"/>
      <c r="HG63" s="78"/>
      <c r="HH63" s="78"/>
      <c r="HI63" s="78"/>
      <c r="HJ63" s="78"/>
      <c r="HK63" s="78"/>
      <c r="HL63" s="78"/>
      <c r="HM63" s="78"/>
      <c r="HN63" s="78"/>
    </row>
    <row r="64" spans="1:236" x14ac:dyDescent="0.2">
      <c r="A64" s="99"/>
      <c r="B64" s="78"/>
      <c r="C64" s="78"/>
      <c r="D64" s="100"/>
      <c r="E64" s="101"/>
      <c r="F64" s="106"/>
      <c r="G64" s="133"/>
      <c r="H64" s="56"/>
      <c r="I64" s="133"/>
      <c r="J64" s="25"/>
      <c r="K64" s="25"/>
      <c r="L64" s="134"/>
      <c r="M64" s="134"/>
      <c r="N64" s="134"/>
      <c r="O64" s="135"/>
      <c r="Q64" s="80"/>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21" x14ac:dyDescent="0.2">
      <c r="A65" s="99"/>
      <c r="B65" s="78"/>
      <c r="C65" s="78"/>
      <c r="D65" s="100"/>
      <c r="E65" s="113"/>
      <c r="F65" s="106"/>
      <c r="Q65" s="80"/>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21" x14ac:dyDescent="0.2">
      <c r="A66" s="78"/>
      <c r="D66" s="1"/>
      <c r="E66" s="35"/>
      <c r="F66" s="106"/>
      <c r="Q66" s="80"/>
    </row>
    <row r="67" spans="1:221" x14ac:dyDescent="0.2">
      <c r="A67" s="96"/>
      <c r="D67" s="1"/>
      <c r="E67" s="35"/>
      <c r="F67" s="4"/>
      <c r="Q67" s="36"/>
    </row>
    <row r="68" spans="1:221" x14ac:dyDescent="0.2">
      <c r="A68" s="96"/>
      <c r="D68" s="1"/>
      <c r="E68" s="35"/>
      <c r="F68" s="4"/>
      <c r="Q68" s="36"/>
    </row>
    <row r="69" spans="1:221" x14ac:dyDescent="0.2">
      <c r="A69" s="41"/>
      <c r="B69" s="77"/>
      <c r="C69" s="77"/>
      <c r="D69" s="77"/>
      <c r="E69" s="77"/>
      <c r="F69" s="77"/>
    </row>
    <row r="70" spans="1:221" x14ac:dyDescent="0.2">
      <c r="B70" s="37"/>
      <c r="C70" s="37"/>
      <c r="D70" s="37"/>
      <c r="E70" s="37"/>
      <c r="F70" s="37"/>
      <c r="P70" s="37"/>
      <c r="Q70" s="37"/>
    </row>
    <row r="71" spans="1:221" x14ac:dyDescent="0.2">
      <c r="B71" s="37"/>
      <c r="C71" s="37"/>
      <c r="D71" s="37"/>
      <c r="E71" s="37"/>
      <c r="F71" s="37"/>
      <c r="P71" s="25"/>
      <c r="Q71" s="25"/>
    </row>
    <row r="74" spans="1:221" x14ac:dyDescent="0.2">
      <c r="A74" s="350"/>
    </row>
    <row r="75" spans="1:221" x14ac:dyDescent="0.2">
      <c r="A75" s="350"/>
    </row>
    <row r="76" spans="1:221" x14ac:dyDescent="0.2">
      <c r="A76" s="350"/>
    </row>
    <row r="77" spans="1:221" x14ac:dyDescent="0.2">
      <c r="A77" s="350"/>
    </row>
    <row r="78" spans="1:221" x14ac:dyDescent="0.2">
      <c r="A78" s="350"/>
    </row>
    <row r="79" spans="1:221" x14ac:dyDescent="0.2">
      <c r="A79" s="350"/>
    </row>
    <row r="80" spans="1:221"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sheetData>
  <sheetProtection algorithmName="SHA-512" hashValue="xGk3xyyBuoZo3sOR2tcbymhLY1pmYwbzb/zrdLcu7GdfZDRLcr4Ch7/zn5k5lHEW8lh6XB7thZn5lENUeWVpQg==" saltValue="pIG+CHhFsH2yWcRCSJ4sTg==" spinCount="100000" sheet="1" objects="1" scenarios="1"/>
  <mergeCells count="8">
    <mergeCell ref="A74:A88"/>
    <mergeCell ref="A1:P1"/>
    <mergeCell ref="A2:P3"/>
    <mergeCell ref="A4:P4"/>
    <mergeCell ref="B6:O6"/>
    <mergeCell ref="A7:K7"/>
    <mergeCell ref="G23:J23"/>
    <mergeCell ref="L23:O23"/>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849"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8850" r:id="rId5" name="Button 2">
              <controlPr defaultSize="0" print="0" autoFill="0" autoPict="0" macro="[0]!Info">
                <anchor moveWithCells="1">
                  <from>
                    <xdr:col>16</xdr:col>
                    <xdr:colOff>581025</xdr:colOff>
                    <xdr:row>81</xdr:row>
                    <xdr:rowOff>57150</xdr:rowOff>
                  </from>
                  <to>
                    <xdr:col>30</xdr:col>
                    <xdr:colOff>238125</xdr:colOff>
                    <xdr:row>82</xdr:row>
                    <xdr:rowOff>133350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dimension ref="A1:IB62"/>
  <sheetViews>
    <sheetView showGridLines="0" zoomScale="80" zoomScaleNormal="80" workbookViewId="0">
      <selection activeCell="P19" sqref="P19"/>
    </sheetView>
  </sheetViews>
  <sheetFormatPr defaultRowHeight="12.75" x14ac:dyDescent="0.2"/>
  <cols>
    <col min="1" max="1" width="39" customWidth="1"/>
    <col min="2" max="2" width="2.140625" customWidth="1"/>
    <col min="3" max="3" width="13" customWidth="1"/>
    <col min="4" max="4" width="15.28515625" customWidth="1"/>
    <col min="5" max="5" width="10.42578125" customWidth="1"/>
    <col min="6" max="6" width="5.5703125" customWidth="1"/>
    <col min="7" max="8" width="13.28515625" customWidth="1"/>
    <col min="9" max="9" width="14.5703125" customWidth="1"/>
    <col min="10" max="10" width="13.28515625" customWidth="1"/>
    <col min="11" max="11" width="5.5703125" bestFit="1" customWidth="1"/>
    <col min="12" max="12" width="15.140625" customWidth="1"/>
    <col min="13" max="13" width="17.28515625" bestFit="1" customWidth="1"/>
    <col min="14" max="14" width="17.7109375" customWidth="1"/>
    <col min="15" max="15" width="18.7109375" customWidth="1"/>
    <col min="16" max="16" width="15" customWidth="1"/>
    <col min="17" max="17" width="12.85546875" bestFit="1" customWidth="1"/>
    <col min="18" max="18" width="10.57031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c r="Q1" s="203"/>
    </row>
    <row r="2" spans="1:30" ht="20.25" x14ac:dyDescent="0.3">
      <c r="A2" s="368" t="s">
        <v>269</v>
      </c>
      <c r="B2" s="368"/>
      <c r="C2" s="368"/>
      <c r="D2" s="368"/>
      <c r="E2" s="368"/>
      <c r="F2" s="368"/>
      <c r="G2" s="368"/>
      <c r="H2" s="368"/>
      <c r="I2" s="368"/>
      <c r="J2" s="368"/>
      <c r="K2" s="368"/>
      <c r="L2" s="368"/>
      <c r="M2" s="368"/>
      <c r="N2" s="368"/>
      <c r="O2" s="368"/>
      <c r="P2" s="368"/>
      <c r="Q2" s="197"/>
    </row>
    <row r="3" spans="1:30" ht="18" x14ac:dyDescent="0.25">
      <c r="A3" s="353" t="s">
        <v>95</v>
      </c>
      <c r="B3" s="353"/>
      <c r="C3" s="353"/>
      <c r="D3" s="353"/>
      <c r="E3" s="353"/>
      <c r="F3" s="353"/>
      <c r="G3" s="353"/>
      <c r="H3" s="353"/>
      <c r="I3" s="353"/>
      <c r="J3" s="353"/>
      <c r="K3" s="353"/>
      <c r="L3" s="353"/>
      <c r="M3" s="353"/>
      <c r="N3" s="353"/>
      <c r="O3" s="353"/>
      <c r="P3" s="353"/>
      <c r="Q3" s="198"/>
    </row>
    <row r="4" spans="1:30" ht="15.75" x14ac:dyDescent="0.25">
      <c r="A4" s="353"/>
      <c r="B4" s="353"/>
      <c r="C4" s="353"/>
      <c r="D4" s="353"/>
      <c r="E4" s="353"/>
      <c r="F4" s="353"/>
      <c r="G4" s="353"/>
      <c r="H4" s="353"/>
      <c r="I4" s="353"/>
      <c r="J4" s="353"/>
      <c r="K4" s="353"/>
      <c r="L4" s="353"/>
      <c r="M4" s="353"/>
      <c r="N4" s="353"/>
      <c r="O4" s="353"/>
      <c r="P4" s="353"/>
      <c r="Q4" s="199"/>
    </row>
    <row r="5" spans="1:30" x14ac:dyDescent="0.2">
      <c r="A5" s="76">
        <f ca="1">TODAY()</f>
        <v>45371</v>
      </c>
      <c r="B5" s="360" t="s">
        <v>296</v>
      </c>
      <c r="C5" s="360"/>
      <c r="D5" s="360"/>
      <c r="E5" s="360"/>
      <c r="F5" s="360"/>
      <c r="G5" s="360"/>
      <c r="H5" s="360"/>
      <c r="I5" s="360"/>
      <c r="J5" s="360"/>
      <c r="K5" s="360"/>
      <c r="L5" s="360"/>
      <c r="M5" s="360"/>
      <c r="N5" s="360"/>
      <c r="O5" s="360"/>
    </row>
    <row r="6" spans="1:30" x14ac:dyDescent="0.2">
      <c r="A6" s="351" t="s">
        <v>15</v>
      </c>
      <c r="B6" s="351"/>
      <c r="C6" s="351"/>
      <c r="D6" s="351"/>
      <c r="E6" s="351"/>
      <c r="F6" s="351"/>
      <c r="G6" s="351"/>
      <c r="H6" s="351"/>
      <c r="I6" s="351"/>
      <c r="J6" s="351"/>
      <c r="K6" s="351"/>
    </row>
    <row r="7" spans="1:30" x14ac:dyDescent="0.2">
      <c r="C7" s="18"/>
      <c r="D7" s="18"/>
      <c r="E7" s="18"/>
      <c r="F7" s="18"/>
      <c r="G7" s="18"/>
      <c r="H7" s="18"/>
      <c r="I7" s="18"/>
      <c r="J7" s="18"/>
      <c r="K7" s="18"/>
    </row>
    <row r="8" spans="1:30" ht="15" x14ac:dyDescent="0.2">
      <c r="A8" s="23" t="s">
        <v>2</v>
      </c>
      <c r="B8" s="24"/>
      <c r="C8" s="25">
        <f>'Customer Info'!B7</f>
        <v>0</v>
      </c>
      <c r="I8" s="26"/>
    </row>
    <row r="9" spans="1:30" ht="15" x14ac:dyDescent="0.2">
      <c r="A9" s="27" t="s">
        <v>26</v>
      </c>
      <c r="B9" s="24"/>
      <c r="C9" s="25">
        <f>'Customer Info'!B8</f>
        <v>0</v>
      </c>
    </row>
    <row r="10" spans="1:30" x14ac:dyDescent="0.2">
      <c r="A10" s="23" t="s">
        <v>3</v>
      </c>
      <c r="B10" s="200">
        <f>'Customer Info'!B9</f>
        <v>4</v>
      </c>
      <c r="C10" s="194" t="str">
        <f>LOOKUP(B10,S11:AD11,S12:AD12)</f>
        <v>April</v>
      </c>
      <c r="D10" s="133">
        <f>'Customer Info'!C9</f>
        <v>2024</v>
      </c>
    </row>
    <row r="11" spans="1:30" x14ac:dyDescent="0.2">
      <c r="A11" s="366"/>
      <c r="B11" s="366"/>
      <c r="C11" s="366"/>
      <c r="D11" s="366"/>
      <c r="E11" s="366"/>
      <c r="F11" s="366"/>
      <c r="G11" s="366"/>
      <c r="H11" s="366"/>
      <c r="I11" s="366"/>
      <c r="J11" s="94"/>
      <c r="K11" s="94"/>
      <c r="L11" s="94"/>
      <c r="M11" s="94"/>
      <c r="N11" s="94"/>
      <c r="O11" s="94"/>
      <c r="P11" s="94"/>
      <c r="S11">
        <v>1</v>
      </c>
      <c r="T11">
        <v>2</v>
      </c>
      <c r="U11">
        <v>3</v>
      </c>
      <c r="V11">
        <v>4</v>
      </c>
      <c r="W11">
        <v>5</v>
      </c>
      <c r="X11">
        <v>6</v>
      </c>
      <c r="Y11">
        <v>7</v>
      </c>
      <c r="Z11">
        <v>8</v>
      </c>
      <c r="AA11">
        <v>9</v>
      </c>
      <c r="AB11">
        <v>10</v>
      </c>
      <c r="AC11">
        <v>11</v>
      </c>
      <c r="AD11">
        <v>12</v>
      </c>
    </row>
    <row r="12" spans="1:30" x14ac:dyDescent="0.2">
      <c r="A12" s="97" t="s">
        <v>27</v>
      </c>
      <c r="B12" s="18"/>
      <c r="C12" s="18"/>
      <c r="D12" s="18"/>
      <c r="E12" s="18"/>
      <c r="F12" s="18"/>
      <c r="G12" s="18"/>
      <c r="H12" s="18"/>
      <c r="I12" s="1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18"/>
      <c r="B13" s="18"/>
      <c r="C13" s="18"/>
      <c r="D13" s="18"/>
      <c r="E13" s="18"/>
      <c r="F13" s="18"/>
      <c r="G13" s="18"/>
      <c r="H13" s="18"/>
      <c r="I13" s="18"/>
      <c r="R13" s="78" t="s">
        <v>118</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
      <c r="A14" s="31" t="s">
        <v>43</v>
      </c>
      <c r="B14" s="31"/>
      <c r="C14" s="32">
        <f>IF('Customer Info'!B21+'Customer Info'!B22-'Customer Info'!B23&lt;0,0,'Customer Info'!B21+'Customer Info'!B22-'Customer Info'!B23)</f>
        <v>1000</v>
      </c>
      <c r="D14" s="31" t="s">
        <v>41</v>
      </c>
      <c r="E14" s="31"/>
      <c r="F14" s="33"/>
      <c r="G14" s="31"/>
      <c r="H14" s="31"/>
      <c r="I14" s="31"/>
      <c r="R14" s="78" t="s">
        <v>119</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
      <c r="A15" s="31" t="s">
        <v>85</v>
      </c>
      <c r="B15" s="31"/>
      <c r="C15" s="212">
        <f>MAX('Customer Info'!B18,'Customer Info'!B19)</f>
        <v>0</v>
      </c>
      <c r="D15" s="31" t="s">
        <v>45</v>
      </c>
      <c r="E15" s="31"/>
      <c r="F15" s="33"/>
      <c r="G15" s="31"/>
      <c r="H15" s="31"/>
      <c r="I15" s="31"/>
      <c r="R15" s="78" t="s">
        <v>123</v>
      </c>
      <c r="S15" s="193">
        <v>1.8274700000000001E-2</v>
      </c>
      <c r="T15" s="193">
        <v>1.8274700000000001E-2</v>
      </c>
      <c r="U15" s="193">
        <v>1.8274700000000001E-2</v>
      </c>
      <c r="V15" s="193">
        <v>1.8274700000000001E-2</v>
      </c>
      <c r="W15" s="193">
        <v>1.8274700000000001E-2</v>
      </c>
      <c r="X15" s="193">
        <v>1.8274700000000001E-2</v>
      </c>
      <c r="Y15" s="193">
        <v>1.8274700000000001E-2</v>
      </c>
      <c r="Z15" s="193">
        <v>1.8274700000000001E-2</v>
      </c>
      <c r="AA15" s="193">
        <v>1.8274700000000001E-2</v>
      </c>
      <c r="AB15" s="193">
        <v>1.8274700000000001E-2</v>
      </c>
      <c r="AC15" s="193">
        <v>1.8274700000000001E-2</v>
      </c>
      <c r="AD15" s="193">
        <v>1.8274700000000001E-2</v>
      </c>
    </row>
    <row r="16" spans="1:30" x14ac:dyDescent="0.2">
      <c r="A16" s="31"/>
      <c r="B16" s="31"/>
      <c r="C16" s="33"/>
      <c r="D16" s="33"/>
      <c r="E16" s="33"/>
      <c r="F16" s="33"/>
      <c r="G16" s="23"/>
      <c r="H16" s="31"/>
      <c r="I16" s="31"/>
      <c r="R16" t="s">
        <v>164</v>
      </c>
      <c r="S16" s="222" t="e">
        <f>'Rider Rates'!#REF!</f>
        <v>#REF!</v>
      </c>
      <c r="T16" s="222" t="e">
        <f>'Rider Rates'!#REF!</f>
        <v>#REF!</v>
      </c>
      <c r="U16" s="222" t="e">
        <f>'Rider Rates'!#REF!</f>
        <v>#REF!</v>
      </c>
      <c r="V16" s="222" t="e">
        <f>'Rider Rates'!#REF!</f>
        <v>#REF!</v>
      </c>
      <c r="W16" s="222" t="e">
        <f>'Rider Rates'!#REF!</f>
        <v>#REF!</v>
      </c>
      <c r="X16" s="222" t="e">
        <f>'Rider Rates'!#REF!</f>
        <v>#REF!</v>
      </c>
      <c r="Y16" s="222" t="e">
        <f>'Rider Rates'!#REF!</f>
        <v>#REF!</v>
      </c>
      <c r="Z16" s="222" t="e">
        <f>'Rider Rates'!#REF!</f>
        <v>#REF!</v>
      </c>
      <c r="AA16" s="222" t="e">
        <f>'Rider Rates'!#REF!</f>
        <v>#REF!</v>
      </c>
      <c r="AB16" s="222" t="e">
        <f>'Rider Rates'!#REF!</f>
        <v>#REF!</v>
      </c>
      <c r="AC16" s="222" t="e">
        <f>'Rider Rates'!#REF!</f>
        <v>#REF!</v>
      </c>
      <c r="AD16" s="222" t="e">
        <f>'Rider Rates'!#REF!</f>
        <v>#REF!</v>
      </c>
    </row>
    <row r="17" spans="1:221" x14ac:dyDescent="0.2">
      <c r="A17" s="28" t="s">
        <v>124</v>
      </c>
      <c r="B17" s="22"/>
      <c r="C17" s="22"/>
      <c r="D17" s="22"/>
      <c r="E17" s="22"/>
      <c r="F17" s="22"/>
      <c r="G17" s="362" t="s">
        <v>68</v>
      </c>
      <c r="H17" s="363"/>
      <c r="I17" s="363"/>
      <c r="J17" s="364"/>
      <c r="K17" s="22"/>
      <c r="L17" s="365" t="s">
        <v>69</v>
      </c>
      <c r="M17" s="365"/>
      <c r="N17" s="365"/>
      <c r="O17" s="365"/>
      <c r="R17" t="s">
        <v>165</v>
      </c>
      <c r="S17" s="222" t="e">
        <f>'Rider Rates'!#REF!</f>
        <v>#REF!</v>
      </c>
      <c r="T17" s="222" t="e">
        <f>'Rider Rates'!#REF!</f>
        <v>#REF!</v>
      </c>
      <c r="U17" s="222" t="e">
        <f>'Rider Rates'!#REF!</f>
        <v>#REF!</v>
      </c>
      <c r="V17" s="222" t="e">
        <f>'Rider Rates'!#REF!</f>
        <v>#REF!</v>
      </c>
      <c r="W17" s="222" t="e">
        <f>'Rider Rates'!#REF!</f>
        <v>#REF!</v>
      </c>
      <c r="X17" s="222" t="e">
        <f>'Rider Rates'!#REF!</f>
        <v>#REF!</v>
      </c>
      <c r="Y17" s="222" t="e">
        <f>'Rider Rates'!#REF!</f>
        <v>#REF!</v>
      </c>
      <c r="Z17" s="222" t="e">
        <f>'Rider Rates'!#REF!</f>
        <v>#REF!</v>
      </c>
      <c r="AA17" s="222" t="e">
        <f>'Rider Rates'!#REF!</f>
        <v>#REF!</v>
      </c>
      <c r="AB17" s="222" t="e">
        <f>'Rider Rates'!#REF!</f>
        <v>#REF!</v>
      </c>
      <c r="AC17" s="222" t="e">
        <f>'Rider Rates'!#REF!</f>
        <v>#REF!</v>
      </c>
      <c r="AD17" s="222" t="e">
        <f>'Rider Rates'!#REF!</f>
        <v>#REF!</v>
      </c>
    </row>
    <row r="18" spans="1:221" x14ac:dyDescent="0.2">
      <c r="A18" s="18"/>
      <c r="B18" s="18"/>
      <c r="C18" s="18"/>
      <c r="D18" s="18"/>
      <c r="E18" s="18"/>
      <c r="F18" s="18"/>
      <c r="G18" s="8" t="s">
        <v>65</v>
      </c>
      <c r="H18" s="8" t="s">
        <v>66</v>
      </c>
      <c r="I18" s="8" t="s">
        <v>67</v>
      </c>
      <c r="J18" s="112" t="s">
        <v>34</v>
      </c>
      <c r="K18" s="18"/>
      <c r="L18" s="131" t="s">
        <v>65</v>
      </c>
      <c r="M18" s="131" t="s">
        <v>66</v>
      </c>
      <c r="N18" s="131" t="s">
        <v>67</v>
      </c>
      <c r="O18" s="132" t="s">
        <v>34</v>
      </c>
      <c r="P18" s="43" t="s">
        <v>57</v>
      </c>
      <c r="R18" t="s">
        <v>166</v>
      </c>
      <c r="S18" s="222" t="e">
        <f>'Rider Rates'!#REF!</f>
        <v>#REF!</v>
      </c>
      <c r="T18" s="222" t="e">
        <f>'Rider Rates'!#REF!</f>
        <v>#REF!</v>
      </c>
      <c r="U18" s="222" t="e">
        <f>'Rider Rates'!#REF!</f>
        <v>#REF!</v>
      </c>
      <c r="V18" s="222" t="e">
        <f>'Rider Rates'!#REF!</f>
        <v>#REF!</v>
      </c>
      <c r="W18" s="222" t="e">
        <f>'Rider Rates'!#REF!</f>
        <v>#REF!</v>
      </c>
      <c r="X18" s="222" t="e">
        <f>'Rider Rates'!#REF!</f>
        <v>#REF!</v>
      </c>
      <c r="Y18" s="222" t="e">
        <f>'Rider Rates'!#REF!</f>
        <v>#REF!</v>
      </c>
      <c r="Z18" s="222" t="e">
        <f>'Rider Rates'!#REF!</f>
        <v>#REF!</v>
      </c>
      <c r="AA18" s="222" t="e">
        <f>'Rider Rates'!#REF!</f>
        <v>#REF!</v>
      </c>
      <c r="AB18" s="222" t="e">
        <f>'Rider Rates'!#REF!</f>
        <v>#REF!</v>
      </c>
      <c r="AC18" s="222" t="e">
        <f>'Rider Rates'!#REF!</f>
        <v>#REF!</v>
      </c>
      <c r="AD18" s="222" t="e">
        <f>'Rider Rates'!#REF!</f>
        <v>#REF!</v>
      </c>
    </row>
    <row r="19" spans="1:221" x14ac:dyDescent="0.2">
      <c r="A19" t="s">
        <v>32</v>
      </c>
      <c r="G19" s="83"/>
      <c r="H19" s="83"/>
      <c r="I19" s="125">
        <v>10</v>
      </c>
      <c r="J19" s="125">
        <f>SUM(G19:I19)</f>
        <v>10</v>
      </c>
      <c r="L19" s="125"/>
      <c r="M19" s="125"/>
      <c r="N19" s="125">
        <f>I19</f>
        <v>10</v>
      </c>
      <c r="O19" s="125">
        <f>+SUM(L19:N19)</f>
        <v>10</v>
      </c>
      <c r="P19" s="245">
        <f>'Rider Rates'!$D$7</f>
        <v>44531</v>
      </c>
      <c r="R19" s="3" t="s">
        <v>192</v>
      </c>
      <c r="S19">
        <f>'Rider Rates'!$C$21</f>
        <v>0.10589</v>
      </c>
      <c r="T19">
        <f>'Rider Rates'!$C$21</f>
        <v>0.10589</v>
      </c>
      <c r="U19">
        <f>'Rider Rates'!$C$21</f>
        <v>0.10589</v>
      </c>
      <c r="V19">
        <f>'Rider Rates'!$C$21</f>
        <v>0.10589</v>
      </c>
      <c r="W19">
        <f>'Rider Rates'!$C$21</f>
        <v>0.10589</v>
      </c>
      <c r="X19">
        <f>'Rider Rates'!$B$21</f>
        <v>0.10589</v>
      </c>
      <c r="Y19">
        <f>'Rider Rates'!$B$21</f>
        <v>0.10589</v>
      </c>
      <c r="Z19">
        <f>'Rider Rates'!$B$21</f>
        <v>0.10589</v>
      </c>
      <c r="AA19">
        <f>'Rider Rates'!$B$21</f>
        <v>0.10589</v>
      </c>
      <c r="AB19">
        <f>'Rider Rates'!$C$21</f>
        <v>0.10589</v>
      </c>
      <c r="AC19">
        <f>'Rider Rates'!$C$21</f>
        <v>0.10589</v>
      </c>
      <c r="AD19">
        <f>'Rider Rates'!$C$21</f>
        <v>0.10589</v>
      </c>
    </row>
    <row r="20" spans="1:221" x14ac:dyDescent="0.2">
      <c r="A20" s="18" t="s">
        <v>248</v>
      </c>
      <c r="B20" s="18"/>
      <c r="C20" s="18"/>
      <c r="D20" s="100">
        <f>C15</f>
        <v>0</v>
      </c>
      <c r="E20" s="124" t="s">
        <v>45</v>
      </c>
      <c r="F20" s="20" t="s">
        <v>8</v>
      </c>
      <c r="G20" s="165"/>
      <c r="H20" s="83"/>
      <c r="I20" s="165">
        <v>4.2699999999999996</v>
      </c>
      <c r="J20" s="126">
        <f>SUM(G20:I20)</f>
        <v>4.2699999999999996</v>
      </c>
      <c r="K20" t="s">
        <v>42</v>
      </c>
      <c r="L20" s="125"/>
      <c r="M20" s="125"/>
      <c r="N20" s="125">
        <f>IF($C$14&lt;0,0,ROUND($D20*I20,2))</f>
        <v>0</v>
      </c>
      <c r="O20" s="125">
        <f>+SUM(L20:N20)</f>
        <v>0</v>
      </c>
      <c r="P20" s="245">
        <f>'Rider Rates'!$D$7</f>
        <v>44531</v>
      </c>
      <c r="R20" s="3"/>
    </row>
    <row r="21" spans="1:221" x14ac:dyDescent="0.2">
      <c r="A21" s="96" t="s">
        <v>75</v>
      </c>
      <c r="B21" s="37"/>
      <c r="C21" s="37"/>
      <c r="D21" s="38"/>
      <c r="E21" s="38"/>
      <c r="F21" s="37"/>
      <c r="G21" s="37"/>
      <c r="I21" s="40"/>
      <c r="K21" s="39"/>
      <c r="L21" s="95"/>
      <c r="M21" s="54"/>
      <c r="N21" s="95">
        <f>SUM(N19:N20)</f>
        <v>10</v>
      </c>
      <c r="O21" s="95">
        <f>SUM(O19:O20)</f>
        <v>10</v>
      </c>
      <c r="R21" s="107"/>
      <c r="S21" s="108"/>
      <c r="T21" s="109"/>
      <c r="U21" s="78"/>
      <c r="V21" s="110"/>
      <c r="W21" s="78"/>
      <c r="X21" s="78"/>
      <c r="Y21" s="78"/>
      <c r="Z21" s="78"/>
      <c r="AA21" s="78"/>
      <c r="AB21" s="78"/>
      <c r="AC21" s="78"/>
      <c r="AD21" s="78"/>
    </row>
    <row r="22" spans="1:221" x14ac:dyDescent="0.2">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70</v>
      </c>
      <c r="B23" s="166"/>
      <c r="C23" s="166"/>
      <c r="D23" s="167"/>
      <c r="E23" s="167"/>
      <c r="F23" s="166"/>
      <c r="G23" s="167"/>
      <c r="H23" s="167"/>
      <c r="I23" s="167"/>
      <c r="J23" s="167"/>
      <c r="K23" s="167"/>
      <c r="L23" s="167"/>
      <c r="M23" s="167"/>
      <c r="N23" s="167"/>
      <c r="O23" s="167"/>
      <c r="P23" s="167"/>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
      <c r="A25" s="99" t="s">
        <v>79</v>
      </c>
      <c r="B25" s="176"/>
      <c r="C25" s="176"/>
      <c r="D25" s="100">
        <f>IF($C$14&lt;0,0,IF($C$14&gt;833000,833000,$C$14))</f>
        <v>1000</v>
      </c>
      <c r="E25" s="101" t="s">
        <v>41</v>
      </c>
      <c r="F25" s="102" t="s">
        <v>8</v>
      </c>
      <c r="G25" s="103"/>
      <c r="H25" s="103"/>
      <c r="I25" s="103">
        <f>'Rider Rates'!$B$4</f>
        <v>5.9216E-3</v>
      </c>
      <c r="J25" s="201">
        <f t="shared" ref="J25:J41" si="0">SUM(G25:I25)</f>
        <v>5.9216E-3</v>
      </c>
      <c r="K25" s="104" t="s">
        <v>42</v>
      </c>
      <c r="L25" s="105"/>
      <c r="M25" s="105"/>
      <c r="N25" s="105">
        <f t="shared" ref="N25:N30" si="1">ROUND(D25*I25,2)</f>
        <v>5.92</v>
      </c>
      <c r="O25" s="105">
        <f t="shared" ref="O25:O34" si="2">SUM(L25:N25)</f>
        <v>5.92</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99" t="s">
        <v>80</v>
      </c>
      <c r="B26" s="78"/>
      <c r="C26" s="78"/>
      <c r="D26" s="123">
        <f>IF($C$14&gt;833000,$C$14-833000,0)</f>
        <v>0</v>
      </c>
      <c r="E26" s="101" t="s">
        <v>41</v>
      </c>
      <c r="F26" s="102" t="s">
        <v>8</v>
      </c>
      <c r="G26" s="103"/>
      <c r="H26" s="103"/>
      <c r="I26" s="103">
        <f>'Rider Rates'!$B$5</f>
        <v>1.7560000000000001E-4</v>
      </c>
      <c r="J26" s="201">
        <f t="shared" si="0"/>
        <v>1.7560000000000001E-4</v>
      </c>
      <c r="K26" s="104" t="s">
        <v>42</v>
      </c>
      <c r="L26" s="105"/>
      <c r="M26" s="105"/>
      <c r="N26" s="105">
        <f t="shared" si="1"/>
        <v>0</v>
      </c>
      <c r="O26" s="105">
        <f t="shared" si="2"/>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97</v>
      </c>
      <c r="B27" s="78"/>
      <c r="C27" s="78"/>
      <c r="D27" s="100">
        <f>IF($C$14&lt;0,0,IF($C$14&gt;2000,2000,$C$14))</f>
        <v>1000</v>
      </c>
      <c r="E27" s="101" t="s">
        <v>41</v>
      </c>
      <c r="F27" s="102" t="s">
        <v>8</v>
      </c>
      <c r="G27" s="103"/>
      <c r="H27" s="103"/>
      <c r="I27" s="177">
        <f>'Rider Rates'!$B$8</f>
        <v>4.6499999999999996E-3</v>
      </c>
      <c r="J27" s="177">
        <f t="shared" si="0"/>
        <v>4.6499999999999996E-3</v>
      </c>
      <c r="K27" s="104" t="s">
        <v>42</v>
      </c>
      <c r="L27" s="105"/>
      <c r="M27" s="105"/>
      <c r="N27" s="105">
        <f t="shared" si="1"/>
        <v>4.6500000000000004</v>
      </c>
      <c r="O27" s="105">
        <f t="shared" si="2"/>
        <v>4.6500000000000004</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98</v>
      </c>
      <c r="B28" s="78"/>
      <c r="C28" s="78"/>
      <c r="D28" s="100">
        <f>IF($C$14&lt;=2000,0,IF($C$14=0,0,IF($C$14-2000&gt;13000,13000,$C$14-2000)))</f>
        <v>0</v>
      </c>
      <c r="E28" s="101" t="s">
        <v>41</v>
      </c>
      <c r="F28" s="102" t="s">
        <v>8</v>
      </c>
      <c r="G28" s="103"/>
      <c r="H28" s="103"/>
      <c r="I28" s="177">
        <f>'Rider Rates'!$B$9</f>
        <v>4.1900000000000001E-3</v>
      </c>
      <c r="J28" s="177">
        <f t="shared" si="0"/>
        <v>4.1900000000000001E-3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99</v>
      </c>
      <c r="B29" s="78"/>
      <c r="C29" s="78"/>
      <c r="D29" s="100">
        <f>IF($C$14=0,0,IF($C$14-15000&gt;=0,$C$14-15000,0))</f>
        <v>0</v>
      </c>
      <c r="E29" s="101" t="s">
        <v>41</v>
      </c>
      <c r="F29" s="102" t="s">
        <v>8</v>
      </c>
      <c r="G29" s="103"/>
      <c r="H29" s="103"/>
      <c r="I29" s="177">
        <f>'Rider Rates'!$B$10</f>
        <v>3.63E-3</v>
      </c>
      <c r="J29" s="177">
        <f t="shared" si="0"/>
        <v>3.63E-3</v>
      </c>
      <c r="K29" s="104" t="s">
        <v>42</v>
      </c>
      <c r="L29" s="105"/>
      <c r="M29" s="105"/>
      <c r="N29" s="105">
        <f t="shared" si="1"/>
        <v>0</v>
      </c>
      <c r="O29" s="105">
        <f t="shared" si="2"/>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114</v>
      </c>
      <c r="B30" s="78"/>
      <c r="C30" s="78"/>
      <c r="D30" s="195">
        <f>$N$21</f>
        <v>10</v>
      </c>
      <c r="E30" s="101" t="s">
        <v>122</v>
      </c>
      <c r="F30" s="102" t="s">
        <v>8</v>
      </c>
      <c r="G30" s="103"/>
      <c r="H30" s="103"/>
      <c r="I30" s="178">
        <f>'Rider Rates'!$B$12</f>
        <v>0</v>
      </c>
      <c r="J30" s="178">
        <f t="shared" si="0"/>
        <v>0</v>
      </c>
      <c r="K30" s="104"/>
      <c r="L30" s="105"/>
      <c r="M30" s="105"/>
      <c r="N30" s="105">
        <f t="shared" si="1"/>
        <v>0</v>
      </c>
      <c r="O30" s="105">
        <f t="shared" si="2"/>
        <v>0</v>
      </c>
      <c r="P30" s="245">
        <f>'Rider Rates'!$D$12</f>
        <v>44531</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210" t="s">
        <v>160</v>
      </c>
      <c r="B31" s="78"/>
      <c r="C31" s="78"/>
      <c r="D31" s="100">
        <f>IF($C$14&lt;0,0,$C$14)</f>
        <v>1000</v>
      </c>
      <c r="E31" s="101" t="s">
        <v>41</v>
      </c>
      <c r="F31" s="102" t="s">
        <v>8</v>
      </c>
      <c r="G31" s="103"/>
      <c r="H31" s="103"/>
      <c r="I31" s="103">
        <f>'Rider Rates'!B15</f>
        <v>0</v>
      </c>
      <c r="J31" s="103">
        <f>SUM(G31:I31)</f>
        <v>0</v>
      </c>
      <c r="K31" s="104" t="s">
        <v>42</v>
      </c>
      <c r="L31" s="105"/>
      <c r="M31" s="105"/>
      <c r="N31" s="105">
        <f>ROUND(D31*I31,2)</f>
        <v>0</v>
      </c>
      <c r="O31" s="105">
        <f t="shared" si="2"/>
        <v>0</v>
      </c>
      <c r="P31" s="245">
        <f>'Rider Rates'!$D$15</f>
        <v>45383</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41" t="s">
        <v>239</v>
      </c>
      <c r="B32" s="78"/>
      <c r="C32" s="78"/>
      <c r="D32" s="195">
        <f>$N$21</f>
        <v>10</v>
      </c>
      <c r="E32" s="101" t="s">
        <v>122</v>
      </c>
      <c r="F32" s="102" t="s">
        <v>8</v>
      </c>
      <c r="G32" s="103"/>
      <c r="H32" s="103"/>
      <c r="I32" s="178">
        <f>'Rider Rates'!$B$18</f>
        <v>0</v>
      </c>
      <c r="J32" s="178">
        <f>SUM(G32:I32)</f>
        <v>0</v>
      </c>
      <c r="K32" s="104"/>
      <c r="L32" s="105"/>
      <c r="M32" s="105"/>
      <c r="N32" s="105">
        <f>ROUND($D$32*'Rider Rates'!$B$18,2)+ROUND($D$32*'Rider Rates'!$E$18,2)</f>
        <v>0</v>
      </c>
      <c r="O32" s="105">
        <f t="shared" si="2"/>
        <v>0</v>
      </c>
      <c r="P32" s="245">
        <f>MAX('Rider Rates'!$D$18,'Rider Rates'!$F$18)</f>
        <v>44531</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41" t="s">
        <v>212</v>
      </c>
      <c r="B33" s="78"/>
      <c r="C33" s="78"/>
      <c r="D33" s="100"/>
      <c r="E33" s="101" t="s">
        <v>115</v>
      </c>
      <c r="F33" s="102"/>
      <c r="G33" s="103"/>
      <c r="H33" s="103"/>
      <c r="I33" s="103">
        <f>'Rider Rates'!D45</f>
        <v>1.47</v>
      </c>
      <c r="J33" s="103">
        <f>SUM(G33:I33)</f>
        <v>1.47</v>
      </c>
      <c r="K33" s="104" t="s">
        <v>42</v>
      </c>
      <c r="L33" s="105"/>
      <c r="M33" s="105"/>
      <c r="N33" s="105">
        <f>J33</f>
        <v>1.47</v>
      </c>
      <c r="O33" s="105">
        <f>SUM(L33:N33)</f>
        <v>1.47</v>
      </c>
      <c r="P33" s="245">
        <f>'Rider Rates'!E45</f>
        <v>45292</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190</v>
      </c>
      <c r="B34" s="78"/>
      <c r="C34" s="78"/>
      <c r="D34" s="100">
        <f>IF($C$14&lt;0,0,$C$14)</f>
        <v>1000</v>
      </c>
      <c r="E34" s="113" t="s">
        <v>41</v>
      </c>
      <c r="F34" s="102" t="s">
        <v>8</v>
      </c>
      <c r="G34" s="103"/>
      <c r="H34" s="103">
        <f>'Rider Rates'!$B$52</f>
        <v>4.3837099999999997E-2</v>
      </c>
      <c r="I34" s="103"/>
      <c r="J34" s="103">
        <f>SUM(G34:I34)</f>
        <v>4.3837099999999997E-2</v>
      </c>
      <c r="K34" s="104" t="s">
        <v>42</v>
      </c>
      <c r="L34" s="105"/>
      <c r="M34" s="105">
        <f>ROUND(D34*H34,2)</f>
        <v>43.84</v>
      </c>
      <c r="N34" s="205"/>
      <c r="O34" s="105">
        <f t="shared" si="2"/>
        <v>43.84</v>
      </c>
      <c r="P34" s="245">
        <f>'Rider Rates'!$D$52</f>
        <v>45383</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99" t="s">
        <v>96</v>
      </c>
      <c r="B35" s="78"/>
      <c r="C35" s="78"/>
      <c r="D35" s="100">
        <f>IF('Customer Info'!C34=TRUE,0,IF($C$14&lt;0,0,$C$14))</f>
        <v>1000</v>
      </c>
      <c r="E35" s="101" t="s">
        <v>41</v>
      </c>
      <c r="F35" s="102" t="s">
        <v>8</v>
      </c>
      <c r="G35" s="103"/>
      <c r="H35" s="103"/>
      <c r="I35" s="103">
        <f>'Rider Rates'!$B$64+'Rider Rates'!$C$64</f>
        <v>0</v>
      </c>
      <c r="J35" s="103">
        <f t="shared" si="0"/>
        <v>0</v>
      </c>
      <c r="K35" s="104" t="s">
        <v>42</v>
      </c>
      <c r="L35" s="105"/>
      <c r="M35" s="105"/>
      <c r="N35" s="105">
        <f>ROUND($D$35*'Rider Rates'!$B$64,2)+ROUND($D$35*'Rider Rates'!$C$64,2)</f>
        <v>0</v>
      </c>
      <c r="O35" s="105">
        <f>SUM(L35:N35)</f>
        <v>0</v>
      </c>
      <c r="P35" s="245">
        <f>'Rider Rates'!$D$64</f>
        <v>44531</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99" t="s">
        <v>81</v>
      </c>
      <c r="B36" s="78"/>
      <c r="C36" s="78"/>
      <c r="D36" s="195">
        <f>$N$21</f>
        <v>10</v>
      </c>
      <c r="E36" s="101" t="s">
        <v>122</v>
      </c>
      <c r="F36" s="102" t="s">
        <v>8</v>
      </c>
      <c r="G36" s="111"/>
      <c r="H36" s="112"/>
      <c r="I36" s="120">
        <f>'Rider Rates'!$B$80</f>
        <v>2.9347000000000002E-2</v>
      </c>
      <c r="J36" s="120">
        <f t="shared" si="0"/>
        <v>2.9347000000000002E-2</v>
      </c>
      <c r="K36" s="104"/>
      <c r="L36" s="105"/>
      <c r="M36" s="105"/>
      <c r="N36" s="105">
        <f>ROUND(D36*I36,2)</f>
        <v>0.28999999999999998</v>
      </c>
      <c r="O36" s="105">
        <f>SUM(L36:N36)</f>
        <v>0.28999999999999998</v>
      </c>
      <c r="P36" s="245">
        <f>'Rider Rates'!$D$80</f>
        <v>45383</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99" t="s">
        <v>82</v>
      </c>
      <c r="B37" s="78"/>
      <c r="C37" s="78"/>
      <c r="D37" s="195">
        <f>$N$21</f>
        <v>10</v>
      </c>
      <c r="E37" s="101" t="s">
        <v>122</v>
      </c>
      <c r="F37" s="102" t="s">
        <v>8</v>
      </c>
      <c r="G37" s="114"/>
      <c r="H37" s="115"/>
      <c r="I37" s="120">
        <f>'Rider Rates'!$B$82</f>
        <v>6.6985699999999995E-2</v>
      </c>
      <c r="J37" s="120">
        <f t="shared" si="0"/>
        <v>6.6985699999999995E-2</v>
      </c>
      <c r="K37" s="104"/>
      <c r="L37" s="105"/>
      <c r="M37" s="105"/>
      <c r="N37" s="105">
        <f>ROUND(D37*I37,2)</f>
        <v>0.67</v>
      </c>
      <c r="O37" s="105">
        <f>SUM(L37:N37)</f>
        <v>0.67</v>
      </c>
      <c r="P37" s="245">
        <f>'Rider Rates'!$D$82</f>
        <v>45167</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10" t="s">
        <v>208</v>
      </c>
      <c r="B38" s="78"/>
      <c r="C38" s="78"/>
      <c r="D38" s="195"/>
      <c r="E38" s="113" t="s">
        <v>115</v>
      </c>
      <c r="F38" s="106"/>
      <c r="G38" s="114"/>
      <c r="H38" s="115"/>
      <c r="I38" s="196">
        <f>'Rider Rates'!$B$85</f>
        <v>1.95</v>
      </c>
      <c r="J38" s="196">
        <f t="shared" si="0"/>
        <v>1.95</v>
      </c>
      <c r="K38" s="104"/>
      <c r="L38" s="105"/>
      <c r="M38" s="105"/>
      <c r="N38" s="105">
        <f>I38</f>
        <v>1.95</v>
      </c>
      <c r="O38" s="105">
        <f>SUM(L38:N38)</f>
        <v>1.95</v>
      </c>
      <c r="P38" s="245">
        <f>'Rider Rates'!$D$85</f>
        <v>45259</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157</v>
      </c>
      <c r="B39" s="78"/>
      <c r="C39" s="78"/>
      <c r="D39" s="195">
        <f>$N$21</f>
        <v>10</v>
      </c>
      <c r="E39" s="101" t="s">
        <v>122</v>
      </c>
      <c r="F39" s="102" t="s">
        <v>8</v>
      </c>
      <c r="G39" s="114"/>
      <c r="H39" s="115"/>
      <c r="I39" s="120">
        <f>'Rider Rates'!$B$100</f>
        <v>0.21398439999999999</v>
      </c>
      <c r="J39" s="120">
        <f t="shared" si="0"/>
        <v>0.21398439999999999</v>
      </c>
      <c r="K39" s="104"/>
      <c r="L39" s="105"/>
      <c r="M39" s="105"/>
      <c r="N39" s="105">
        <f>ROUND(D39*I39,2)</f>
        <v>2.14</v>
      </c>
      <c r="O39" s="105">
        <f t="shared" ref="O39:O43" si="3">SUM(L39:N39)</f>
        <v>2.14</v>
      </c>
      <c r="P39" s="245">
        <f>'Rider Rates'!$D$100</f>
        <v>45351</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210" t="s">
        <v>211</v>
      </c>
      <c r="B40" s="78"/>
      <c r="C40" s="78"/>
      <c r="D40" s="195"/>
      <c r="E40" s="113" t="s">
        <v>115</v>
      </c>
      <c r="F40" s="106"/>
      <c r="G40" s="114"/>
      <c r="H40" s="115"/>
      <c r="I40" s="196">
        <f>'Rider Rates'!$B$103</f>
        <v>0</v>
      </c>
      <c r="J40" s="196">
        <f t="shared" si="0"/>
        <v>0</v>
      </c>
      <c r="K40" s="104"/>
      <c r="L40" s="105"/>
      <c r="M40" s="105"/>
      <c r="N40" s="105">
        <f>I40</f>
        <v>0</v>
      </c>
      <c r="O40" s="105">
        <f t="shared" si="3"/>
        <v>0</v>
      </c>
      <c r="P40" s="245">
        <f>'Rider Rates'!$D$103</f>
        <v>44894</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219</v>
      </c>
      <c r="B41" s="78"/>
      <c r="C41" s="78"/>
      <c r="D41" s="195"/>
      <c r="E41" s="113" t="s">
        <v>115</v>
      </c>
      <c r="F41" s="106"/>
      <c r="G41" s="114"/>
      <c r="H41" s="115"/>
      <c r="I41" s="258">
        <f>'Rider Rates'!B116</f>
        <v>1.26</v>
      </c>
      <c r="J41" s="196">
        <f t="shared" si="0"/>
        <v>1.26</v>
      </c>
      <c r="K41" s="104"/>
      <c r="L41" s="105"/>
      <c r="M41" s="105"/>
      <c r="N41" s="260">
        <f>I41</f>
        <v>1.26</v>
      </c>
      <c r="O41" s="105">
        <f t="shared" si="3"/>
        <v>1.26</v>
      </c>
      <c r="P41" s="245">
        <f>'Rider Rates'!D116</f>
        <v>45226</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210</v>
      </c>
      <c r="B42" s="78"/>
      <c r="C42" s="78"/>
      <c r="D42" s="100">
        <f>IF($C$14&lt;1,0,$C$14)</f>
        <v>1000</v>
      </c>
      <c r="E42" s="101" t="s">
        <v>41</v>
      </c>
      <c r="F42" s="249" t="s">
        <v>8</v>
      </c>
      <c r="G42" s="103"/>
      <c r="H42" s="103"/>
      <c r="I42" s="237">
        <f>'Rider Rates'!$B$112</f>
        <v>-2.3000000000000001E-4</v>
      </c>
      <c r="J42" s="237">
        <f>SUM(G42:I42)</f>
        <v>-2.3000000000000001E-4</v>
      </c>
      <c r="K42" s="104" t="s">
        <v>42</v>
      </c>
      <c r="L42" s="105"/>
      <c r="M42" s="105"/>
      <c r="N42" s="105">
        <f>D42*J42</f>
        <v>-0.23</v>
      </c>
      <c r="O42" s="105">
        <f t="shared" si="3"/>
        <v>-0.23</v>
      </c>
      <c r="P42" s="245">
        <f>'Rider Rates'!D112</f>
        <v>44531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41" t="s">
        <v>232</v>
      </c>
      <c r="B43" s="78"/>
      <c r="C43" s="78"/>
      <c r="D43" s="100"/>
      <c r="E43" s="101" t="s">
        <v>115</v>
      </c>
      <c r="F43" s="102" t="s">
        <v>8</v>
      </c>
      <c r="G43" s="263"/>
      <c r="H43" s="263"/>
      <c r="I43" s="263">
        <f>'Rider Rates'!$B$120</f>
        <v>0.1</v>
      </c>
      <c r="J43" s="263">
        <f>SUM(G43:I43)</f>
        <v>0.1</v>
      </c>
      <c r="K43" s="104"/>
      <c r="L43" s="209"/>
      <c r="M43" s="209"/>
      <c r="N43" s="209">
        <f>J43</f>
        <v>0.1</v>
      </c>
      <c r="O43" s="209">
        <f t="shared" si="3"/>
        <v>0.1</v>
      </c>
      <c r="P43" s="264">
        <f>'Rider Rates'!$E$120</f>
        <v>44927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41" t="s">
        <v>244</v>
      </c>
      <c r="B44" s="78"/>
      <c r="C44" s="78"/>
      <c r="D44" s="100">
        <f>C14</f>
        <v>1000</v>
      </c>
      <c r="E44" s="101" t="s">
        <v>41</v>
      </c>
      <c r="F44" s="249" t="s">
        <v>8</v>
      </c>
      <c r="G44" s="103"/>
      <c r="H44" s="103"/>
      <c r="I44" s="103">
        <f>'Rider Rates'!$B$125</f>
        <v>0</v>
      </c>
      <c r="J44" s="237">
        <f>SUM(G44:I44)</f>
        <v>0</v>
      </c>
      <c r="K44" s="104" t="s">
        <v>42</v>
      </c>
      <c r="L44" s="105"/>
      <c r="M44" s="105"/>
      <c r="N44" s="105">
        <f>D44*J44</f>
        <v>0</v>
      </c>
      <c r="O44" s="105">
        <f>SUM(L44:N44)</f>
        <v>0</v>
      </c>
      <c r="P44" s="245">
        <f>'Rider Rates'!D125</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41" t="s">
        <v>243</v>
      </c>
      <c r="B45" s="78"/>
      <c r="C45" s="78"/>
      <c r="D45" s="100"/>
      <c r="E45" s="101" t="s">
        <v>115</v>
      </c>
      <c r="F45" s="102" t="s">
        <v>8</v>
      </c>
      <c r="G45" s="263"/>
      <c r="H45" s="263"/>
      <c r="I45" s="263">
        <f>'Rider Rates'!$B$132</f>
        <v>0</v>
      </c>
      <c r="J45" s="263">
        <f>SUM(G45:I45)</f>
        <v>0</v>
      </c>
      <c r="K45" s="104"/>
      <c r="L45" s="209"/>
      <c r="M45" s="209"/>
      <c r="N45" s="209">
        <f>J45</f>
        <v>0</v>
      </c>
      <c r="O45" s="209">
        <f>SUM(L45:N45)</f>
        <v>0</v>
      </c>
      <c r="P45" s="264">
        <f>'Rider Rates'!$D$128</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241" t="s">
        <v>245</v>
      </c>
      <c r="B46" s="78"/>
      <c r="C46" s="78"/>
      <c r="D46" s="100"/>
      <c r="E46" s="101"/>
      <c r="F46" s="102"/>
      <c r="G46" s="263"/>
      <c r="H46" s="263"/>
      <c r="I46" s="263"/>
      <c r="J46" s="263"/>
      <c r="K46" s="104"/>
      <c r="L46" s="209"/>
      <c r="M46" s="209"/>
      <c r="N46" s="209"/>
      <c r="O46" s="209"/>
      <c r="P46" s="264"/>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179" t="s">
        <v>71</v>
      </c>
      <c r="B47" s="148"/>
      <c r="C47" s="148"/>
      <c r="D47" s="180"/>
      <c r="E47" s="181"/>
      <c r="F47" s="182"/>
      <c r="G47" s="182"/>
      <c r="H47" s="182"/>
      <c r="I47" s="182"/>
      <c r="J47" s="182"/>
      <c r="K47" s="183"/>
      <c r="L47" s="169">
        <f>SUM(L25:L46)</f>
        <v>0</v>
      </c>
      <c r="M47" s="169">
        <f t="shared" ref="M47:O47" si="4">SUM(M25:M46)</f>
        <v>43.84</v>
      </c>
      <c r="N47" s="169">
        <f t="shared" si="4"/>
        <v>18.220000000000002</v>
      </c>
      <c r="O47" s="169">
        <f t="shared" si="4"/>
        <v>62.060000000000009</v>
      </c>
      <c r="P47" s="184"/>
      <c r="Q47" s="106"/>
      <c r="R47" s="166"/>
      <c r="S47" s="166"/>
      <c r="T47" s="189"/>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78"/>
      <c r="B48" s="78"/>
      <c r="C48" s="78"/>
      <c r="D48" s="100"/>
      <c r="E48" s="113"/>
      <c r="F48" s="106"/>
      <c r="G48" s="106"/>
      <c r="H48" s="106"/>
      <c r="I48" s="106"/>
      <c r="J48" s="107"/>
      <c r="K48" s="104"/>
      <c r="L48" s="106"/>
      <c r="M48" s="106"/>
      <c r="N48" s="106"/>
      <c r="O48" s="106"/>
      <c r="P48" s="164"/>
      <c r="Q48" s="106"/>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170"/>
      <c r="B49" s="170"/>
      <c r="C49" s="170"/>
      <c r="D49" s="170"/>
      <c r="E49" s="170"/>
      <c r="F49" s="170"/>
      <c r="G49" s="170"/>
      <c r="H49" s="170"/>
      <c r="I49" s="170"/>
      <c r="J49" s="170"/>
      <c r="K49" s="170"/>
      <c r="L49" s="186">
        <f>L21+L47</f>
        <v>0</v>
      </c>
      <c r="M49" s="186">
        <f>M21+M47</f>
        <v>43.84</v>
      </c>
      <c r="N49" s="186">
        <f>N21+N47</f>
        <v>28.220000000000002</v>
      </c>
      <c r="O49" s="187">
        <f>O21+O47</f>
        <v>72.06</v>
      </c>
      <c r="P49" s="187"/>
      <c r="Q49" s="106"/>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78"/>
      <c r="B50" s="78"/>
      <c r="C50" s="78"/>
      <c r="D50" s="78"/>
      <c r="E50" s="78"/>
      <c r="F50" s="78"/>
      <c r="G50" s="78"/>
      <c r="H50" s="78"/>
      <c r="I50" s="78"/>
      <c r="J50" s="78"/>
      <c r="K50" s="78"/>
      <c r="L50" s="78"/>
      <c r="M50" s="78"/>
      <c r="N50" s="151"/>
      <c r="O50" s="151"/>
      <c r="P50" s="151"/>
      <c r="Q50" s="166"/>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166" t="s">
        <v>93</v>
      </c>
      <c r="B51" s="78"/>
      <c r="C51" s="78"/>
      <c r="D51" s="78"/>
      <c r="E51" s="78"/>
      <c r="F51" s="78"/>
      <c r="G51" s="78"/>
      <c r="H51" s="78"/>
      <c r="I51" s="78"/>
      <c r="J51" s="78"/>
      <c r="K51" s="78"/>
      <c r="L51" s="78"/>
      <c r="M51" s="78"/>
      <c r="N51" s="78"/>
      <c r="O51" s="109">
        <f>IF($C$14&lt;=0,MIN(O19,O49), O19)</f>
        <v>10</v>
      </c>
      <c r="P51" s="151"/>
      <c r="Q51" s="166"/>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78"/>
      <c r="B52" s="166"/>
      <c r="C52" s="166"/>
      <c r="D52" s="166"/>
      <c r="E52" s="166"/>
      <c r="F52" s="166"/>
      <c r="G52" s="166"/>
      <c r="H52" s="166"/>
      <c r="I52" s="78"/>
      <c r="J52" s="78"/>
      <c r="K52" s="78"/>
      <c r="L52" s="78"/>
      <c r="M52" s="78"/>
      <c r="N52" s="151"/>
      <c r="O52" s="151"/>
      <c r="P52" s="151"/>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148" t="s">
        <v>117</v>
      </c>
      <c r="B53" s="151"/>
      <c r="C53" s="151"/>
      <c r="D53" s="151"/>
      <c r="E53" s="151"/>
      <c r="F53" s="151"/>
      <c r="G53" s="151"/>
      <c r="H53" s="151"/>
      <c r="I53" s="151"/>
      <c r="J53" s="151"/>
      <c r="K53" s="151"/>
      <c r="L53" s="151"/>
      <c r="M53" s="151"/>
      <c r="N53" s="151"/>
      <c r="O53" s="190">
        <f>IF($C$14&lt;0,O49,IF(O49&gt;O51,O49,I48))</f>
        <v>72.06</v>
      </c>
      <c r="P53" s="160"/>
      <c r="Q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78"/>
      <c r="B54" s="151"/>
      <c r="C54" s="151"/>
      <c r="D54" s="151"/>
      <c r="E54" s="151"/>
      <c r="F54" s="151"/>
      <c r="G54" s="151"/>
      <c r="H54" s="151"/>
      <c r="I54" s="151"/>
      <c r="J54" s="151"/>
      <c r="K54" s="151"/>
      <c r="L54" s="151"/>
      <c r="M54" s="151"/>
      <c r="N54" s="151"/>
      <c r="O54" s="138"/>
      <c r="P54" s="160"/>
      <c r="Q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78"/>
      <c r="B55" s="166"/>
      <c r="C55" s="166"/>
      <c r="D55" s="166"/>
      <c r="E55" s="166"/>
      <c r="F55" s="166"/>
      <c r="G55" s="166"/>
      <c r="H55" s="166"/>
      <c r="I55" s="166" t="s">
        <v>121</v>
      </c>
      <c r="J55" s="166"/>
      <c r="K55" s="166"/>
      <c r="L55" s="191"/>
      <c r="M55" s="191"/>
      <c r="N55" s="191"/>
      <c r="O55" s="191">
        <f>ROUND(IF($C$14&lt;1,0,O49/($C$14*100)*10000),2)</f>
        <v>7.21</v>
      </c>
      <c r="P55" s="37" t="s">
        <v>87</v>
      </c>
      <c r="Q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row>
    <row r="56" spans="1:236" x14ac:dyDescent="0.2">
      <c r="A56" s="78"/>
      <c r="B56" s="78"/>
      <c r="C56" s="78"/>
      <c r="D56" s="78"/>
      <c r="E56" s="78"/>
      <c r="F56" s="78"/>
      <c r="G56" s="78"/>
      <c r="H56" s="192"/>
      <c r="I56" s="242" t="s">
        <v>191</v>
      </c>
      <c r="J56" s="78"/>
      <c r="K56" s="78"/>
      <c r="L56" s="78"/>
      <c r="M56" s="78"/>
      <c r="N56" s="78"/>
      <c r="O56" s="243">
        <f>ROUND(IF($C$14&lt;1,0,(L49)/($C$14*100)*10000),2)</f>
        <v>0</v>
      </c>
      <c r="P56" s="25" t="s">
        <v>87</v>
      </c>
      <c r="Q56" s="78"/>
      <c r="AE56" s="78"/>
      <c r="AF56" s="78"/>
      <c r="AG56" s="78"/>
      <c r="AH56" s="78"/>
      <c r="AI56" s="78"/>
      <c r="AJ56" s="78"/>
      <c r="AK56" s="78"/>
      <c r="AL56" s="78"/>
      <c r="AM56" s="78"/>
      <c r="AN56" s="78"/>
      <c r="AO56" s="78"/>
      <c r="AP56" s="78"/>
      <c r="AQ56" s="78"/>
      <c r="AR56" s="78"/>
      <c r="AS56" s="78"/>
      <c r="AT56" s="78"/>
      <c r="HE56" s="78"/>
      <c r="HF56" s="78"/>
      <c r="HG56" s="78"/>
      <c r="HH56" s="78"/>
      <c r="HI56" s="78"/>
      <c r="HJ56" s="78"/>
      <c r="HK56" s="78"/>
      <c r="HL56" s="78"/>
      <c r="HM56" s="78"/>
      <c r="HN56" s="78"/>
    </row>
    <row r="57" spans="1:236" x14ac:dyDescent="0.2">
      <c r="A57" s="78"/>
    </row>
    <row r="58" spans="1:236" x14ac:dyDescent="0.2">
      <c r="A58" s="78"/>
    </row>
    <row r="59" spans="1:236" x14ac:dyDescent="0.2">
      <c r="A59" s="78"/>
    </row>
    <row r="60" spans="1:236" x14ac:dyDescent="0.2">
      <c r="A60" s="78"/>
    </row>
    <row r="61" spans="1:236" x14ac:dyDescent="0.2">
      <c r="A61" s="78"/>
    </row>
    <row r="62" spans="1:236" x14ac:dyDescent="0.2">
      <c r="A62" s="78"/>
    </row>
  </sheetData>
  <sheetProtection algorithmName="SHA-512" hashValue="b8USlEUM9QMEC0Owmiu5D43Kws2uoQqJaB7702aF7QHqrH3/vMl/cFhHgj1HSnv+mJXeIV4krDzCUXdCe+NMrA==" saltValue="chspZdUccQof3xs5Ch2FWw==" spinCount="100000" sheet="1" objects="1" scenarios="1"/>
  <mergeCells count="9">
    <mergeCell ref="A11:I11"/>
    <mergeCell ref="G17:J17"/>
    <mergeCell ref="L17:O17"/>
    <mergeCell ref="A1:P1"/>
    <mergeCell ref="A2:P2"/>
    <mergeCell ref="A3:P3"/>
    <mergeCell ref="A4:P4"/>
    <mergeCell ref="B5:O5"/>
    <mergeCell ref="A6:K6"/>
  </mergeCells>
  <printOptions horizontalCentered="1"/>
  <pageMargins left="0" right="0" top="0.5" bottom="0.5" header="0.5" footer="0.5"/>
  <pageSetup scale="57"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9874" r:id="rId5" name="Button 2">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9875"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IB61"/>
  <sheetViews>
    <sheetView showGridLines="0" zoomScale="80" zoomScaleNormal="80" workbookViewId="0">
      <selection activeCell="G42" sqref="G42"/>
    </sheetView>
  </sheetViews>
  <sheetFormatPr defaultRowHeight="12.75" x14ac:dyDescent="0.2"/>
  <cols>
    <col min="1" max="1" width="31" customWidth="1"/>
    <col min="2" max="2" width="2.140625" customWidth="1"/>
    <col min="3" max="3" width="21.140625" customWidth="1"/>
    <col min="4" max="4" width="15.28515625" customWidth="1"/>
    <col min="5" max="5" width="10.140625" customWidth="1"/>
    <col min="6" max="6" width="5.5703125" customWidth="1"/>
    <col min="7" max="8" width="13.28515625" customWidth="1"/>
    <col min="9" max="9" width="14.5703125" customWidth="1"/>
    <col min="10" max="10" width="13.28515625" customWidth="1"/>
    <col min="11" max="11" width="7" customWidth="1"/>
    <col min="12" max="12" width="15.140625" customWidth="1"/>
    <col min="13" max="13" width="17.28515625" bestFit="1" customWidth="1"/>
    <col min="14" max="14" width="16.7109375" customWidth="1"/>
    <col min="15" max="15" width="19.140625" bestFit="1" customWidth="1"/>
    <col min="16" max="16" width="12.85546875" bestFit="1" customWidth="1"/>
    <col min="18" max="18" width="9.1406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271</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row>
    <row r="6" spans="1:30" x14ac:dyDescent="0.2">
      <c r="A6" s="76">
        <f ca="1">TODAY()</f>
        <v>45371</v>
      </c>
      <c r="B6" s="210" t="s">
        <v>270</v>
      </c>
      <c r="C6" s="76"/>
      <c r="D6" s="76"/>
      <c r="E6" s="76"/>
      <c r="F6" s="76"/>
      <c r="G6" s="76"/>
      <c r="H6" s="76"/>
      <c r="I6" s="76"/>
    </row>
    <row r="7" spans="1:30" ht="26.25" x14ac:dyDescent="0.4">
      <c r="A7" s="369"/>
      <c r="B7" s="369"/>
      <c r="C7" s="369"/>
      <c r="D7" s="369"/>
      <c r="E7" s="369"/>
      <c r="F7" s="369"/>
      <c r="G7" s="369"/>
      <c r="H7" s="369"/>
      <c r="I7" s="369"/>
      <c r="J7" s="369"/>
      <c r="K7" s="369"/>
      <c r="L7" s="369"/>
      <c r="M7" s="369"/>
      <c r="N7" s="369"/>
      <c r="O7" s="369"/>
      <c r="P7" s="369"/>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2"/>
      <c r="K12" s="92"/>
      <c r="L12" s="128"/>
      <c r="M12" s="128"/>
      <c r="N12" s="128"/>
      <c r="O12" s="128"/>
      <c r="P12" s="12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28" t="s">
        <v>27</v>
      </c>
      <c r="B13" s="22"/>
      <c r="C13" s="22"/>
      <c r="D13" s="22"/>
      <c r="E13" s="22"/>
      <c r="F13" s="22"/>
      <c r="G13" s="22"/>
      <c r="H13" s="22"/>
      <c r="I13" s="22"/>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
      <c r="A15" s="31" t="s">
        <v>52</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193"/>
      <c r="Y15" s="193"/>
      <c r="Z15" s="193"/>
      <c r="AA15" s="193"/>
      <c r="AB15" s="193"/>
      <c r="AC15" s="193"/>
      <c r="AD15" s="193"/>
    </row>
    <row r="16" spans="1:30" x14ac:dyDescent="0.2">
      <c r="A16" s="31"/>
      <c r="B16" s="31"/>
      <c r="C16" s="32"/>
      <c r="D16" s="31"/>
      <c r="E16" s="31"/>
      <c r="F16" s="33"/>
      <c r="G16" s="23" t="s">
        <v>15</v>
      </c>
      <c r="H16" s="31"/>
    </row>
    <row r="17" spans="1:221" x14ac:dyDescent="0.2">
      <c r="A17" s="31"/>
      <c r="B17" s="31"/>
      <c r="C17" s="33"/>
      <c r="D17" s="33"/>
      <c r="E17" s="33"/>
      <c r="F17" s="33"/>
      <c r="G17" s="23" t="s">
        <v>15</v>
      </c>
      <c r="H17" s="31"/>
      <c r="I17" s="52" t="s">
        <v>15</v>
      </c>
    </row>
    <row r="19" spans="1:221" x14ac:dyDescent="0.2">
      <c r="A19" s="28" t="s">
        <v>31</v>
      </c>
      <c r="B19" s="22"/>
      <c r="C19" s="22"/>
      <c r="D19" s="22"/>
      <c r="E19" s="22"/>
      <c r="F19" s="22"/>
      <c r="G19" s="362" t="s">
        <v>68</v>
      </c>
      <c r="H19" s="363"/>
      <c r="I19" s="363"/>
      <c r="J19" s="364"/>
      <c r="K19" s="22"/>
      <c r="L19" s="365" t="s">
        <v>69</v>
      </c>
      <c r="M19" s="365"/>
      <c r="N19" s="365"/>
      <c r="O19" s="365"/>
    </row>
    <row r="20" spans="1:221" x14ac:dyDescent="0.2">
      <c r="A20" s="18"/>
      <c r="B20" s="18"/>
      <c r="C20" s="18"/>
      <c r="D20" s="18"/>
      <c r="E20" s="18"/>
      <c r="F20" s="18"/>
      <c r="G20" s="8" t="s">
        <v>65</v>
      </c>
      <c r="H20" s="8" t="s">
        <v>66</v>
      </c>
      <c r="I20" s="8" t="s">
        <v>67</v>
      </c>
      <c r="J20" s="112" t="s">
        <v>34</v>
      </c>
      <c r="K20" s="18"/>
      <c r="L20" s="131" t="s">
        <v>65</v>
      </c>
      <c r="M20" s="131" t="s">
        <v>66</v>
      </c>
      <c r="N20" s="131" t="s">
        <v>67</v>
      </c>
      <c r="O20" s="132" t="s">
        <v>34</v>
      </c>
      <c r="P20" s="43" t="s">
        <v>57</v>
      </c>
    </row>
    <row r="21" spans="1:221" x14ac:dyDescent="0.2">
      <c r="A21" t="s">
        <v>32</v>
      </c>
      <c r="G21" s="86"/>
      <c r="H21" s="86"/>
      <c r="I21" s="86">
        <v>9.4</v>
      </c>
      <c r="J21" s="86">
        <f>SUM(G21:I21)</f>
        <v>9.4</v>
      </c>
      <c r="L21" s="88"/>
      <c r="M21" s="88"/>
      <c r="N21" s="88">
        <f>I21</f>
        <v>9.4</v>
      </c>
      <c r="O21" s="209">
        <f>SUM(L21:N21)</f>
        <v>9.4</v>
      </c>
      <c r="P21" s="245">
        <f>'Rider Rates'!$D$7</f>
        <v>44531</v>
      </c>
    </row>
    <row r="22" spans="1:221" x14ac:dyDescent="0.2">
      <c r="A22" t="s">
        <v>73</v>
      </c>
      <c r="D22" s="1">
        <f>MAX(MIN($C$15,1000),-1000)</f>
        <v>1000</v>
      </c>
      <c r="E22" s="35" t="s">
        <v>41</v>
      </c>
      <c r="F22" s="4" t="s">
        <v>8</v>
      </c>
      <c r="G22" s="84"/>
      <c r="H22" s="84"/>
      <c r="I22" s="84">
        <v>1.8332399999999999E-2</v>
      </c>
      <c r="J22" s="84">
        <f>SUM(G22:I22)</f>
        <v>1.8332399999999999E-2</v>
      </c>
      <c r="K22" s="36" t="s">
        <v>42</v>
      </c>
      <c r="L22" s="87"/>
      <c r="M22" s="87"/>
      <c r="N22" s="87">
        <f>IF(C15&lt;0,0,ROUND($D22*I22,2))</f>
        <v>18.329999999999998</v>
      </c>
      <c r="O22" s="209">
        <f>SUM(L22:N22)</f>
        <v>18.329999999999998</v>
      </c>
      <c r="P22" s="245">
        <v>45261</v>
      </c>
    </row>
    <row r="23" spans="1:221" x14ac:dyDescent="0.2">
      <c r="A23" t="s">
        <v>74</v>
      </c>
      <c r="D23" s="1">
        <f>IF($C$15&gt;0,MAX($C$15-1000,0),MIN($C$15+1000,0))</f>
        <v>0</v>
      </c>
      <c r="E23" s="35" t="s">
        <v>41</v>
      </c>
      <c r="F23" s="4" t="s">
        <v>8</v>
      </c>
      <c r="G23" s="84"/>
      <c r="H23" s="84"/>
      <c r="I23" s="84">
        <v>1.8332399999999999E-2</v>
      </c>
      <c r="J23" s="84">
        <f>SUM(G23:I23)</f>
        <v>1.8332399999999999E-2</v>
      </c>
      <c r="K23" s="36" t="s">
        <v>42</v>
      </c>
      <c r="L23" s="87"/>
      <c r="M23" s="87"/>
      <c r="N23" s="87">
        <f>ROUND($D23*I23,2)</f>
        <v>0</v>
      </c>
      <c r="O23" s="87">
        <f>SUM(L23:N23)</f>
        <v>0</v>
      </c>
      <c r="P23" s="245">
        <v>45261</v>
      </c>
    </row>
    <row r="24" spans="1:221" x14ac:dyDescent="0.2">
      <c r="A24" s="37" t="s">
        <v>50</v>
      </c>
      <c r="B24" s="37"/>
      <c r="C24" s="37"/>
      <c r="D24" s="38"/>
      <c r="E24" s="38"/>
      <c r="F24" s="37"/>
      <c r="G24" s="37"/>
      <c r="H24" s="37"/>
      <c r="I24" s="37"/>
      <c r="J24" s="37"/>
      <c r="K24" s="39"/>
      <c r="L24" s="40"/>
      <c r="M24" s="40"/>
      <c r="N24" s="40">
        <f>SUM(N21:N23)</f>
        <v>27.729999999999997</v>
      </c>
      <c r="O24" s="40">
        <f>SUM(O21:O23)</f>
        <v>27.729999999999997</v>
      </c>
    </row>
    <row r="25" spans="1:221" x14ac:dyDescent="0.2">
      <c r="A25" s="89"/>
      <c r="B25" s="89"/>
      <c r="C25" s="90"/>
      <c r="D25" s="90"/>
      <c r="E25" s="90"/>
      <c r="F25" s="90"/>
      <c r="G25" s="91"/>
      <c r="H25" s="91"/>
      <c r="I25" s="91"/>
      <c r="J25" s="91"/>
      <c r="K25" s="89"/>
      <c r="L25" s="89"/>
      <c r="M25" s="89"/>
      <c r="N25" s="89"/>
      <c r="O25" s="89"/>
      <c r="P25" s="89"/>
    </row>
    <row r="26" spans="1:221" x14ac:dyDescent="0.2">
      <c r="A26" s="148" t="s">
        <v>70</v>
      </c>
      <c r="B26" s="166"/>
      <c r="C26" s="166"/>
      <c r="D26" s="167"/>
      <c r="E26" s="167"/>
      <c r="F26" s="166"/>
      <c r="G26" s="167"/>
      <c r="H26" s="167"/>
      <c r="I26" s="167"/>
      <c r="J26" s="167"/>
      <c r="K26" s="167"/>
      <c r="L26" s="167"/>
      <c r="M26" s="167"/>
      <c r="N26" s="167"/>
      <c r="O26" s="167"/>
      <c r="P26" s="160"/>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151"/>
      <c r="B27" s="151"/>
      <c r="C27" s="151"/>
      <c r="D27" s="151"/>
      <c r="E27" s="151"/>
      <c r="F27" s="151"/>
      <c r="G27" s="151"/>
      <c r="H27" s="151"/>
      <c r="I27" s="151"/>
      <c r="J27" s="151"/>
      <c r="K27" s="151"/>
      <c r="L27" s="151"/>
      <c r="M27" s="151"/>
      <c r="N27" s="151"/>
      <c r="O27" s="151"/>
      <c r="P27" s="174"/>
      <c r="Q27" s="106"/>
      <c r="R27" s="175"/>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79</v>
      </c>
      <c r="B28" s="176"/>
      <c r="C28" s="176"/>
      <c r="D28" s="100">
        <f>IF($C$15&lt;0,0,IF($C$15&gt;833000,833000,$C$15))</f>
        <v>1000</v>
      </c>
      <c r="E28" s="101" t="s">
        <v>41</v>
      </c>
      <c r="F28" s="102" t="s">
        <v>8</v>
      </c>
      <c r="G28" s="103"/>
      <c r="H28" s="103"/>
      <c r="I28" s="103">
        <f>'Rider Rates'!$B$4</f>
        <v>5.9216E-3</v>
      </c>
      <c r="J28" s="103">
        <f t="shared" ref="J28:J44" si="0">SUM(G28:I28)</f>
        <v>5.9216E-3</v>
      </c>
      <c r="K28" s="104" t="s">
        <v>42</v>
      </c>
      <c r="L28" s="105"/>
      <c r="M28" s="105"/>
      <c r="N28" s="105">
        <f t="shared" ref="N28:N33" si="1">ROUND(D28*I28,2)</f>
        <v>5.92</v>
      </c>
      <c r="O28" s="105">
        <f t="shared" ref="O28:O44" si="2">SUM(L28:N28)</f>
        <v>5.92</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80</v>
      </c>
      <c r="B29" s="78"/>
      <c r="C29" s="78"/>
      <c r="D29" s="123">
        <f>IF($C$15&gt;833000,$C$15-833000,0)</f>
        <v>0</v>
      </c>
      <c r="E29" s="101" t="s">
        <v>41</v>
      </c>
      <c r="F29" s="102" t="s">
        <v>8</v>
      </c>
      <c r="G29" s="103"/>
      <c r="H29" s="103"/>
      <c r="I29" s="103">
        <f>'Rider Rates'!$B$5</f>
        <v>1.7560000000000001E-4</v>
      </c>
      <c r="J29" s="103">
        <f t="shared" si="0"/>
        <v>1.7560000000000001E-4</v>
      </c>
      <c r="K29" s="104" t="s">
        <v>42</v>
      </c>
      <c r="L29" s="105"/>
      <c r="M29" s="105"/>
      <c r="N29" s="105">
        <f t="shared" si="1"/>
        <v>0</v>
      </c>
      <c r="O29" s="105">
        <f t="shared" si="2"/>
        <v>0</v>
      </c>
      <c r="P29" s="245">
        <f>'Rider Rates'!$D$4</f>
        <v>45293</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97</v>
      </c>
      <c r="B30" s="78"/>
      <c r="C30" s="78"/>
      <c r="D30" s="100">
        <f>IF('Customer Info'!$C$32=TRUE,0,IF($C$15&lt;0,0,IF($C$15&gt;2000,2000,$C$15)))</f>
        <v>1000</v>
      </c>
      <c r="E30" s="101" t="s">
        <v>41</v>
      </c>
      <c r="F30" s="102" t="s">
        <v>8</v>
      </c>
      <c r="G30" s="103"/>
      <c r="H30" s="103"/>
      <c r="I30" s="177">
        <f>'Rider Rates'!$B$8</f>
        <v>4.6499999999999996E-3</v>
      </c>
      <c r="J30" s="177">
        <f t="shared" si="0"/>
        <v>4.6499999999999996E-3</v>
      </c>
      <c r="K30" s="104" t="s">
        <v>42</v>
      </c>
      <c r="L30" s="105"/>
      <c r="M30" s="105"/>
      <c r="N30" s="105">
        <f t="shared" si="1"/>
        <v>4.6500000000000004</v>
      </c>
      <c r="O30" s="105">
        <f t="shared" si="2"/>
        <v>4.6500000000000004</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98</v>
      </c>
      <c r="B31" s="78"/>
      <c r="C31" s="78"/>
      <c r="D31" s="100">
        <f>IF('Customer Info'!$C$32=TRUE,0,IF($C$15&lt;=2000,0,IF($C$15=0,0,IF($C$15-2000&gt;13000,13000,$C$15-2000))))</f>
        <v>0</v>
      </c>
      <c r="E31" s="101" t="s">
        <v>41</v>
      </c>
      <c r="F31" s="102" t="s">
        <v>8</v>
      </c>
      <c r="G31" s="103"/>
      <c r="H31" s="103"/>
      <c r="I31" s="177">
        <f>'Rider Rates'!$B$9</f>
        <v>4.1900000000000001E-3</v>
      </c>
      <c r="J31" s="177">
        <f t="shared" si="0"/>
        <v>4.1900000000000001E-3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99" t="s">
        <v>99</v>
      </c>
      <c r="B32" s="78"/>
      <c r="C32" s="78"/>
      <c r="D32" s="100">
        <f>IF('Customer Info'!$C$32=TRUE,0,IF($C$15=0,0,IF($C$15-15000&gt;=0,$C$15-15000,0)))</f>
        <v>0</v>
      </c>
      <c r="E32" s="101" t="s">
        <v>41</v>
      </c>
      <c r="F32" s="102" t="s">
        <v>8</v>
      </c>
      <c r="G32" s="103"/>
      <c r="H32" s="103"/>
      <c r="I32" s="177">
        <f>'Rider Rates'!$B$10</f>
        <v>3.63E-3</v>
      </c>
      <c r="J32" s="177">
        <f t="shared" si="0"/>
        <v>3.63E-3</v>
      </c>
      <c r="K32" s="104" t="s">
        <v>42</v>
      </c>
      <c r="L32" s="105"/>
      <c r="M32" s="105"/>
      <c r="N32" s="105">
        <f t="shared" si="1"/>
        <v>0</v>
      </c>
      <c r="O32" s="105">
        <f t="shared" si="2"/>
        <v>0</v>
      </c>
      <c r="P32" s="245">
        <f>'Rider Rates'!$D$7</f>
        <v>44531</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160</v>
      </c>
      <c r="B33" s="78"/>
      <c r="C33" s="78"/>
      <c r="D33" s="100">
        <f>IF($C$15&lt;0,0,$C$15)</f>
        <v>1000</v>
      </c>
      <c r="E33" s="101" t="s">
        <v>41</v>
      </c>
      <c r="F33" s="102" t="s">
        <v>8</v>
      </c>
      <c r="G33" s="103"/>
      <c r="H33" s="103"/>
      <c r="I33" s="103">
        <f>'Rider Rates'!$B$16</f>
        <v>0</v>
      </c>
      <c r="J33" s="103">
        <f>SUM(G33:I33)</f>
        <v>0</v>
      </c>
      <c r="K33" s="104" t="s">
        <v>42</v>
      </c>
      <c r="L33" s="105"/>
      <c r="M33" s="105"/>
      <c r="N33" s="105">
        <f t="shared" si="1"/>
        <v>0</v>
      </c>
      <c r="O33" s="105">
        <f t="shared" si="2"/>
        <v>0</v>
      </c>
      <c r="P33" s="245">
        <f>'Rider Rates'!$D$16</f>
        <v>45322</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239</v>
      </c>
      <c r="B34" s="78"/>
      <c r="C34" s="78"/>
      <c r="D34" s="195">
        <f>$N$24</f>
        <v>27.729999999999997</v>
      </c>
      <c r="E34" s="101" t="s">
        <v>122</v>
      </c>
      <c r="F34" s="102" t="s">
        <v>8</v>
      </c>
      <c r="G34" s="103"/>
      <c r="H34" s="103"/>
      <c r="I34" s="178">
        <f>'Rider Rates'!$B$18+'Rider Rates'!$E$18</f>
        <v>0</v>
      </c>
      <c r="J34" s="178">
        <f>SUM(G34:I34)</f>
        <v>0</v>
      </c>
      <c r="K34" s="104"/>
      <c r="L34" s="105"/>
      <c r="M34" s="105"/>
      <c r="N34" s="105">
        <f>ROUND($D$34*'Rider Rates'!$B$18,2)+ROUND($D$34*'Rider Rates'!$E$18,2)</f>
        <v>0</v>
      </c>
      <c r="O34" s="105">
        <f t="shared" si="2"/>
        <v>0</v>
      </c>
      <c r="P34" s="245">
        <f>MAX('Rider Rates'!$D$18,'Rider Rates'!$F$18)</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41" t="s">
        <v>212</v>
      </c>
      <c r="B35" s="78"/>
      <c r="C35" s="78"/>
      <c r="D35" s="100">
        <f>IF($C$15&lt;0,0,IF($C$15&gt;833000,833000,$C$15))</f>
        <v>1000</v>
      </c>
      <c r="E35" s="101" t="s">
        <v>41</v>
      </c>
      <c r="F35" s="102" t="s">
        <v>8</v>
      </c>
      <c r="G35" s="103"/>
      <c r="H35" s="103"/>
      <c r="I35" s="103">
        <f>'Rider Rates'!D46</f>
        <v>1.7826999999999999E-3</v>
      </c>
      <c r="J35" s="103">
        <f>SUM(G35:I35)</f>
        <v>1.7826999999999999E-3</v>
      </c>
      <c r="K35" s="104" t="s">
        <v>42</v>
      </c>
      <c r="L35" s="105"/>
      <c r="M35" s="105"/>
      <c r="N35" s="105">
        <f>D35*J35</f>
        <v>1.7827</v>
      </c>
      <c r="O35" s="105">
        <f t="shared" si="2"/>
        <v>1.7827</v>
      </c>
      <c r="P35" s="245">
        <f>'Rider Rates'!E46</f>
        <v>45292</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190</v>
      </c>
      <c r="B36" s="78"/>
      <c r="C36" s="78"/>
      <c r="D36" s="100">
        <f>IF($C$15&lt;0,0,$C$15)</f>
        <v>1000</v>
      </c>
      <c r="E36" s="113" t="s">
        <v>41</v>
      </c>
      <c r="F36" s="102" t="s">
        <v>8</v>
      </c>
      <c r="G36" s="103"/>
      <c r="H36" s="103">
        <f>'Rider Rates'!$B$53</f>
        <v>2.3467399999999999E-2</v>
      </c>
      <c r="I36" s="103"/>
      <c r="J36" s="103">
        <f>SUM(G36:I36)</f>
        <v>2.3467399999999999E-2</v>
      </c>
      <c r="K36" s="104" t="s">
        <v>42</v>
      </c>
      <c r="L36" s="105"/>
      <c r="M36" s="105">
        <f>ROUND(D36*H36,2)</f>
        <v>23.47</v>
      </c>
      <c r="N36" s="205"/>
      <c r="O36" s="105">
        <f t="shared" si="2"/>
        <v>23.47</v>
      </c>
      <c r="P36" s="245">
        <f>'Rider Rates'!$D$53</f>
        <v>45383</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99" t="s">
        <v>96</v>
      </c>
      <c r="B37" s="78"/>
      <c r="C37" s="78"/>
      <c r="D37" s="100">
        <f>IF('Customer Info'!C34=TRUE,0,IF($C$15&lt;0,0,$C$15))</f>
        <v>1000</v>
      </c>
      <c r="E37" s="101" t="s">
        <v>41</v>
      </c>
      <c r="F37" s="102" t="s">
        <v>8</v>
      </c>
      <c r="G37" s="103"/>
      <c r="H37" s="103"/>
      <c r="I37" s="103">
        <f>'Rider Rates'!$B$65+'Rider Rates'!$C$65</f>
        <v>0</v>
      </c>
      <c r="J37" s="103">
        <f t="shared" si="0"/>
        <v>0</v>
      </c>
      <c r="K37" s="104" t="s">
        <v>42</v>
      </c>
      <c r="L37" s="105"/>
      <c r="M37" s="105"/>
      <c r="N37" s="105">
        <f>ROUND($D$37*'Rider Rates'!$B$65,2)+ROUND($D$37*'Rider Rates'!$C$65,2)</f>
        <v>0</v>
      </c>
      <c r="O37" s="105">
        <f t="shared" si="2"/>
        <v>0</v>
      </c>
      <c r="P37" s="245">
        <f>'Rider Rates'!$D$65</f>
        <v>44531</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99" t="s">
        <v>96</v>
      </c>
      <c r="B38" s="78"/>
      <c r="C38" s="78"/>
      <c r="D38" s="100"/>
      <c r="E38" s="101" t="s">
        <v>115</v>
      </c>
      <c r="F38" s="102"/>
      <c r="G38" s="103"/>
      <c r="H38" s="103"/>
      <c r="I38" s="196">
        <f>'Rider Rates'!$B$72</f>
        <v>0</v>
      </c>
      <c r="J38" s="196">
        <f>IF('Customer Info'!C34=TRUE,0,SUM(G38:I38))</f>
        <v>0</v>
      </c>
      <c r="K38" s="104"/>
      <c r="L38" s="105"/>
      <c r="M38" s="105"/>
      <c r="N38" s="105">
        <f>J38</f>
        <v>0</v>
      </c>
      <c r="O38" s="105">
        <f>SUM(L38:N38)</f>
        <v>0</v>
      </c>
      <c r="P38" s="245">
        <f>'Rider Rates'!$D$72</f>
        <v>44197</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81</v>
      </c>
      <c r="B39" s="78"/>
      <c r="C39" s="78"/>
      <c r="D39" s="195">
        <f>$N$24</f>
        <v>27.729999999999997</v>
      </c>
      <c r="E39" s="101" t="s">
        <v>122</v>
      </c>
      <c r="F39" s="102" t="s">
        <v>8</v>
      </c>
      <c r="G39" s="111"/>
      <c r="H39" s="112"/>
      <c r="I39" s="120">
        <f>'Rider Rates'!$B$80</f>
        <v>2.9347000000000002E-2</v>
      </c>
      <c r="J39" s="120">
        <f t="shared" si="0"/>
        <v>2.9347000000000002E-2</v>
      </c>
      <c r="K39" s="104"/>
      <c r="L39" s="105"/>
      <c r="M39" s="105"/>
      <c r="N39" s="105">
        <f>ROUND(D39*I39,2)</f>
        <v>0.81</v>
      </c>
      <c r="O39" s="105">
        <f t="shared" si="2"/>
        <v>0.81</v>
      </c>
      <c r="P39" s="245">
        <f>'Rider Rates'!$D$80</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82</v>
      </c>
      <c r="B40" s="78"/>
      <c r="C40" s="78"/>
      <c r="D40" s="195">
        <f>$N$24</f>
        <v>27.729999999999997</v>
      </c>
      <c r="E40" s="101" t="s">
        <v>122</v>
      </c>
      <c r="F40" s="102" t="s">
        <v>8</v>
      </c>
      <c r="G40" s="114"/>
      <c r="H40" s="115"/>
      <c r="I40" s="120">
        <f>'Rider Rates'!$B$82</f>
        <v>6.6985699999999995E-2</v>
      </c>
      <c r="J40" s="120">
        <f t="shared" si="0"/>
        <v>6.6985699999999995E-2</v>
      </c>
      <c r="K40" s="104"/>
      <c r="L40" s="105"/>
      <c r="M40" s="105"/>
      <c r="N40" s="105">
        <f>ROUND(D40*I40,2)</f>
        <v>1.86</v>
      </c>
      <c r="O40" s="105">
        <f t="shared" si="2"/>
        <v>1.86</v>
      </c>
      <c r="P40" s="245">
        <f>'Rider Rates'!$D$82</f>
        <v>45167</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208</v>
      </c>
      <c r="B41" s="78"/>
      <c r="C41" s="78"/>
      <c r="D41" s="195"/>
      <c r="E41" s="113" t="s">
        <v>115</v>
      </c>
      <c r="F41" s="106"/>
      <c r="G41" s="114"/>
      <c r="H41" s="115"/>
      <c r="I41" s="196">
        <f>'Rider Rates'!$B$86</f>
        <v>15.91</v>
      </c>
      <c r="J41" s="196">
        <f t="shared" si="0"/>
        <v>15.91</v>
      </c>
      <c r="K41" s="104"/>
      <c r="L41" s="105"/>
      <c r="M41" s="105"/>
      <c r="N41" s="105">
        <f>I41</f>
        <v>15.91</v>
      </c>
      <c r="O41" s="105">
        <f t="shared" si="2"/>
        <v>15.91</v>
      </c>
      <c r="P41" s="245">
        <f>'Rider Rates'!$D$86</f>
        <v>45351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157</v>
      </c>
      <c r="B42" s="78"/>
      <c r="C42" s="78"/>
      <c r="D42" s="195">
        <f>$N$24</f>
        <v>27.729999999999997</v>
      </c>
      <c r="E42" s="101" t="s">
        <v>122</v>
      </c>
      <c r="F42" s="102" t="s">
        <v>8</v>
      </c>
      <c r="G42" s="114"/>
      <c r="H42" s="115"/>
      <c r="I42" s="120">
        <f>'Rider Rates'!$B$100</f>
        <v>0.21398439999999999</v>
      </c>
      <c r="J42" s="120">
        <f t="shared" si="0"/>
        <v>0.21398439999999999</v>
      </c>
      <c r="K42" s="104"/>
      <c r="L42" s="105"/>
      <c r="M42" s="105"/>
      <c r="N42" s="105">
        <f>ROUND(D42*I42,2)</f>
        <v>5.93</v>
      </c>
      <c r="O42" s="105">
        <f t="shared" si="2"/>
        <v>5.93</v>
      </c>
      <c r="P42" s="245">
        <f>'Rider Rates'!$D$100</f>
        <v>45351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10" t="s">
        <v>211</v>
      </c>
      <c r="B43" s="78"/>
      <c r="C43" s="78"/>
      <c r="D43" s="195"/>
      <c r="E43" s="113" t="s">
        <v>115</v>
      </c>
      <c r="F43" s="106"/>
      <c r="G43" s="114"/>
      <c r="H43" s="115"/>
      <c r="I43" s="196">
        <f>'Rider Rates'!$B$104</f>
        <v>0</v>
      </c>
      <c r="J43" s="196">
        <f t="shared" si="0"/>
        <v>0</v>
      </c>
      <c r="K43" s="104"/>
      <c r="L43" s="105"/>
      <c r="M43" s="105"/>
      <c r="N43" s="105">
        <f>I43</f>
        <v>0</v>
      </c>
      <c r="O43" s="105">
        <f t="shared" si="2"/>
        <v>0</v>
      </c>
      <c r="P43" s="245">
        <f>'Rider Rates'!$D$104</f>
        <v>44894</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219</v>
      </c>
      <c r="B44" s="78"/>
      <c r="C44" s="78"/>
      <c r="D44" s="195"/>
      <c r="E44" s="113" t="s">
        <v>115</v>
      </c>
      <c r="F44" s="106"/>
      <c r="G44" s="114"/>
      <c r="H44" s="115"/>
      <c r="I44" s="258">
        <f>'Rider Rates'!B117</f>
        <v>5.83</v>
      </c>
      <c r="J44" s="196">
        <f t="shared" si="0"/>
        <v>5.83</v>
      </c>
      <c r="K44" s="104"/>
      <c r="L44" s="105"/>
      <c r="M44" s="105"/>
      <c r="N44" s="260">
        <f>I44</f>
        <v>5.83</v>
      </c>
      <c r="O44" s="105">
        <f t="shared" si="2"/>
        <v>5.83</v>
      </c>
      <c r="P44" s="245">
        <f>'Rider Rates'!D117</f>
        <v>45226</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210</v>
      </c>
      <c r="B45" s="78"/>
      <c r="C45" s="78"/>
      <c r="D45" s="100">
        <f>IF($C$15&lt;1,0,$C$15)</f>
        <v>1000</v>
      </c>
      <c r="E45" s="101" t="s">
        <v>41</v>
      </c>
      <c r="F45" s="249" t="s">
        <v>8</v>
      </c>
      <c r="G45" s="165"/>
      <c r="H45" s="165"/>
      <c r="I45" s="251">
        <f>'Rider Rates'!B113</f>
        <v>-6.2E-4</v>
      </c>
      <c r="J45" s="251">
        <f>SUM(G45:I45)</f>
        <v>-6.2E-4</v>
      </c>
      <c r="K45" s="104" t="s">
        <v>42</v>
      </c>
      <c r="L45" s="105"/>
      <c r="M45" s="105"/>
      <c r="N45" s="105">
        <f>D45*J45</f>
        <v>-0.62</v>
      </c>
      <c r="O45" s="105">
        <f>SUM(L45:N45)</f>
        <v>-0.62</v>
      </c>
      <c r="P45" s="245">
        <f>'Rider Rates'!D113</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78" t="s">
        <v>235</v>
      </c>
      <c r="B46" s="78"/>
      <c r="C46" s="78"/>
      <c r="D46" s="100">
        <f>IF(C15&lt;0,0,IF(C15&gt;833000,833000,C15))</f>
        <v>1000</v>
      </c>
      <c r="E46" s="101" t="s">
        <v>41</v>
      </c>
      <c r="F46" s="102" t="s">
        <v>8</v>
      </c>
      <c r="G46" s="265"/>
      <c r="H46" s="265"/>
      <c r="I46" s="265">
        <f>'Rider Rates'!B121</f>
        <v>2.9050000000000001E-4</v>
      </c>
      <c r="J46" s="265">
        <f>SUM(G46:I46)</f>
        <v>2.9050000000000001E-4</v>
      </c>
      <c r="K46" s="104" t="s">
        <v>42</v>
      </c>
      <c r="L46" s="266"/>
      <c r="M46" s="266"/>
      <c r="N46" s="266">
        <f>IF(D46*J46&gt;'Rider Rates'!$C$121,'Rider Rates'!$C$121,D46*J46)</f>
        <v>0.29050000000000004</v>
      </c>
      <c r="O46" s="266">
        <f>SUM(L46:N46)</f>
        <v>0.29050000000000004</v>
      </c>
      <c r="P46" s="264">
        <f>'Rider Rates'!$E$121</f>
        <v>45292</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78" t="s">
        <v>236</v>
      </c>
      <c r="B47" s="78"/>
      <c r="C47" s="78"/>
      <c r="D47" s="123">
        <f>IF(C15&gt;833000,C15-833000,0)</f>
        <v>0</v>
      </c>
      <c r="E47" s="101" t="s">
        <v>41</v>
      </c>
      <c r="F47" s="102" t="s">
        <v>8</v>
      </c>
      <c r="G47" s="265"/>
      <c r="H47" s="265"/>
      <c r="I47" s="265">
        <f>'Rider Rates'!B122</f>
        <v>0</v>
      </c>
      <c r="J47" s="265">
        <f>SUM(G47:I47)</f>
        <v>0</v>
      </c>
      <c r="K47" s="104" t="s">
        <v>42</v>
      </c>
      <c r="L47" s="266"/>
      <c r="M47" s="266"/>
      <c r="N47" s="266">
        <f>D47*J47</f>
        <v>0</v>
      </c>
      <c r="O47" s="266">
        <f>SUM(L47:N47)</f>
        <v>0</v>
      </c>
      <c r="P47" s="264">
        <f>'Rider Rates'!$E$122</f>
        <v>44927</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41" t="s">
        <v>244</v>
      </c>
      <c r="B48" s="78"/>
      <c r="C48" s="78"/>
      <c r="D48" s="100">
        <f>C15</f>
        <v>1000</v>
      </c>
      <c r="E48" s="101" t="s">
        <v>41</v>
      </c>
      <c r="F48" s="249" t="s">
        <v>8</v>
      </c>
      <c r="G48" s="103"/>
      <c r="H48" s="103"/>
      <c r="I48" s="103">
        <f>'Rider Rates'!$B$126</f>
        <v>0</v>
      </c>
      <c r="J48" s="237">
        <f>SUM(G48:I48)</f>
        <v>0</v>
      </c>
      <c r="K48" s="104" t="s">
        <v>42</v>
      </c>
      <c r="L48" s="105"/>
      <c r="M48" s="105"/>
      <c r="N48" s="105">
        <f>D48*J48</f>
        <v>0</v>
      </c>
      <c r="O48" s="105">
        <f>SUM(L48:N48)</f>
        <v>0</v>
      </c>
      <c r="P48" s="245">
        <f>'Rider Rates'!$D$126</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241" t="s">
        <v>243</v>
      </c>
      <c r="B49" s="78"/>
      <c r="C49" s="78"/>
      <c r="D49" s="100"/>
      <c r="E49" s="101" t="s">
        <v>115</v>
      </c>
      <c r="F49" s="102" t="s">
        <v>8</v>
      </c>
      <c r="G49" s="263"/>
      <c r="H49" s="263"/>
      <c r="I49" s="263">
        <f>'Rider Rates'!$B$133</f>
        <v>0</v>
      </c>
      <c r="J49" s="263">
        <f>SUM(G49:I49)</f>
        <v>0</v>
      </c>
      <c r="K49" s="104"/>
      <c r="L49" s="209"/>
      <c r="M49" s="209"/>
      <c r="N49" s="209">
        <f>J49</f>
        <v>0</v>
      </c>
      <c r="O49" s="209">
        <f>SUM(L49:N49)</f>
        <v>0</v>
      </c>
      <c r="P49" s="264">
        <f>'Rider Rates'!D133</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41" t="s">
        <v>245</v>
      </c>
      <c r="B50" s="78"/>
      <c r="C50" s="78"/>
      <c r="D50" s="100"/>
      <c r="E50" s="101"/>
      <c r="F50" s="102"/>
      <c r="G50" s="263"/>
      <c r="H50" s="263"/>
      <c r="I50" s="263"/>
      <c r="J50" s="263"/>
      <c r="K50" s="104"/>
      <c r="L50" s="209"/>
      <c r="M50" s="209"/>
      <c r="N50" s="209"/>
      <c r="O50" s="209"/>
      <c r="P50" s="264"/>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179" t="s">
        <v>71</v>
      </c>
      <c r="B51" s="148"/>
      <c r="C51" s="148"/>
      <c r="D51" s="180"/>
      <c r="E51" s="181"/>
      <c r="F51" s="182"/>
      <c r="G51" s="182"/>
      <c r="H51" s="182"/>
      <c r="I51" s="182"/>
      <c r="J51" s="182"/>
      <c r="K51" s="183"/>
      <c r="L51" s="169">
        <f>SUM(L28:L50)</f>
        <v>0</v>
      </c>
      <c r="M51" s="169">
        <f t="shared" ref="M51:O51" si="3">SUM(M28:M50)</f>
        <v>23.47</v>
      </c>
      <c r="N51" s="169">
        <f t="shared" si="3"/>
        <v>42.363200000000006</v>
      </c>
      <c r="O51" s="169">
        <f t="shared" si="3"/>
        <v>65.833199999999991</v>
      </c>
      <c r="P51" s="184"/>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78"/>
      <c r="B52" s="78"/>
      <c r="C52" s="78"/>
      <c r="D52" s="100"/>
      <c r="E52" s="113"/>
      <c r="F52" s="106"/>
      <c r="G52" s="106"/>
      <c r="H52" s="106"/>
      <c r="I52" s="106"/>
      <c r="J52" s="107"/>
      <c r="K52" s="104"/>
      <c r="L52" s="106"/>
      <c r="M52" s="106"/>
      <c r="N52" s="106"/>
      <c r="O52" s="106"/>
      <c r="P52" s="164"/>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185" t="s">
        <v>94</v>
      </c>
      <c r="B53" s="170"/>
      <c r="C53" s="170"/>
      <c r="D53" s="170"/>
      <c r="E53" s="170"/>
      <c r="F53" s="170"/>
      <c r="G53" s="170"/>
      <c r="H53" s="170"/>
      <c r="I53" s="170"/>
      <c r="J53" s="170"/>
      <c r="K53" s="170"/>
      <c r="L53" s="186">
        <f>L24+L51</f>
        <v>0</v>
      </c>
      <c r="M53" s="186">
        <f>M24+M51</f>
        <v>23.47</v>
      </c>
      <c r="N53" s="186">
        <f>N24+N51</f>
        <v>70.093199999999996</v>
      </c>
      <c r="O53" s="187">
        <f>O24+O51</f>
        <v>93.563199999999995</v>
      </c>
      <c r="P53" s="187"/>
      <c r="Q53" s="106"/>
      <c r="R53" s="188"/>
      <c r="S53" s="108"/>
      <c r="T53" s="109"/>
      <c r="U53" s="78"/>
      <c r="V53" s="10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78"/>
      <c r="B54" s="78"/>
      <c r="C54" s="78"/>
      <c r="D54" s="78"/>
      <c r="E54" s="78"/>
      <c r="F54" s="78"/>
      <c r="G54" s="78"/>
      <c r="H54" s="78"/>
      <c r="I54" s="78"/>
      <c r="J54" s="78"/>
      <c r="K54" s="78"/>
      <c r="L54" s="78"/>
      <c r="M54" s="78"/>
      <c r="N54" s="151"/>
      <c r="O54" s="151"/>
      <c r="P54" s="151"/>
      <c r="Q54" s="166"/>
      <c r="R54" s="166"/>
      <c r="S54" s="166"/>
      <c r="T54" s="189"/>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78"/>
      <c r="B55" s="78"/>
      <c r="C55" s="78"/>
      <c r="D55" s="78"/>
      <c r="E55" s="78"/>
      <c r="F55" s="78"/>
      <c r="G55" s="78"/>
      <c r="H55" s="78"/>
      <c r="I55" s="78"/>
      <c r="J55" s="78"/>
      <c r="K55" s="78"/>
      <c r="L55" s="78"/>
      <c r="M55" s="78"/>
      <c r="N55" s="151"/>
      <c r="O55" s="151"/>
      <c r="P55" s="151"/>
      <c r="Q55" s="166"/>
      <c r="R55" s="166"/>
      <c r="S55" s="166"/>
      <c r="T55" s="189"/>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166" t="s">
        <v>93</v>
      </c>
      <c r="B56" s="78"/>
      <c r="C56" s="78"/>
      <c r="D56" s="78"/>
      <c r="E56" s="78"/>
      <c r="F56" s="78"/>
      <c r="G56" s="78"/>
      <c r="H56" s="78"/>
      <c r="I56" s="78"/>
      <c r="J56" s="78"/>
      <c r="K56" s="78"/>
      <c r="L56" s="78"/>
      <c r="M56" s="78"/>
      <c r="N56" s="78"/>
      <c r="O56" s="109">
        <f>O21+O51</f>
        <v>75.233199999999997</v>
      </c>
      <c r="P56" s="151"/>
      <c r="Q56" s="166"/>
      <c r="R56" s="166"/>
      <c r="S56" s="166"/>
      <c r="T56" s="189"/>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166" t="s">
        <v>15</v>
      </c>
      <c r="B57" s="166"/>
      <c r="C57" s="166"/>
      <c r="D57" s="166"/>
      <c r="E57" s="166"/>
      <c r="F57" s="166"/>
      <c r="G57" s="166"/>
      <c r="H57" s="166"/>
      <c r="I57" s="78"/>
      <c r="J57" s="78"/>
      <c r="K57" s="78"/>
      <c r="L57" s="78"/>
      <c r="M57" s="78"/>
      <c r="N57" s="151"/>
      <c r="O57" s="151"/>
      <c r="P57" s="151"/>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48" t="s">
        <v>117</v>
      </c>
      <c r="B58" s="151"/>
      <c r="C58" s="151"/>
      <c r="D58" s="151"/>
      <c r="E58" s="151"/>
      <c r="F58" s="151"/>
      <c r="G58" s="151"/>
      <c r="H58" s="151"/>
      <c r="I58" s="151"/>
      <c r="J58" s="151"/>
      <c r="K58" s="151"/>
      <c r="L58" s="151"/>
      <c r="M58" s="151"/>
      <c r="N58" s="151"/>
      <c r="O58" s="190">
        <f>IF($D$17&lt;0,O53,IF(O53&gt;O56,O53,O56))</f>
        <v>93.563199999999995</v>
      </c>
      <c r="P58" s="160"/>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5" customHeight="1" x14ac:dyDescent="0.2">
      <c r="A59" s="148"/>
      <c r="B59" s="151"/>
      <c r="C59" s="151"/>
      <c r="D59" s="151"/>
      <c r="E59" s="151"/>
      <c r="F59" s="151"/>
      <c r="G59" s="151"/>
      <c r="H59" s="151"/>
      <c r="I59" s="151"/>
      <c r="J59" s="151"/>
      <c r="K59" s="151"/>
      <c r="L59" s="151"/>
      <c r="M59" s="151"/>
      <c r="N59" s="151"/>
      <c r="O59" s="190"/>
      <c r="P59" s="160"/>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row>
    <row r="60" spans="1:236" x14ac:dyDescent="0.2">
      <c r="A60" s="148"/>
      <c r="B60" s="166"/>
      <c r="C60" s="166"/>
      <c r="D60" s="166"/>
      <c r="E60" s="166"/>
      <c r="F60" s="166"/>
      <c r="G60" s="166"/>
      <c r="H60" s="166"/>
      <c r="I60" s="166" t="s">
        <v>121</v>
      </c>
      <c r="J60" s="166"/>
      <c r="K60" s="166"/>
      <c r="L60" s="191"/>
      <c r="M60" s="191"/>
      <c r="N60" s="191"/>
      <c r="O60" s="191">
        <f>ROUND(IF($C$15&lt;1,0,O53/($C$15*100)*10000),2)</f>
        <v>9.36</v>
      </c>
      <c r="P60" s="37" t="s">
        <v>87</v>
      </c>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HE60" s="78"/>
      <c r="HF60" s="78"/>
      <c r="HG60" s="78"/>
      <c r="HH60" s="78"/>
      <c r="HI60" s="78"/>
      <c r="HJ60" s="78"/>
      <c r="HK60" s="78"/>
      <c r="HL60" s="78"/>
      <c r="HM60" s="78"/>
      <c r="HN60" s="78"/>
    </row>
    <row r="61" spans="1:236" x14ac:dyDescent="0.2">
      <c r="B61" s="78"/>
      <c r="C61" s="78"/>
      <c r="D61" s="78"/>
      <c r="E61" s="78"/>
      <c r="F61" s="78"/>
      <c r="G61" s="78"/>
      <c r="H61" s="192"/>
      <c r="I61" s="242" t="s">
        <v>191</v>
      </c>
      <c r="J61" s="78"/>
      <c r="K61" s="78"/>
      <c r="L61" s="78"/>
      <c r="M61" s="78"/>
      <c r="N61" s="78"/>
      <c r="O61" s="243">
        <f>ROUND(IF($C$15&lt;1,0,(L53)/($C$15*100)*10000),2)</f>
        <v>0</v>
      </c>
      <c r="P61" s="25" t="s">
        <v>87</v>
      </c>
      <c r="Q61" s="78"/>
      <c r="R61" s="78"/>
      <c r="S61" s="78"/>
      <c r="T61" s="78"/>
      <c r="U61" s="78"/>
      <c r="V61" s="78"/>
      <c r="W61" s="78"/>
      <c r="X61" s="78"/>
      <c r="Y61" s="78"/>
      <c r="Z61" s="78"/>
      <c r="AA61" s="78"/>
      <c r="AB61" s="78"/>
      <c r="AC61" s="78"/>
      <c r="AD61" s="78"/>
      <c r="AE61" s="78"/>
      <c r="AF61" s="78"/>
      <c r="AG61" s="78"/>
      <c r="AH61" s="78"/>
      <c r="AI61" s="78"/>
      <c r="AJ61" s="78"/>
      <c r="AK61" s="78"/>
    </row>
  </sheetData>
  <sheetProtection algorithmName="SHA-512" hashValue="OUiYad3SVYWPZbQ0ENbUlLh2igyxRpAk/VKFh/A3HxiuXtrTCuYhzdwfQOkMLNAIH7FBm8urpFq5cVg10xAX9Q==" saltValue="G6ks9R9Dg5Phn9qtMceSPw=="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Button 1">
              <controlPr defaultSize="0" print="0" autoFill="0" autoPict="0" macro="[0]!Info">
                <anchor moveWithCells="1">
                  <from>
                    <xdr:col>0</xdr:col>
                    <xdr:colOff>57150</xdr:colOff>
                    <xdr:row>0</xdr:row>
                    <xdr:rowOff>38100</xdr:rowOff>
                  </from>
                  <to>
                    <xdr:col>0</xdr:col>
                    <xdr:colOff>571500</xdr:colOff>
                    <xdr:row>0</xdr:row>
                    <xdr:rowOff>247650</xdr:rowOff>
                  </to>
                </anchor>
              </controlPr>
            </control>
          </mc:Choice>
        </mc:AlternateContent>
        <mc:AlternateContent xmlns:mc="http://schemas.openxmlformats.org/markup-compatibility/2006">
          <mc:Choice Requires="x14">
            <control shapeId="80898" r:id="rId5" name="Button 2">
              <controlPr defaultSize="0" print="0" autoFill="0" autoPict="0" macro="[0]!Info">
                <anchor moveWithCells="1">
                  <from>
                    <xdr:col>15</xdr:col>
                    <xdr:colOff>285750</xdr:colOff>
                    <xdr:row>68</xdr:row>
                    <xdr:rowOff>76200</xdr:rowOff>
                  </from>
                  <to>
                    <xdr:col>15</xdr:col>
                    <xdr:colOff>809625</xdr:colOff>
                    <xdr:row>69</xdr:row>
                    <xdr:rowOff>152400</xdr:rowOff>
                  </to>
                </anchor>
              </controlPr>
            </control>
          </mc:Choice>
        </mc:AlternateContent>
        <mc:AlternateContent xmlns:mc="http://schemas.openxmlformats.org/markup-compatibility/2006">
          <mc:Choice Requires="x14">
            <control shapeId="80899" r:id="rId6" name="Button 3">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80900" r:id="rId7" name="Button 4">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80901" r:id="rId8" name="Button 5">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80902" r:id="rId9" name="Button 6">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961E-E4D9-4E1A-B1A5-45B26701F483}">
  <sheetPr>
    <pageSetUpPr fitToPage="1"/>
  </sheetPr>
  <dimension ref="A1:A34"/>
  <sheetViews>
    <sheetView showGridLines="0" workbookViewId="0">
      <selection activeCell="A26" sqref="A26"/>
    </sheetView>
  </sheetViews>
  <sheetFormatPr defaultColWidth="9.140625" defaultRowHeight="9.9499999999999993" customHeight="1" x14ac:dyDescent="0.2"/>
  <cols>
    <col min="1" max="1" width="130.5703125" style="295" customWidth="1"/>
    <col min="2" max="16384" width="9.140625" style="294"/>
  </cols>
  <sheetData>
    <row r="1" spans="1:1" ht="36" x14ac:dyDescent="0.2">
      <c r="A1" s="298" t="s">
        <v>318</v>
      </c>
    </row>
    <row r="2" spans="1:1" ht="24" x14ac:dyDescent="0.2">
      <c r="A2" s="299" t="s">
        <v>317</v>
      </c>
    </row>
    <row r="3" spans="1:1" ht="9.9499999999999993" customHeight="1" x14ac:dyDescent="0.2">
      <c r="A3" s="300"/>
    </row>
    <row r="4" spans="1:1" ht="24" customHeight="1" x14ac:dyDescent="0.2">
      <c r="A4" s="299" t="s">
        <v>316</v>
      </c>
    </row>
    <row r="5" spans="1:1" ht="9.9499999999999993" customHeight="1" x14ac:dyDescent="0.2">
      <c r="A5" s="300"/>
    </row>
    <row r="6" spans="1:1" ht="12" x14ac:dyDescent="0.2">
      <c r="A6" s="298" t="s">
        <v>315</v>
      </c>
    </row>
    <row r="7" spans="1:1" ht="9.9499999999999993" customHeight="1" x14ac:dyDescent="0.2">
      <c r="A7" s="298"/>
    </row>
    <row r="8" spans="1:1" ht="36" x14ac:dyDescent="0.2">
      <c r="A8" s="298" t="s">
        <v>314</v>
      </c>
    </row>
    <row r="9" spans="1:1" ht="9.9499999999999993" customHeight="1" x14ac:dyDescent="0.2">
      <c r="A9" s="299"/>
    </row>
    <row r="10" spans="1:1" ht="36" customHeight="1" x14ac:dyDescent="0.2">
      <c r="A10" s="298" t="s">
        <v>313</v>
      </c>
    </row>
    <row r="11" spans="1:1" ht="9.9499999999999993" customHeight="1" x14ac:dyDescent="0.2">
      <c r="A11" s="298"/>
    </row>
    <row r="12" spans="1:1" ht="38.25" customHeight="1" x14ac:dyDescent="0.2">
      <c r="A12" s="298" t="s">
        <v>312</v>
      </c>
    </row>
    <row r="13" spans="1:1" ht="9.9499999999999993" customHeight="1" x14ac:dyDescent="0.2">
      <c r="A13" s="298"/>
    </row>
    <row r="14" spans="1:1" ht="24" x14ac:dyDescent="0.2">
      <c r="A14" s="298" t="s">
        <v>311</v>
      </c>
    </row>
    <row r="15" spans="1:1" ht="9.9499999999999993" customHeight="1" x14ac:dyDescent="0.2">
      <c r="A15" s="298"/>
    </row>
    <row r="16" spans="1:1" ht="24" x14ac:dyDescent="0.2">
      <c r="A16" s="298" t="s">
        <v>310</v>
      </c>
    </row>
    <row r="17" spans="1:1" ht="9.9499999999999993" customHeight="1" x14ac:dyDescent="0.2">
      <c r="A17" s="298"/>
    </row>
    <row r="18" spans="1:1" ht="39.75" customHeight="1" x14ac:dyDescent="0.2">
      <c r="A18" s="298" t="s">
        <v>309</v>
      </c>
    </row>
    <row r="19" spans="1:1" ht="9.9499999999999993" customHeight="1" x14ac:dyDescent="0.2">
      <c r="A19" s="298"/>
    </row>
    <row r="20" spans="1:1" ht="24" x14ac:dyDescent="0.2">
      <c r="A20" s="298" t="s">
        <v>308</v>
      </c>
    </row>
    <row r="21" spans="1:1" ht="9.9499999999999993" customHeight="1" x14ac:dyDescent="0.2">
      <c r="A21" s="298"/>
    </row>
    <row r="22" spans="1:1" ht="36" x14ac:dyDescent="0.2">
      <c r="A22" s="298" t="s">
        <v>307</v>
      </c>
    </row>
    <row r="23" spans="1:1" ht="9.9499999999999993" customHeight="1" x14ac:dyDescent="0.2">
      <c r="A23" s="298"/>
    </row>
    <row r="24" spans="1:1" ht="24" x14ac:dyDescent="0.2">
      <c r="A24" s="298" t="s">
        <v>306</v>
      </c>
    </row>
    <row r="25" spans="1:1" ht="9.9499999999999993" customHeight="1" x14ac:dyDescent="0.2">
      <c r="A25" s="298"/>
    </row>
    <row r="26" spans="1:1" ht="24" x14ac:dyDescent="0.2">
      <c r="A26" s="296" t="s">
        <v>305</v>
      </c>
    </row>
    <row r="27" spans="1:1" ht="12" x14ac:dyDescent="0.2">
      <c r="A27" s="298"/>
    </row>
    <row r="28" spans="1:1" ht="45" customHeight="1" x14ac:dyDescent="0.2">
      <c r="A28" s="298" t="s">
        <v>304</v>
      </c>
    </row>
    <row r="30" spans="1:1" ht="36" customHeight="1" x14ac:dyDescent="0.2">
      <c r="A30" s="298" t="s">
        <v>303</v>
      </c>
    </row>
    <row r="31" spans="1:1" ht="9.9499999999999993" customHeight="1" x14ac:dyDescent="0.2">
      <c r="A31" s="297"/>
    </row>
    <row r="32" spans="1:1" ht="12" x14ac:dyDescent="0.2">
      <c r="A32" s="296" t="s">
        <v>302</v>
      </c>
    </row>
    <row r="34" spans="1:1" ht="12" x14ac:dyDescent="0.2">
      <c r="A34" s="296" t="s">
        <v>301</v>
      </c>
    </row>
  </sheetData>
  <pageMargins left="0.25" right="0.25" top="0.5" bottom="0.5" header="0.3" footer="0.3"/>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2DA1-9BFD-4CEA-95E9-D566FA62B19B}">
  <dimension ref="A1:IB66"/>
  <sheetViews>
    <sheetView showGridLines="0" topLeftCell="A25" zoomScale="80" zoomScaleNormal="80" workbookViewId="0">
      <selection activeCell="O63" sqref="O63"/>
    </sheetView>
  </sheetViews>
  <sheetFormatPr defaultRowHeight="12.75" x14ac:dyDescent="0.2"/>
  <cols>
    <col min="1" max="1" width="31" customWidth="1"/>
    <col min="2" max="2" width="2.140625" customWidth="1"/>
    <col min="3" max="3" width="21.140625" customWidth="1"/>
    <col min="4" max="4" width="15.28515625" customWidth="1"/>
    <col min="5" max="5" width="10.140625" customWidth="1"/>
    <col min="6" max="6" width="5.5703125" customWidth="1"/>
    <col min="7" max="8" width="13.28515625" customWidth="1"/>
    <col min="9" max="9" width="14.5703125" customWidth="1"/>
    <col min="10" max="10" width="13.28515625" customWidth="1"/>
    <col min="11" max="11" width="7" customWidth="1"/>
    <col min="12" max="12" width="15.140625" customWidth="1"/>
    <col min="13" max="13" width="17.28515625" bestFit="1" customWidth="1"/>
    <col min="14" max="14" width="16.7109375" customWidth="1"/>
    <col min="15" max="15" width="19.140625" bestFit="1" customWidth="1"/>
    <col min="16" max="16" width="12.85546875" bestFit="1" customWidth="1"/>
    <col min="18" max="18" width="9.1406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84</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row>
    <row r="6" spans="1:30" x14ac:dyDescent="0.2">
      <c r="A6" s="335">
        <f ca="1">TODAY()</f>
        <v>45371</v>
      </c>
      <c r="B6" s="210" t="s">
        <v>231</v>
      </c>
      <c r="C6" s="335"/>
      <c r="D6" s="335"/>
      <c r="E6" s="335"/>
      <c r="F6" s="335"/>
      <c r="G6" s="335"/>
      <c r="H6" s="335"/>
      <c r="I6" s="335"/>
    </row>
    <row r="7" spans="1:30" ht="26.25" x14ac:dyDescent="0.4">
      <c r="A7" s="369"/>
      <c r="B7" s="369"/>
      <c r="C7" s="369"/>
      <c r="D7" s="369"/>
      <c r="E7" s="369"/>
      <c r="F7" s="369"/>
      <c r="G7" s="369"/>
      <c r="H7" s="369"/>
      <c r="I7" s="369"/>
      <c r="J7" s="369"/>
      <c r="K7" s="369"/>
      <c r="L7" s="369"/>
      <c r="M7" s="369"/>
      <c r="N7" s="369"/>
      <c r="O7" s="369"/>
      <c r="P7" s="369"/>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2"/>
      <c r="K12" s="92"/>
      <c r="L12" s="128"/>
      <c r="M12" s="128"/>
      <c r="N12" s="128"/>
      <c r="O12" s="128"/>
      <c r="P12" s="12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28" t="s">
        <v>27</v>
      </c>
      <c r="B13" s="22"/>
      <c r="C13" s="22"/>
      <c r="D13" s="22"/>
      <c r="E13" s="22"/>
      <c r="F13" s="22"/>
      <c r="G13" s="22"/>
      <c r="H13" s="22"/>
      <c r="I13" s="22"/>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
      <c r="A15" s="31" t="s">
        <v>52</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193"/>
      <c r="Y15" s="193"/>
      <c r="Z15" s="193"/>
      <c r="AA15" s="193"/>
      <c r="AB15" s="193"/>
      <c r="AC15" s="193"/>
      <c r="AD15" s="193"/>
    </row>
    <row r="16" spans="1:30" x14ac:dyDescent="0.2">
      <c r="A16" s="31" t="s">
        <v>227</v>
      </c>
      <c r="B16" s="31"/>
      <c r="C16" s="32">
        <f>'Customer Info'!B21</f>
        <v>1000</v>
      </c>
      <c r="D16" s="31" t="s">
        <v>41</v>
      </c>
      <c r="E16" s="31"/>
      <c r="F16" s="33"/>
      <c r="G16" s="23" t="s">
        <v>15</v>
      </c>
      <c r="H16" s="31"/>
    </row>
    <row r="17" spans="1:221" x14ac:dyDescent="0.2">
      <c r="A17" s="31" t="s">
        <v>228</v>
      </c>
      <c r="B17" s="31"/>
      <c r="C17" s="32">
        <f>'Customer Info'!B22</f>
        <v>0</v>
      </c>
      <c r="D17" s="262" t="s">
        <v>41</v>
      </c>
      <c r="E17" s="33"/>
      <c r="F17" s="33"/>
      <c r="G17" s="23" t="s">
        <v>15</v>
      </c>
      <c r="H17" s="31"/>
      <c r="I17" s="52" t="s">
        <v>15</v>
      </c>
    </row>
    <row r="19" spans="1:221" x14ac:dyDescent="0.2">
      <c r="A19" s="28" t="s">
        <v>31</v>
      </c>
      <c r="B19" s="22"/>
      <c r="C19" s="22"/>
      <c r="D19" s="22"/>
      <c r="E19" s="22"/>
      <c r="F19" s="22"/>
      <c r="G19" s="362" t="s">
        <v>68</v>
      </c>
      <c r="H19" s="363"/>
      <c r="I19" s="363"/>
      <c r="J19" s="364"/>
      <c r="K19" s="22"/>
      <c r="L19" s="365" t="s">
        <v>69</v>
      </c>
      <c r="M19" s="365"/>
      <c r="N19" s="365"/>
      <c r="O19" s="365"/>
    </row>
    <row r="20" spans="1:221" x14ac:dyDescent="0.2">
      <c r="A20" s="18"/>
      <c r="B20" s="18"/>
      <c r="C20" s="18"/>
      <c r="D20" s="18"/>
      <c r="E20" s="18"/>
      <c r="F20" s="18"/>
      <c r="G20" s="8" t="s">
        <v>65</v>
      </c>
      <c r="H20" s="8" t="s">
        <v>66</v>
      </c>
      <c r="I20" s="8" t="s">
        <v>67</v>
      </c>
      <c r="J20" s="112" t="s">
        <v>34</v>
      </c>
      <c r="K20" s="18"/>
      <c r="L20" s="336" t="s">
        <v>65</v>
      </c>
      <c r="M20" s="336" t="s">
        <v>66</v>
      </c>
      <c r="N20" s="336" t="s">
        <v>67</v>
      </c>
      <c r="O20" s="132" t="s">
        <v>34</v>
      </c>
      <c r="P20" s="43" t="s">
        <v>57</v>
      </c>
    </row>
    <row r="21" spans="1:221" x14ac:dyDescent="0.2">
      <c r="A21" t="s">
        <v>32</v>
      </c>
      <c r="G21" s="86"/>
      <c r="H21" s="86"/>
      <c r="I21" s="86">
        <v>9.4</v>
      </c>
      <c r="J21" s="86">
        <f>SUM(G21:I21)</f>
        <v>9.4</v>
      </c>
      <c r="L21" s="88"/>
      <c r="M21" s="88"/>
      <c r="N21" s="88">
        <f>I21</f>
        <v>9.4</v>
      </c>
      <c r="O21" s="209">
        <f>SUM(L21:N21)</f>
        <v>9.4</v>
      </c>
      <c r="P21" s="245">
        <v>44531</v>
      </c>
    </row>
    <row r="22" spans="1:221" x14ac:dyDescent="0.2">
      <c r="A22" s="287" t="s">
        <v>132</v>
      </c>
      <c r="D22" s="1">
        <f>C15</f>
        <v>1000</v>
      </c>
      <c r="E22" s="35" t="s">
        <v>41</v>
      </c>
      <c r="F22" s="4" t="s">
        <v>8</v>
      </c>
      <c r="G22" s="84"/>
      <c r="H22" s="84"/>
      <c r="I22" s="84">
        <v>2.05802E-2</v>
      </c>
      <c r="J22" s="84">
        <f>SUM(G22:I22)</f>
        <v>2.05802E-2</v>
      </c>
      <c r="K22" s="36" t="s">
        <v>42</v>
      </c>
      <c r="L22" s="87"/>
      <c r="M22" s="87"/>
      <c r="N22" s="87">
        <f>IF(C15&lt;0,0,ROUND($D22*I22,2))</f>
        <v>20.58</v>
      </c>
      <c r="O22" s="209">
        <f>SUM(L22:N22)</f>
        <v>20.58</v>
      </c>
      <c r="P22" s="245">
        <v>44531</v>
      </c>
    </row>
    <row r="23" spans="1:221" x14ac:dyDescent="0.2">
      <c r="A23" s="37" t="s">
        <v>50</v>
      </c>
      <c r="B23" s="37"/>
      <c r="C23" s="37"/>
      <c r="D23" s="38"/>
      <c r="E23" s="38"/>
      <c r="F23" s="37"/>
      <c r="G23" s="37"/>
      <c r="H23" s="37"/>
      <c r="I23" s="37"/>
      <c r="J23" s="37"/>
      <c r="K23" s="39"/>
      <c r="L23" s="40"/>
      <c r="M23" s="40"/>
      <c r="N23" s="40">
        <f>SUM(N21:N22)</f>
        <v>29.979999999999997</v>
      </c>
      <c r="O23" s="40">
        <f>SUM(O21:O22)</f>
        <v>29.979999999999997</v>
      </c>
    </row>
    <row r="24" spans="1:221" x14ac:dyDescent="0.2">
      <c r="A24" s="89"/>
      <c r="B24" s="89"/>
      <c r="C24" s="90"/>
      <c r="D24" s="90"/>
      <c r="E24" s="90"/>
      <c r="F24" s="90"/>
      <c r="G24" s="91"/>
      <c r="H24" s="91"/>
      <c r="I24" s="91"/>
      <c r="J24" s="91"/>
      <c r="K24" s="89"/>
      <c r="L24" s="89"/>
      <c r="M24" s="89"/>
      <c r="N24" s="89"/>
      <c r="O24" s="89"/>
      <c r="P24" s="89"/>
    </row>
    <row r="25" spans="1:221" x14ac:dyDescent="0.2">
      <c r="A25" s="148" t="s">
        <v>70</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79</v>
      </c>
      <c r="B27" s="176"/>
      <c r="C27" s="176"/>
      <c r="D27" s="100">
        <f>IF($C$15&lt;0,0,IF($C$15&gt;833000,833000,$C$15))</f>
        <v>1000</v>
      </c>
      <c r="E27" s="101" t="s">
        <v>41</v>
      </c>
      <c r="F27" s="102" t="s">
        <v>8</v>
      </c>
      <c r="G27" s="103"/>
      <c r="H27" s="103"/>
      <c r="I27" s="103">
        <f>'Rider Rates'!$B$4</f>
        <v>5.9216E-3</v>
      </c>
      <c r="J27" s="103">
        <f t="shared" ref="J27:J48" si="0">SUM(G27:I27)</f>
        <v>5.9216E-3</v>
      </c>
      <c r="K27" s="104" t="s">
        <v>42</v>
      </c>
      <c r="L27" s="105"/>
      <c r="M27" s="105"/>
      <c r="N27" s="105">
        <f t="shared" ref="N27:N32" si="1">ROUND(D27*I27,2)</f>
        <v>5.92</v>
      </c>
      <c r="O27" s="105">
        <f t="shared" ref="O27:O49" si="2">SUM(L27:N27)</f>
        <v>5.92</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80</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97</v>
      </c>
      <c r="B29" s="78"/>
      <c r="C29" s="78"/>
      <c r="D29" s="100">
        <f>IF('Customer Info'!$C$32=TRUE,0,IF($C$15&lt;0,0,IF($C$15&gt;2000,2000,$C$15)))</f>
        <v>1000</v>
      </c>
      <c r="E29" s="101" t="s">
        <v>41</v>
      </c>
      <c r="F29" s="102" t="s">
        <v>8</v>
      </c>
      <c r="G29" s="103"/>
      <c r="H29" s="103"/>
      <c r="I29" s="177">
        <f>'Rider Rates'!$B$8</f>
        <v>4.6499999999999996E-3</v>
      </c>
      <c r="J29" s="177">
        <f t="shared" si="0"/>
        <v>4.6499999999999996E-3</v>
      </c>
      <c r="K29" s="104" t="s">
        <v>42</v>
      </c>
      <c r="L29" s="105"/>
      <c r="M29" s="105"/>
      <c r="N29" s="105">
        <f t="shared" si="1"/>
        <v>4.6500000000000004</v>
      </c>
      <c r="O29" s="105">
        <f t="shared" si="2"/>
        <v>4.6500000000000004</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98</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99</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10" t="s">
        <v>160</v>
      </c>
      <c r="B32" s="78"/>
      <c r="C32" s="78"/>
      <c r="D32" s="100">
        <f>IF($C$15&lt;0,0,$C$15)</f>
        <v>1000</v>
      </c>
      <c r="E32" s="101" t="s">
        <v>41</v>
      </c>
      <c r="F32" s="102" t="s">
        <v>8</v>
      </c>
      <c r="G32" s="103"/>
      <c r="H32" s="103"/>
      <c r="I32" s="103">
        <f>'Rider Rates'!$B$16</f>
        <v>0</v>
      </c>
      <c r="J32" s="103">
        <f>SUM(G32:I32)</f>
        <v>0</v>
      </c>
      <c r="K32" s="104" t="s">
        <v>42</v>
      </c>
      <c r="L32" s="105"/>
      <c r="M32" s="105"/>
      <c r="N32" s="105">
        <f t="shared" si="1"/>
        <v>0</v>
      </c>
      <c r="O32" s="105">
        <f t="shared" si="2"/>
        <v>0</v>
      </c>
      <c r="P32" s="245">
        <f>'Rider Rates'!$D$16</f>
        <v>45322</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239</v>
      </c>
      <c r="B33" s="78"/>
      <c r="C33" s="78"/>
      <c r="D33" s="195">
        <f>$N$23</f>
        <v>29.979999999999997</v>
      </c>
      <c r="E33" s="101" t="s">
        <v>122</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187</v>
      </c>
      <c r="B34" s="78"/>
      <c r="C34" s="78"/>
      <c r="D34" s="100">
        <f>'GS-PEV OAD'!C16+'GS-PEV OAD'!C17</f>
        <v>1000</v>
      </c>
      <c r="E34" s="101" t="s">
        <v>41</v>
      </c>
      <c r="F34" s="102" t="s">
        <v>8</v>
      </c>
      <c r="G34" s="103"/>
      <c r="H34" s="103"/>
      <c r="I34" s="103"/>
      <c r="J34" s="237">
        <f>SUM(G34:H34)</f>
        <v>0</v>
      </c>
      <c r="K34" s="104" t="s">
        <v>42</v>
      </c>
      <c r="L34" s="105"/>
      <c r="M34" s="105"/>
      <c r="N34" s="105"/>
      <c r="O34" s="105">
        <f t="shared" si="2"/>
        <v>0</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10" t="s">
        <v>163</v>
      </c>
      <c r="B35" s="78"/>
      <c r="C35" s="78"/>
      <c r="D35" s="100">
        <f>C16</f>
        <v>1000</v>
      </c>
      <c r="E35" s="101" t="s">
        <v>41</v>
      </c>
      <c r="F35" s="102" t="s">
        <v>8</v>
      </c>
      <c r="G35" s="103"/>
      <c r="H35" s="103"/>
      <c r="I35" s="103"/>
      <c r="J35" s="237">
        <f>SUM(G35:H35)</f>
        <v>0</v>
      </c>
      <c r="K35" s="104" t="s">
        <v>42</v>
      </c>
      <c r="L35" s="105"/>
      <c r="M35" s="105"/>
      <c r="N35" s="105"/>
      <c r="O35" s="105">
        <f t="shared" si="2"/>
        <v>0</v>
      </c>
      <c r="P35" s="245">
        <f>'Rider Rates'!$D$35</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221</v>
      </c>
      <c r="B36" s="78"/>
      <c r="C36" s="78"/>
      <c r="D36" s="100">
        <f>C17</f>
        <v>0</v>
      </c>
      <c r="E36" s="101" t="s">
        <v>41</v>
      </c>
      <c r="F36" s="249" t="s">
        <v>8</v>
      </c>
      <c r="G36" s="103"/>
      <c r="H36" s="103"/>
      <c r="I36" s="103"/>
      <c r="J36" s="237">
        <f>SUM(G36:H36)</f>
        <v>0</v>
      </c>
      <c r="K36" s="104" t="s">
        <v>42</v>
      </c>
      <c r="L36" s="105"/>
      <c r="M36" s="105"/>
      <c r="N36" s="105"/>
      <c r="O36" s="105">
        <f t="shared" si="2"/>
        <v>0</v>
      </c>
      <c r="P36" s="245">
        <f>'Rider Rates'!D36</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194</v>
      </c>
      <c r="B37" s="78"/>
      <c r="C37" s="78"/>
      <c r="D37" s="100">
        <f>C16+C17</f>
        <v>1000</v>
      </c>
      <c r="E37" s="101" t="s">
        <v>41</v>
      </c>
      <c r="F37" s="102" t="s">
        <v>8</v>
      </c>
      <c r="G37" s="103"/>
      <c r="H37" s="103"/>
      <c r="I37" s="103"/>
      <c r="J37" s="237">
        <f>SUM(G37:H37)</f>
        <v>0</v>
      </c>
      <c r="K37" s="104" t="s">
        <v>42</v>
      </c>
      <c r="L37" s="105"/>
      <c r="M37" s="105"/>
      <c r="N37" s="105"/>
      <c r="O37" s="105">
        <f t="shared" si="2"/>
        <v>0</v>
      </c>
      <c r="P37" s="245">
        <f>'Rider Rates'!$D$42</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41" t="s">
        <v>212</v>
      </c>
      <c r="B38" s="78"/>
      <c r="C38" s="78"/>
      <c r="D38" s="100">
        <f>IF($C$15&lt;0,0,IF($C$15&gt;833000,833000,$C$15))</f>
        <v>1000</v>
      </c>
      <c r="E38" s="101" t="s">
        <v>41</v>
      </c>
      <c r="F38" s="102" t="s">
        <v>8</v>
      </c>
      <c r="G38" s="103"/>
      <c r="H38" s="103"/>
      <c r="I38" s="103">
        <f>'Rider Rates'!D46</f>
        <v>1.7826999999999999E-3</v>
      </c>
      <c r="J38" s="103">
        <f>SUM(G38:I38)</f>
        <v>1.7826999999999999E-3</v>
      </c>
      <c r="K38" s="104" t="s">
        <v>42</v>
      </c>
      <c r="L38" s="105"/>
      <c r="M38" s="105"/>
      <c r="N38" s="105">
        <f>D38*J38</f>
        <v>1.7827</v>
      </c>
      <c r="O38" s="105">
        <f t="shared" si="2"/>
        <v>1.7827</v>
      </c>
      <c r="P38" s="245">
        <f>'Rider Rates'!E46</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10" t="s">
        <v>190</v>
      </c>
      <c r="B39" s="78"/>
      <c r="C39" s="78"/>
      <c r="D39" s="100">
        <f>IF($C$15&lt;0,0,$C$15)</f>
        <v>1000</v>
      </c>
      <c r="E39" s="113" t="s">
        <v>41</v>
      </c>
      <c r="F39" s="102" t="s">
        <v>8</v>
      </c>
      <c r="G39" s="103"/>
      <c r="H39" s="103">
        <f>'Rider Rates'!$B$53</f>
        <v>2.3467399999999999E-2</v>
      </c>
      <c r="I39" s="103"/>
      <c r="J39" s="103">
        <f>SUM(G39:I39)</f>
        <v>2.3467399999999999E-2</v>
      </c>
      <c r="K39" s="104" t="s">
        <v>42</v>
      </c>
      <c r="L39" s="105"/>
      <c r="M39" s="105">
        <f>ROUND(D39*H39,2)</f>
        <v>23.47</v>
      </c>
      <c r="N39" s="205"/>
      <c r="O39" s="105">
        <f t="shared" si="2"/>
        <v>23.47</v>
      </c>
      <c r="P39" s="245">
        <f>'Rider Rates'!$D$53</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96</v>
      </c>
      <c r="B40" s="78"/>
      <c r="C40" s="78"/>
      <c r="D40" s="100">
        <f>IF('Customer Info'!C34=TRUE,0,IF($C$15&lt;0,0,$C$15))</f>
        <v>1000</v>
      </c>
      <c r="E40" s="101" t="s">
        <v>41</v>
      </c>
      <c r="F40" s="102" t="s">
        <v>8</v>
      </c>
      <c r="G40" s="103"/>
      <c r="H40" s="103"/>
      <c r="I40" s="103">
        <f>'Rider Rates'!$B$65+'Rider Rates'!$C$65</f>
        <v>0</v>
      </c>
      <c r="J40" s="103">
        <f t="shared" si="0"/>
        <v>0</v>
      </c>
      <c r="K40" s="104" t="s">
        <v>42</v>
      </c>
      <c r="L40" s="105"/>
      <c r="M40" s="105"/>
      <c r="N40" s="105">
        <f>ROUND($D$40*'Rider Rates'!$B$65,2)+ROUND($D$40*'Rider Rates'!$C$65,2)</f>
        <v>0</v>
      </c>
      <c r="O40" s="105">
        <f t="shared" si="2"/>
        <v>0</v>
      </c>
      <c r="P40" s="245">
        <f>'Rider Rates'!$D$65</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96</v>
      </c>
      <c r="B41" s="78"/>
      <c r="C41" s="78"/>
      <c r="D41" s="100"/>
      <c r="E41" s="101" t="s">
        <v>115</v>
      </c>
      <c r="F41" s="102"/>
      <c r="G41" s="103"/>
      <c r="H41" s="103"/>
      <c r="I41" s="196">
        <f>'Rider Rates'!$B$72</f>
        <v>0</v>
      </c>
      <c r="J41" s="196">
        <f>IF('Customer Info'!C34=TRUE,0,SUM(G41:I41))</f>
        <v>0</v>
      </c>
      <c r="K41" s="104"/>
      <c r="L41" s="105"/>
      <c r="M41" s="105"/>
      <c r="N41" s="105">
        <f>J41</f>
        <v>0</v>
      </c>
      <c r="O41" s="105">
        <f>SUM(L41:N41)</f>
        <v>0</v>
      </c>
      <c r="P41" s="245">
        <f>'Rider Rates'!$D$72</f>
        <v>44197</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81</v>
      </c>
      <c r="B42" s="78"/>
      <c r="C42" s="78"/>
      <c r="D42" s="195">
        <f>$N$23</f>
        <v>29.979999999999997</v>
      </c>
      <c r="E42" s="101" t="s">
        <v>122</v>
      </c>
      <c r="F42" s="102" t="s">
        <v>8</v>
      </c>
      <c r="G42" s="111"/>
      <c r="H42" s="112"/>
      <c r="I42" s="120">
        <f>'Rider Rates'!$B$80</f>
        <v>2.9347000000000002E-2</v>
      </c>
      <c r="J42" s="120">
        <f t="shared" si="0"/>
        <v>2.9347000000000002E-2</v>
      </c>
      <c r="K42" s="104"/>
      <c r="L42" s="105"/>
      <c r="M42" s="105"/>
      <c r="N42" s="105">
        <f>ROUND(D42*I42,2)</f>
        <v>0.88</v>
      </c>
      <c r="O42" s="105">
        <f t="shared" si="2"/>
        <v>0.88</v>
      </c>
      <c r="P42" s="245">
        <f>'Rider Rates'!$D$80</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99" t="s">
        <v>82</v>
      </c>
      <c r="B43" s="78"/>
      <c r="C43" s="78"/>
      <c r="D43" s="195">
        <f>$N$23</f>
        <v>29.979999999999997</v>
      </c>
      <c r="E43" s="101" t="s">
        <v>122</v>
      </c>
      <c r="F43" s="102" t="s">
        <v>8</v>
      </c>
      <c r="G43" s="114"/>
      <c r="H43" s="115"/>
      <c r="I43" s="120">
        <f>'Rider Rates'!$B$82</f>
        <v>6.6985699999999995E-2</v>
      </c>
      <c r="J43" s="120">
        <f t="shared" si="0"/>
        <v>6.6985699999999995E-2</v>
      </c>
      <c r="K43" s="104"/>
      <c r="L43" s="105"/>
      <c r="M43" s="105"/>
      <c r="N43" s="105">
        <f>ROUND(D43*I43,2)</f>
        <v>2.0099999999999998</v>
      </c>
      <c r="O43" s="105">
        <f t="shared" si="2"/>
        <v>2.0099999999999998</v>
      </c>
      <c r="P43" s="245">
        <f>'Rider Rates'!$D$82</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208</v>
      </c>
      <c r="B44" s="78"/>
      <c r="C44" s="78"/>
      <c r="D44" s="195"/>
      <c r="E44" s="113" t="s">
        <v>115</v>
      </c>
      <c r="F44" s="106"/>
      <c r="G44" s="114"/>
      <c r="H44" s="115"/>
      <c r="I44" s="196">
        <f>'Rider Rates'!$B$86</f>
        <v>15.91</v>
      </c>
      <c r="J44" s="196">
        <f t="shared" si="0"/>
        <v>15.91</v>
      </c>
      <c r="K44" s="104"/>
      <c r="L44" s="105"/>
      <c r="M44" s="105"/>
      <c r="N44" s="105">
        <f>I44</f>
        <v>15.91</v>
      </c>
      <c r="O44" s="105">
        <f t="shared" si="2"/>
        <v>15.91</v>
      </c>
      <c r="P44" s="245">
        <f>'Rider Rates'!$D$86</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241</v>
      </c>
      <c r="B45" s="78"/>
      <c r="C45" s="78"/>
      <c r="D45" s="100">
        <f>IF($C$15&lt;0,0,$C$15)</f>
        <v>1000</v>
      </c>
      <c r="E45" s="101" t="s">
        <v>41</v>
      </c>
      <c r="F45" s="102" t="s">
        <v>8</v>
      </c>
      <c r="G45" s="103"/>
      <c r="H45" s="103"/>
      <c r="I45" s="103"/>
      <c r="J45" s="103">
        <f>'Rider Rates'!$B$90</f>
        <v>0</v>
      </c>
      <c r="K45" s="104" t="s">
        <v>42</v>
      </c>
      <c r="L45" s="105"/>
      <c r="M45" s="105"/>
      <c r="N45" s="105"/>
      <c r="O45" s="105">
        <f>ROUND($D45*('Rider Rates'!B$90),2)</f>
        <v>0</v>
      </c>
      <c r="P45" s="245">
        <f>'Rider Rates'!$D$90</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157</v>
      </c>
      <c r="B46" s="78"/>
      <c r="C46" s="78"/>
      <c r="D46" s="195">
        <f>$N$23</f>
        <v>29.979999999999997</v>
      </c>
      <c r="E46" s="101" t="s">
        <v>122</v>
      </c>
      <c r="F46" s="102" t="s">
        <v>8</v>
      </c>
      <c r="G46" s="114"/>
      <c r="H46" s="115"/>
      <c r="I46" s="120">
        <f>'Rider Rates'!$B$100</f>
        <v>0.21398439999999999</v>
      </c>
      <c r="J46" s="120">
        <f t="shared" si="0"/>
        <v>0.21398439999999999</v>
      </c>
      <c r="K46" s="104"/>
      <c r="L46" s="105"/>
      <c r="M46" s="105"/>
      <c r="N46" s="105">
        <f>ROUND(D46*I46,2)</f>
        <v>6.42</v>
      </c>
      <c r="O46" s="105">
        <f t="shared" si="2"/>
        <v>6.42</v>
      </c>
      <c r="P46" s="245">
        <f>'Rider Rates'!$D$100</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211</v>
      </c>
      <c r="B47" s="78"/>
      <c r="C47" s="78"/>
      <c r="D47" s="195"/>
      <c r="E47" s="113" t="s">
        <v>115</v>
      </c>
      <c r="F47" s="106"/>
      <c r="G47" s="114"/>
      <c r="H47" s="115"/>
      <c r="I47" s="196">
        <f>'Rider Rates'!$B$104</f>
        <v>0</v>
      </c>
      <c r="J47" s="196">
        <f t="shared" si="0"/>
        <v>0</v>
      </c>
      <c r="K47" s="104"/>
      <c r="L47" s="105"/>
      <c r="M47" s="105"/>
      <c r="N47" s="105">
        <f>I47</f>
        <v>0</v>
      </c>
      <c r="O47" s="105">
        <f t="shared" si="2"/>
        <v>0</v>
      </c>
      <c r="P47" s="245">
        <f>'Rider Rates'!$D$104</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219</v>
      </c>
      <c r="B48" s="78"/>
      <c r="C48" s="78"/>
      <c r="D48" s="195"/>
      <c r="E48" s="113" t="s">
        <v>115</v>
      </c>
      <c r="F48" s="106"/>
      <c r="G48" s="114"/>
      <c r="H48" s="115"/>
      <c r="I48" s="258">
        <f>'Rider Rates'!B117</f>
        <v>5.83</v>
      </c>
      <c r="J48" s="196">
        <f t="shared" si="0"/>
        <v>5.83</v>
      </c>
      <c r="K48" s="104"/>
      <c r="L48" s="105"/>
      <c r="M48" s="105"/>
      <c r="N48" s="260">
        <f>I48</f>
        <v>5.83</v>
      </c>
      <c r="O48" s="105">
        <f t="shared" si="2"/>
        <v>5.83</v>
      </c>
      <c r="P48" s="245">
        <f>'Rider Rates'!D117</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99" t="s">
        <v>158</v>
      </c>
      <c r="B49" s="78"/>
      <c r="C49" s="78"/>
      <c r="D49" s="100">
        <f>C16+C17</f>
        <v>1000</v>
      </c>
      <c r="E49" s="101" t="s">
        <v>41</v>
      </c>
      <c r="F49" s="102" t="s">
        <v>8</v>
      </c>
      <c r="G49" s="103"/>
      <c r="H49" s="103"/>
      <c r="I49" s="120"/>
      <c r="J49" s="237">
        <f>SUM(G49:H49)</f>
        <v>0</v>
      </c>
      <c r="K49" s="104" t="s">
        <v>42</v>
      </c>
      <c r="L49" s="105"/>
      <c r="M49" s="105"/>
      <c r="N49" s="105"/>
      <c r="O49" s="105">
        <f t="shared" si="2"/>
        <v>0</v>
      </c>
      <c r="P49" s="245">
        <f>'Rider Rates'!$D$107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10" t="s">
        <v>210</v>
      </c>
      <c r="B50" s="78"/>
      <c r="C50" s="78"/>
      <c r="D50" s="100">
        <f>IF($C$15&lt;1,0,$C$15)</f>
        <v>1000</v>
      </c>
      <c r="E50" s="101" t="s">
        <v>41</v>
      </c>
      <c r="F50" s="249" t="s">
        <v>8</v>
      </c>
      <c r="G50" s="165"/>
      <c r="H50" s="165"/>
      <c r="I50" s="251">
        <f>'Rider Rates'!B113</f>
        <v>-6.2E-4</v>
      </c>
      <c r="J50" s="251">
        <f>SUM(G50:I50)</f>
        <v>-6.2E-4</v>
      </c>
      <c r="K50" s="104" t="s">
        <v>42</v>
      </c>
      <c r="L50" s="105"/>
      <c r="M50" s="105"/>
      <c r="N50" s="105">
        <f>D50*J50</f>
        <v>-0.62</v>
      </c>
      <c r="O50" s="105">
        <f>SUM(L50:N50)</f>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78" t="s">
        <v>235</v>
      </c>
      <c r="B51" s="78"/>
      <c r="C51" s="78"/>
      <c r="D51" s="100">
        <f>IF(C15&lt;0,0,IF(C15&gt;833000,833000,C15))</f>
        <v>1000</v>
      </c>
      <c r="E51" s="101" t="s">
        <v>41</v>
      </c>
      <c r="F51" s="102" t="s">
        <v>8</v>
      </c>
      <c r="G51" s="265"/>
      <c r="H51" s="265"/>
      <c r="I51" s="265">
        <f>'Rider Rates'!$B$121</f>
        <v>2.9050000000000001E-4</v>
      </c>
      <c r="J51" s="265">
        <f>SUM(G51:I51)</f>
        <v>2.9050000000000001E-4</v>
      </c>
      <c r="K51" s="104" t="s">
        <v>42</v>
      </c>
      <c r="L51" s="266"/>
      <c r="M51" s="266"/>
      <c r="N51" s="266">
        <f>IF(D51*J51&gt;'Rider Rates'!$C$121,'Rider Rates'!$C$121,D51*J51)</f>
        <v>0.29050000000000004</v>
      </c>
      <c r="O51" s="266">
        <f>SUM(L51:N51)</f>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78" t="s">
        <v>236</v>
      </c>
      <c r="B52" s="78"/>
      <c r="C52" s="78"/>
      <c r="D52" s="123">
        <f>IF(C15&gt;833000,C15-833000,0)</f>
        <v>0</v>
      </c>
      <c r="E52" s="101" t="s">
        <v>41</v>
      </c>
      <c r="F52" s="102" t="s">
        <v>8</v>
      </c>
      <c r="G52" s="265"/>
      <c r="H52" s="265"/>
      <c r="I52" s="265">
        <f>'Rider Rates'!$B$122</f>
        <v>0</v>
      </c>
      <c r="J52" s="265">
        <f>SUM(G52:I52)</f>
        <v>0</v>
      </c>
      <c r="K52" s="104" t="s">
        <v>42</v>
      </c>
      <c r="L52" s="266"/>
      <c r="M52" s="266"/>
      <c r="N52" s="266">
        <f>D52*J52</f>
        <v>0</v>
      </c>
      <c r="O52" s="266">
        <f>SUM(L52:N52)</f>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241" t="s">
        <v>244</v>
      </c>
      <c r="B53" s="78"/>
      <c r="C53" s="78"/>
      <c r="D53" s="100">
        <f>C15</f>
        <v>1000</v>
      </c>
      <c r="E53" s="101" t="s">
        <v>41</v>
      </c>
      <c r="F53" s="249" t="s">
        <v>8</v>
      </c>
      <c r="G53" s="103"/>
      <c r="H53" s="103"/>
      <c r="I53" s="103">
        <f>'Rider Rates'!$B$126</f>
        <v>0</v>
      </c>
      <c r="J53" s="237">
        <f>SUM(G53:I53)</f>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241" t="s">
        <v>243</v>
      </c>
      <c r="B54" s="78"/>
      <c r="C54" s="78"/>
      <c r="D54" s="100"/>
      <c r="E54" s="101" t="s">
        <v>115</v>
      </c>
      <c r="F54" s="102" t="s">
        <v>8</v>
      </c>
      <c r="G54" s="263"/>
      <c r="H54" s="263"/>
      <c r="I54" s="263">
        <f>'Rider Rates'!$B$133</f>
        <v>0</v>
      </c>
      <c r="J54" s="263">
        <f>SUM(G54:I54)</f>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179" t="s">
        <v>71</v>
      </c>
      <c r="B56" s="148"/>
      <c r="C56" s="148"/>
      <c r="D56" s="180"/>
      <c r="E56" s="181"/>
      <c r="F56" s="182"/>
      <c r="G56" s="182"/>
      <c r="H56" s="182"/>
      <c r="I56" s="182"/>
      <c r="J56" s="182"/>
      <c r="K56" s="183"/>
      <c r="L56" s="169">
        <f>SUM(L27:L55)</f>
        <v>0</v>
      </c>
      <c r="M56" s="169">
        <f t="shared" ref="M56:O56" si="3">SUM(M27:M55)</f>
        <v>23.47</v>
      </c>
      <c r="N56" s="169">
        <f t="shared" si="3"/>
        <v>43.073200000000007</v>
      </c>
      <c r="O56" s="169">
        <f t="shared" si="3"/>
        <v>66.543199999999985</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85" t="s">
        <v>94</v>
      </c>
      <c r="B58" s="170"/>
      <c r="C58" s="170"/>
      <c r="D58" s="170"/>
      <c r="E58" s="170"/>
      <c r="F58" s="170"/>
      <c r="G58" s="170"/>
      <c r="H58" s="170"/>
      <c r="I58" s="170"/>
      <c r="J58" s="170"/>
      <c r="K58" s="170"/>
      <c r="L58" s="186">
        <f>L23+L56</f>
        <v>0</v>
      </c>
      <c r="M58" s="186">
        <f>M23+M56</f>
        <v>23.47</v>
      </c>
      <c r="N58" s="186">
        <f>N23+N56</f>
        <v>73.053200000000004</v>
      </c>
      <c r="O58" s="187">
        <f>O23+O56</f>
        <v>96.523199999999974</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x14ac:dyDescent="0.2">
      <c r="A61" s="166" t="s">
        <v>93</v>
      </c>
      <c r="B61" s="78"/>
      <c r="C61" s="78"/>
      <c r="D61" s="78"/>
      <c r="E61" s="78"/>
      <c r="F61" s="78"/>
      <c r="G61" s="78"/>
      <c r="H61" s="78"/>
      <c r="I61" s="78"/>
      <c r="J61" s="78"/>
      <c r="K61" s="78"/>
      <c r="L61" s="78"/>
      <c r="M61" s="78"/>
      <c r="N61" s="78"/>
      <c r="O61" s="109">
        <f>O21+O56</f>
        <v>75.94319999999999</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x14ac:dyDescent="0.2">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x14ac:dyDescent="0.2">
      <c r="A63" s="148" t="s">
        <v>117</v>
      </c>
      <c r="B63" s="151"/>
      <c r="C63" s="151"/>
      <c r="D63" s="151"/>
      <c r="E63" s="151"/>
      <c r="F63" s="151"/>
      <c r="G63" s="151"/>
      <c r="H63" s="151"/>
      <c r="I63" s="151"/>
      <c r="J63" s="151"/>
      <c r="K63" s="151"/>
      <c r="L63" s="151"/>
      <c r="M63" s="151"/>
      <c r="N63" s="151"/>
      <c r="O63" s="190">
        <f>IF($D$17&lt;0,O58,IF(O58&gt;O61,O58,O61))</f>
        <v>96.523199999999974</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2">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x14ac:dyDescent="0.2">
      <c r="A65" s="148"/>
      <c r="B65" s="166"/>
      <c r="C65" s="166"/>
      <c r="D65" s="166"/>
      <c r="E65" s="166"/>
      <c r="F65" s="166"/>
      <c r="G65" s="166"/>
      <c r="H65" s="166"/>
      <c r="I65" s="166" t="s">
        <v>121</v>
      </c>
      <c r="J65" s="166"/>
      <c r="K65" s="166"/>
      <c r="L65" s="191"/>
      <c r="M65" s="191"/>
      <c r="N65" s="191"/>
      <c r="O65" s="191">
        <f>ROUND(IF($C$15&lt;1,0,O58/($C$15*100)*10000),2)</f>
        <v>9.65</v>
      </c>
      <c r="P65" s="37" t="s">
        <v>87</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x14ac:dyDescent="0.2">
      <c r="B66" s="78"/>
      <c r="C66" s="78"/>
      <c r="D66" s="78"/>
      <c r="E66" s="78"/>
      <c r="F66" s="78"/>
      <c r="G66" s="78"/>
      <c r="H66" s="192"/>
      <c r="I66" s="242" t="s">
        <v>191</v>
      </c>
      <c r="J66" s="78"/>
      <c r="K66" s="78"/>
      <c r="L66" s="78"/>
      <c r="M66" s="78"/>
      <c r="N66" s="78"/>
      <c r="O66" s="243">
        <f>ROUND(IF($C$15&lt;1,0,(L58)/($C$15*100)*10000),2)</f>
        <v>0</v>
      </c>
      <c r="P66" s="25" t="s">
        <v>87</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GjT6mKnGb23aojzZd9dAFNd+W/WDC9wGp/WGfnqjVDmR1Es6IuVHd1Du4LV95mQJZBGa7W78TL2Nf9aUfpk+pg==" saltValue="/OfzJIfaci5kLf8e3dkJjg=="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Button 1">
              <controlPr defaultSize="0" print="0" autoFill="0" autoPict="0" macro="[0]!Info">
                <anchor moveWithCells="1">
                  <from>
                    <xdr:col>0</xdr:col>
                    <xdr:colOff>57150</xdr:colOff>
                    <xdr:row>0</xdr:row>
                    <xdr:rowOff>38100</xdr:rowOff>
                  </from>
                  <to>
                    <xdr:col>0</xdr:col>
                    <xdr:colOff>571500</xdr:colOff>
                    <xdr:row>0</xdr:row>
                    <xdr:rowOff>247650</xdr:rowOff>
                  </to>
                </anchor>
              </controlPr>
            </control>
          </mc:Choice>
        </mc:AlternateContent>
        <mc:AlternateContent xmlns:mc="http://schemas.openxmlformats.org/markup-compatibility/2006">
          <mc:Choice Requires="x14">
            <control shapeId="129026" r:id="rId5" name="Button 2">
              <controlPr defaultSize="0" print="0" autoFill="0" autoPict="0" macro="[0]!Info">
                <anchor moveWithCells="1">
                  <from>
                    <xdr:col>15</xdr:col>
                    <xdr:colOff>285750</xdr:colOff>
                    <xdr:row>73</xdr:row>
                    <xdr:rowOff>76200</xdr:rowOff>
                  </from>
                  <to>
                    <xdr:col>15</xdr:col>
                    <xdr:colOff>809625</xdr:colOff>
                    <xdr:row>74</xdr:row>
                    <xdr:rowOff>152400</xdr:rowOff>
                  </to>
                </anchor>
              </controlPr>
            </control>
          </mc:Choice>
        </mc:AlternateContent>
        <mc:AlternateContent xmlns:mc="http://schemas.openxmlformats.org/markup-compatibility/2006">
          <mc:Choice Requires="x14">
            <control shapeId="129027" r:id="rId6" name="Button 3">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9028" r:id="rId7" name="Button 4">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9029" r:id="rId8" name="Button 5">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129030" r:id="rId9" name="Button 6">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V89"/>
  <sheetViews>
    <sheetView showGridLines="0" zoomScale="80" zoomScaleNormal="80" workbookViewId="0">
      <selection activeCell="G46" sqref="G46"/>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291</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282">
        <f ca="1">TODAY()</f>
        <v>45371</v>
      </c>
      <c r="B6" s="99" t="s">
        <v>293</v>
      </c>
      <c r="C6" s="282"/>
      <c r="D6" s="282"/>
      <c r="E6" s="282"/>
      <c r="F6" s="282"/>
      <c r="G6" s="282"/>
      <c r="H6" s="282"/>
      <c r="I6" s="282"/>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Rates'!$C$23</f>
        <v>0.10589</v>
      </c>
      <c r="T12" s="207">
        <f>'Rider Rates'!$C$23</f>
        <v>0.10589</v>
      </c>
      <c r="U12" s="207">
        <f>'Rider Rates'!$C$23</f>
        <v>0.10589</v>
      </c>
      <c r="V12" s="207">
        <f>'Rider Rates'!$C$23</f>
        <v>0.10589</v>
      </c>
      <c r="W12" s="207">
        <f>'Rider Rates'!$C$23</f>
        <v>0.10589</v>
      </c>
      <c r="X12" s="207">
        <f>'Rider Rates'!$B$23</f>
        <v>0.10589</v>
      </c>
      <c r="Y12" s="207">
        <f>'Rider Rates'!$B$23</f>
        <v>0.10589</v>
      </c>
      <c r="Z12" s="207">
        <f>'Rider Rates'!$B$23</f>
        <v>0.10589</v>
      </c>
      <c r="AA12" s="207">
        <f>'Rider Rates'!$B$23</f>
        <v>0.10589</v>
      </c>
      <c r="AB12" s="207">
        <f>'Rider Rates'!$C$23</f>
        <v>0.10589</v>
      </c>
      <c r="AC12" s="207">
        <f>'Rider Rates'!$C$23</f>
        <v>0.10589</v>
      </c>
      <c r="AD12" s="207">
        <f>'Rider Rates'!$C$23</f>
        <v>0.10589</v>
      </c>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ROUND(C14*C20,1)</f>
        <v>0</v>
      </c>
      <c r="E14" s="29" t="s">
        <v>45</v>
      </c>
      <c r="F14" s="30"/>
      <c r="G14" s="29" t="s">
        <v>15</v>
      </c>
      <c r="I14" s="53" t="s">
        <v>15</v>
      </c>
      <c r="J14" s="29"/>
      <c r="K14" s="29"/>
      <c r="L14" s="29"/>
      <c r="M14" s="29"/>
      <c r="N14" s="29"/>
    </row>
    <row r="15" spans="1:256" x14ac:dyDescent="0.2">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C16*C20</f>
        <v>1000</v>
      </c>
      <c r="E16" s="31" t="s">
        <v>41</v>
      </c>
      <c r="F16" s="33"/>
      <c r="G16" s="31"/>
      <c r="H16" s="31"/>
      <c r="I16" s="31"/>
      <c r="J16" s="31"/>
      <c r="K16" s="31"/>
      <c r="L16" s="31"/>
      <c r="M16" s="31"/>
      <c r="N16" s="31"/>
      <c r="O16" s="31"/>
    </row>
    <row r="17" spans="1:30" x14ac:dyDescent="0.2">
      <c r="A17" s="31" t="s">
        <v>286</v>
      </c>
      <c r="B17" s="31"/>
      <c r="C17" s="32">
        <f>'Customer Info'!$B$27</f>
        <v>0</v>
      </c>
      <c r="D17" s="32">
        <f>$C$17*$C$20</f>
        <v>0</v>
      </c>
      <c r="E17" s="31" t="s">
        <v>289</v>
      </c>
      <c r="F17" s="33"/>
      <c r="G17" s="31"/>
      <c r="H17" s="31"/>
      <c r="I17" s="31"/>
      <c r="J17" s="31"/>
      <c r="K17" s="31"/>
      <c r="L17" s="31"/>
      <c r="M17" s="31"/>
      <c r="N17" s="31"/>
      <c r="O17" s="31"/>
    </row>
    <row r="18" spans="1:30" x14ac:dyDescent="0.2">
      <c r="A18" s="31" t="s">
        <v>287</v>
      </c>
      <c r="B18" s="31"/>
      <c r="C18" s="285">
        <f>IF('Customer Info'!$B$18=0,0,ROUND(MAX(ROUND('Customer Info'!$B$18*'GS SEC OAD'!C20,1),ROUND('Customer Info'!$B$19*'GS SEC OAD'!C20,1))/'Customer Info'!$D$29,1))</f>
        <v>0</v>
      </c>
      <c r="D18" s="285">
        <f>$C$18</f>
        <v>0</v>
      </c>
      <c r="E18" s="31" t="s">
        <v>290</v>
      </c>
      <c r="F18" s="33"/>
      <c r="G18" s="31"/>
      <c r="H18" s="31"/>
      <c r="I18" s="31"/>
      <c r="J18" s="31"/>
      <c r="K18" s="31"/>
      <c r="L18" s="31"/>
      <c r="M18" s="31"/>
      <c r="N18" s="31"/>
      <c r="O18" s="31"/>
    </row>
    <row r="19" spans="1:30" x14ac:dyDescent="0.2">
      <c r="A19" s="31" t="s">
        <v>288</v>
      </c>
      <c r="B19" s="31"/>
      <c r="C19" s="32"/>
      <c r="D19" s="285">
        <f>MAX(100,ROUND(1.15*(MAX('Customer Info'!$B$18*'GS SEC OAD'!C20,'Customer Info'!$B$19*'GS SEC OAD'!C20)),1))</f>
        <v>100</v>
      </c>
      <c r="E19" s="31" t="s">
        <v>290</v>
      </c>
      <c r="F19" s="33"/>
      <c r="G19" s="31"/>
      <c r="H19" s="31"/>
      <c r="I19" s="31"/>
      <c r="J19" s="31"/>
      <c r="K19" s="31"/>
      <c r="L19" s="31"/>
      <c r="M19" s="31"/>
      <c r="N19" s="31"/>
      <c r="O19" s="31"/>
    </row>
    <row r="20" spans="1:30" x14ac:dyDescent="0.2">
      <c r="A20" s="31" t="s">
        <v>54</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
      <c r="A21" s="31" t="s">
        <v>15</v>
      </c>
      <c r="B21" s="31"/>
      <c r="C21" s="82" t="s">
        <v>15</v>
      </c>
      <c r="D21" s="371" t="s">
        <v>15</v>
      </c>
      <c r="E21" s="371"/>
      <c r="F21" s="371"/>
      <c r="G21" s="371"/>
      <c r="H21" s="371"/>
      <c r="K21" s="31"/>
      <c r="L21" s="31"/>
      <c r="M21" s="31"/>
      <c r="N21" s="31"/>
      <c r="O21" s="50"/>
    </row>
    <row r="22" spans="1:30" x14ac:dyDescent="0.2">
      <c r="A22" s="31" t="s">
        <v>15</v>
      </c>
      <c r="B22" s="31"/>
      <c r="C22" s="82" t="s">
        <v>15</v>
      </c>
      <c r="D22" s="371" t="s">
        <v>15</v>
      </c>
      <c r="E22" s="371"/>
      <c r="F22" s="371"/>
      <c r="G22" s="371"/>
      <c r="H22" s="371"/>
      <c r="I22" s="23"/>
      <c r="J22" s="23"/>
      <c r="K22" s="31"/>
      <c r="L22" s="31"/>
      <c r="M22" s="31"/>
      <c r="N22" s="31"/>
      <c r="O22" s="50"/>
    </row>
    <row r="23" spans="1:30" x14ac:dyDescent="0.2">
      <c r="A23" s="31"/>
      <c r="B23" s="31"/>
      <c r="C23" s="33"/>
      <c r="D23" s="33"/>
      <c r="E23" s="33"/>
      <c r="F23" s="33"/>
      <c r="G23" s="23"/>
      <c r="H23" s="23"/>
      <c r="I23" s="23"/>
      <c r="J23" s="23"/>
      <c r="K23" s="31"/>
      <c r="L23" s="31"/>
      <c r="M23" s="31"/>
      <c r="N23" s="31"/>
      <c r="O23" s="31"/>
    </row>
    <row r="24" spans="1:30" x14ac:dyDescent="0.2">
      <c r="A24" s="28" t="s">
        <v>31</v>
      </c>
      <c r="B24" s="22"/>
      <c r="C24" s="22"/>
      <c r="D24" s="22"/>
      <c r="E24" s="22"/>
      <c r="F24" s="22"/>
      <c r="G24" s="362" t="s">
        <v>68</v>
      </c>
      <c r="H24" s="363"/>
      <c r="I24" s="363"/>
      <c r="J24" s="364"/>
      <c r="K24" s="22"/>
      <c r="L24" s="365" t="s">
        <v>69</v>
      </c>
      <c r="M24" s="365"/>
      <c r="N24" s="365"/>
      <c r="O24" s="365"/>
    </row>
    <row r="25" spans="1:30" x14ac:dyDescent="0.2">
      <c r="A25" s="18"/>
      <c r="B25" s="18"/>
      <c r="C25" s="18"/>
      <c r="D25" s="18"/>
      <c r="E25" s="18"/>
      <c r="F25" s="18"/>
      <c r="G25" s="8" t="s">
        <v>65</v>
      </c>
      <c r="H25" s="8" t="s">
        <v>66</v>
      </c>
      <c r="I25" s="8" t="s">
        <v>67</v>
      </c>
      <c r="J25" s="112" t="s">
        <v>34</v>
      </c>
      <c r="K25" s="18"/>
      <c r="L25" s="283" t="s">
        <v>65</v>
      </c>
      <c r="M25" s="283" t="s">
        <v>66</v>
      </c>
      <c r="N25" s="283" t="s">
        <v>67</v>
      </c>
      <c r="O25" s="132" t="s">
        <v>34</v>
      </c>
      <c r="P25" s="43" t="s">
        <v>57</v>
      </c>
    </row>
    <row r="26" spans="1:30" x14ac:dyDescent="0.2">
      <c r="A26" t="s">
        <v>32</v>
      </c>
      <c r="G26" s="86"/>
      <c r="H26" s="86"/>
      <c r="I26" s="86">
        <v>9.4</v>
      </c>
      <c r="J26" s="86">
        <f>SUM(G26:I26)</f>
        <v>9.4</v>
      </c>
      <c r="L26" s="88"/>
      <c r="M26" s="88"/>
      <c r="N26" s="88">
        <f>I26</f>
        <v>9.4</v>
      </c>
      <c r="O26" s="209">
        <f>SUM(L26:N26)</f>
        <v>9.4</v>
      </c>
      <c r="P26" s="245">
        <v>44531</v>
      </c>
    </row>
    <row r="27" spans="1:30" x14ac:dyDescent="0.2">
      <c r="A27" t="s">
        <v>132</v>
      </c>
      <c r="D27" s="1">
        <f>D16</f>
        <v>1000</v>
      </c>
      <c r="E27" s="101" t="s">
        <v>41</v>
      </c>
      <c r="F27" s="102" t="s">
        <v>8</v>
      </c>
      <c r="G27" s="84"/>
      <c r="H27" s="86"/>
      <c r="I27" s="86"/>
      <c r="J27" s="84"/>
      <c r="K27" s="104" t="s">
        <v>42</v>
      </c>
      <c r="L27" s="87"/>
      <c r="M27" s="88"/>
      <c r="N27" s="87"/>
      <c r="O27" s="209"/>
      <c r="P27" s="245"/>
    </row>
    <row r="28" spans="1:30" x14ac:dyDescent="0.2">
      <c r="A28" t="s">
        <v>33</v>
      </c>
      <c r="D28" s="49">
        <f>ROUND(MAX(D14,D15,('Customer Info'!B14-100)*0.6,('Customer Info'!B16-100)*0.6),1)</f>
        <v>0</v>
      </c>
      <c r="E28" s="29" t="s">
        <v>45</v>
      </c>
      <c r="F28" s="4" t="s">
        <v>8</v>
      </c>
      <c r="G28" s="85"/>
      <c r="H28" s="85"/>
      <c r="I28" s="85">
        <v>7.01</v>
      </c>
      <c r="J28" s="85">
        <f>SUM(G28:I28)</f>
        <v>7.01</v>
      </c>
      <c r="K28" s="36" t="s">
        <v>44</v>
      </c>
      <c r="L28" s="87"/>
      <c r="M28" s="87"/>
      <c r="N28" s="87">
        <f>ROUND($D28*I28,2)</f>
        <v>0</v>
      </c>
      <c r="O28" s="209">
        <f>SUM(L28:N28)</f>
        <v>0</v>
      </c>
      <c r="P28" s="245">
        <v>44531</v>
      </c>
    </row>
    <row r="29" spans="1:30" x14ac:dyDescent="0.2">
      <c r="A29" t="s">
        <v>262</v>
      </c>
      <c r="D29" s="49">
        <f>IF(D18&lt;=100,0,ROUND(IF(D18-D19&gt;0,D18-D19),1))</f>
        <v>0</v>
      </c>
      <c r="E29" s="29" t="s">
        <v>260</v>
      </c>
      <c r="F29" s="4" t="s">
        <v>8</v>
      </c>
      <c r="G29" s="116"/>
      <c r="H29" s="85"/>
      <c r="I29" s="85">
        <v>1.25</v>
      </c>
      <c r="J29" s="116">
        <f>SUM(G29:I29)</f>
        <v>1.25</v>
      </c>
      <c r="K29" s="36" t="s">
        <v>44</v>
      </c>
      <c r="L29" s="87"/>
      <c r="M29" s="87"/>
      <c r="N29" s="87">
        <f>ROUND($D29*I29,2)</f>
        <v>0</v>
      </c>
      <c r="O29" s="87">
        <f>SUM(L29:N29)</f>
        <v>0</v>
      </c>
      <c r="P29" s="245">
        <v>44531</v>
      </c>
    </row>
    <row r="30" spans="1:30" x14ac:dyDescent="0.2">
      <c r="A30" s="37" t="s">
        <v>50</v>
      </c>
      <c r="B30" s="37"/>
      <c r="C30" s="37"/>
      <c r="D30" s="38"/>
      <c r="E30" s="38"/>
      <c r="F30" s="37"/>
      <c r="G30" s="37"/>
      <c r="H30" s="37"/>
      <c r="I30" s="37"/>
      <c r="J30" s="37"/>
      <c r="K30" s="39"/>
      <c r="L30" s="40"/>
      <c r="M30" s="40"/>
      <c r="N30" s="40">
        <f>SUM(N26:N29)</f>
        <v>9.4</v>
      </c>
      <c r="O30" s="40">
        <f>SUM(O26:O29)</f>
        <v>9.4</v>
      </c>
    </row>
    <row r="31" spans="1:30" x14ac:dyDescent="0.2">
      <c r="A31" s="89"/>
      <c r="B31" s="89"/>
      <c r="C31" s="90"/>
      <c r="D31" s="90"/>
      <c r="E31" s="90"/>
      <c r="F31" s="90"/>
      <c r="G31" s="91"/>
      <c r="H31" s="91"/>
      <c r="I31" s="91"/>
      <c r="J31" s="91"/>
      <c r="K31" s="89"/>
      <c r="L31" s="89"/>
      <c r="M31" s="89"/>
      <c r="N31" s="89"/>
      <c r="O31" s="89"/>
      <c r="P31" s="89"/>
    </row>
    <row r="32" spans="1:30" x14ac:dyDescent="0.2">
      <c r="A32" s="41" t="s">
        <v>70</v>
      </c>
      <c r="D32" s="1"/>
      <c r="E32" s="1"/>
      <c r="K32" s="36"/>
      <c r="L32" s="36"/>
      <c r="M32" s="36"/>
      <c r="N32" s="36"/>
      <c r="O32" s="34"/>
      <c r="P32" s="34"/>
    </row>
    <row r="33" spans="1:221" x14ac:dyDescent="0.2">
      <c r="A33" s="37"/>
      <c r="D33" s="1"/>
      <c r="E33" s="1"/>
      <c r="K33" s="36"/>
      <c r="L33" s="36"/>
      <c r="M33" s="36"/>
      <c r="N33" s="36"/>
      <c r="O33" s="34"/>
    </row>
    <row r="34" spans="1:221" x14ac:dyDescent="0.2">
      <c r="A34" s="78" t="s">
        <v>79</v>
      </c>
      <c r="D34" s="1">
        <f>IF($C$16&lt;0,0,IF($C$16&gt;833000,833000,$C$16))</f>
        <v>1000</v>
      </c>
      <c r="E34" s="35" t="s">
        <v>41</v>
      </c>
      <c r="F34" s="4" t="s">
        <v>8</v>
      </c>
      <c r="G34" s="83"/>
      <c r="H34" s="84"/>
      <c r="I34" s="103">
        <f>'Rider Rates'!$B$4</f>
        <v>5.9216E-3</v>
      </c>
      <c r="J34" s="6">
        <f>SUM(G34:I34)</f>
        <v>5.9216E-3</v>
      </c>
      <c r="K34" s="36" t="s">
        <v>42</v>
      </c>
      <c r="L34" s="87"/>
      <c r="M34" s="87"/>
      <c r="N34" s="87">
        <f>ROUND($D34*I34,2)</f>
        <v>5.92</v>
      </c>
      <c r="O34" s="87">
        <f>SUM(L34:N34)</f>
        <v>5.92</v>
      </c>
      <c r="P34" s="245">
        <f>'Rider Rates'!$D$4</f>
        <v>45293</v>
      </c>
    </row>
    <row r="35" spans="1:221" x14ac:dyDescent="0.2">
      <c r="A35" s="78" t="s">
        <v>80</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1" x14ac:dyDescent="0.2">
      <c r="A36" s="78" t="s">
        <v>47</v>
      </c>
      <c r="B36" t="s">
        <v>15</v>
      </c>
      <c r="D36" s="1">
        <f>IF('Customer Info'!$C$32=TRUE,0,IF(C16&lt;0,0,IF(C16&gt;2000,2000,C16)))</f>
        <v>1000</v>
      </c>
      <c r="E36" s="35" t="s">
        <v>41</v>
      </c>
      <c r="F36" s="4" t="s">
        <v>8</v>
      </c>
      <c r="G36" s="83"/>
      <c r="H36" s="84"/>
      <c r="I36" s="177">
        <f>'Rider Rates'!$B$8</f>
        <v>4.6499999999999996E-3</v>
      </c>
      <c r="J36" s="117">
        <f>SUM(G36:I36)</f>
        <v>4.6499999999999996E-3</v>
      </c>
      <c r="K36" s="36" t="s">
        <v>42</v>
      </c>
      <c r="L36" s="87"/>
      <c r="M36" s="87"/>
      <c r="N36" s="87">
        <f>ROUND($D36*I36,2)</f>
        <v>4.6500000000000004</v>
      </c>
      <c r="O36" s="87">
        <f>SUM(L36:N36)</f>
        <v>4.6500000000000004</v>
      </c>
      <c r="P36" s="245">
        <f>'Rider Rates'!$D$7</f>
        <v>44531</v>
      </c>
    </row>
    <row r="37" spans="1:221" x14ac:dyDescent="0.2">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1" x14ac:dyDescent="0.2">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1" x14ac:dyDescent="0.2">
      <c r="A39" s="241" t="s">
        <v>239</v>
      </c>
      <c r="B39" s="78"/>
      <c r="C39" s="78"/>
      <c r="D39" s="208">
        <f>$N$30</f>
        <v>9.4</v>
      </c>
      <c r="E39" s="101" t="s">
        <v>122</v>
      </c>
      <c r="F39" s="102" t="s">
        <v>8</v>
      </c>
      <c r="G39" s="103"/>
      <c r="H39" s="103"/>
      <c r="I39" s="178">
        <f>'Rider Rates'!$B$18+'Rider Rates'!$E$18</f>
        <v>0</v>
      </c>
      <c r="J39" s="120">
        <f>SUM(H39:I39)</f>
        <v>0</v>
      </c>
      <c r="K39" s="104"/>
      <c r="L39" s="105"/>
      <c r="M39" s="105"/>
      <c r="N39" s="105">
        <f>ROUND($D$39*'Rider Rates'!$B$18,2)+ROUND($D$39*'Rider Rates'!$E$18,2)</f>
        <v>0</v>
      </c>
      <c r="O39" s="105">
        <f t="shared" ref="O39:O48" si="0">SUM(L39:N39)</f>
        <v>0</v>
      </c>
      <c r="P39" s="245">
        <f>MAX('Rider Rates'!$D$18,'Rider Rates'!$F$18)</f>
        <v>44531</v>
      </c>
    </row>
    <row r="40" spans="1:221" x14ac:dyDescent="0.2">
      <c r="A40" s="241" t="s">
        <v>212</v>
      </c>
      <c r="B40" s="78"/>
      <c r="C40" s="78"/>
      <c r="D40" s="1">
        <f>IF($C$16&lt;0,0,IF($C$16&gt;833000,833000,$C$16))</f>
        <v>1000</v>
      </c>
      <c r="E40" s="101" t="s">
        <v>41</v>
      </c>
      <c r="F40" s="102" t="s">
        <v>8</v>
      </c>
      <c r="G40" s="103"/>
      <c r="H40" s="103"/>
      <c r="I40" s="103">
        <f>'Rider Rates'!D46</f>
        <v>1.7826999999999999E-3</v>
      </c>
      <c r="J40" s="103">
        <f>SUM(G40:I40)</f>
        <v>1.7826999999999999E-3</v>
      </c>
      <c r="K40" s="104" t="s">
        <v>42</v>
      </c>
      <c r="L40" s="105"/>
      <c r="M40" s="105"/>
      <c r="N40" s="87">
        <f>D40*J40</f>
        <v>1.7827</v>
      </c>
      <c r="O40" s="105">
        <f t="shared" si="0"/>
        <v>1.7827</v>
      </c>
      <c r="P40" s="245">
        <f>'Rider Rates'!E46</f>
        <v>45292</v>
      </c>
    </row>
    <row r="41" spans="1:221" x14ac:dyDescent="0.2">
      <c r="A41" s="210" t="s">
        <v>190</v>
      </c>
      <c r="B41" s="78"/>
      <c r="C41" s="78"/>
      <c r="D41" s="1">
        <f>IF($C$16&lt;0,0,$C$16)</f>
        <v>1000</v>
      </c>
      <c r="E41" s="113" t="s">
        <v>41</v>
      </c>
      <c r="F41" s="102" t="s">
        <v>8</v>
      </c>
      <c r="G41" s="103"/>
      <c r="H41" s="103">
        <f>'Rider Rates'!$B$54</f>
        <v>6.0079999999999997E-4</v>
      </c>
      <c r="I41" s="103"/>
      <c r="J41" s="103">
        <f>SUM(G41:I41)</f>
        <v>6.0079999999999997E-4</v>
      </c>
      <c r="K41" s="104" t="s">
        <v>42</v>
      </c>
      <c r="L41" s="105"/>
      <c r="M41" s="105">
        <f>ROUND(D41*H41,2)</f>
        <v>0.6</v>
      </c>
      <c r="N41" s="205"/>
      <c r="O41" s="105">
        <f t="shared" si="0"/>
        <v>0.6</v>
      </c>
      <c r="P41" s="245">
        <f>'Rider Rates'!$D$54</f>
        <v>45383</v>
      </c>
    </row>
    <row r="42" spans="1:221" x14ac:dyDescent="0.2">
      <c r="A42" s="210" t="s">
        <v>190</v>
      </c>
      <c r="B42" s="78"/>
      <c r="C42" s="78"/>
      <c r="D42" s="49">
        <f>D28</f>
        <v>0</v>
      </c>
      <c r="E42" s="35" t="s">
        <v>64</v>
      </c>
      <c r="F42" s="4" t="s">
        <v>8</v>
      </c>
      <c r="G42" s="103"/>
      <c r="H42" s="239">
        <f>'Rider Rates'!$B$59</f>
        <v>6.73</v>
      </c>
      <c r="I42" s="103"/>
      <c r="J42" s="239">
        <f>SUM(G42:I42)</f>
        <v>6.73</v>
      </c>
      <c r="K42" s="104" t="s">
        <v>44</v>
      </c>
      <c r="L42" s="105"/>
      <c r="M42" s="105">
        <f>ROUND(D42*H42,2)</f>
        <v>0</v>
      </c>
      <c r="N42" s="205"/>
      <c r="O42" s="105">
        <f t="shared" si="0"/>
        <v>0</v>
      </c>
      <c r="P42" s="245">
        <f>'Rider Rates'!$D$59</f>
        <v>45383</v>
      </c>
    </row>
    <row r="43" spans="1:221" x14ac:dyDescent="0.2">
      <c r="A43" s="99" t="s">
        <v>83</v>
      </c>
      <c r="B43" s="78"/>
      <c r="C43" s="78"/>
      <c r="D43" s="1">
        <f>IF('Customer Info'!C34=TRUE,0,IF($C$16&lt;0,0,$C$16))</f>
        <v>1000</v>
      </c>
      <c r="E43" s="101" t="s">
        <v>41</v>
      </c>
      <c r="F43" s="102" t="s">
        <v>8</v>
      </c>
      <c r="G43" s="103"/>
      <c r="H43" s="103"/>
      <c r="I43" s="103">
        <f>'Rider Rates'!$B$66+'Rider Rates'!$C$66</f>
        <v>0</v>
      </c>
      <c r="J43" s="103">
        <f>SUM(G43:I43)</f>
        <v>0</v>
      </c>
      <c r="K43" s="104" t="s">
        <v>42</v>
      </c>
      <c r="L43" s="105"/>
      <c r="M43" s="105"/>
      <c r="N43" s="87">
        <f>ROUND($D$43*'Rider Rates'!$B$66,2)+ROUND($D$43*'Rider Rates'!$C$66,2)</f>
        <v>0</v>
      </c>
      <c r="O43" s="209">
        <f t="shared" si="0"/>
        <v>0</v>
      </c>
      <c r="P43" s="245">
        <f>'Rider Rates'!$D$66</f>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x14ac:dyDescent="0.2">
      <c r="A44" s="99" t="s">
        <v>83</v>
      </c>
      <c r="B44" s="78"/>
      <c r="C44" s="78"/>
      <c r="D44" s="49">
        <f>IF('Customer Info'!C34=TRUE,0,$D$28)</f>
        <v>0</v>
      </c>
      <c r="E44" s="101" t="s">
        <v>45</v>
      </c>
      <c r="F44" s="102" t="s">
        <v>8</v>
      </c>
      <c r="G44" s="103"/>
      <c r="H44" s="103"/>
      <c r="I44" s="239">
        <f>'Rider Rates'!$B$76</f>
        <v>0</v>
      </c>
      <c r="J44" s="239">
        <f>SUM(G44:I44)</f>
        <v>0</v>
      </c>
      <c r="K44" s="104" t="s">
        <v>42</v>
      </c>
      <c r="L44" s="105"/>
      <c r="M44" s="105"/>
      <c r="N44" s="87">
        <f>ROUND($D44*I44,2)</f>
        <v>0</v>
      </c>
      <c r="O44" s="209">
        <f>SUM(L44:N44)</f>
        <v>0</v>
      </c>
      <c r="P44" s="245">
        <f>'Rider Rates'!$D$76</f>
        <v>44197</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x14ac:dyDescent="0.2">
      <c r="A45" s="99" t="s">
        <v>81</v>
      </c>
      <c r="B45" s="78"/>
      <c r="C45" s="78"/>
      <c r="D45" s="208">
        <f>$N$30</f>
        <v>9.4</v>
      </c>
      <c r="E45" s="101" t="s">
        <v>122</v>
      </c>
      <c r="F45" s="102" t="s">
        <v>8</v>
      </c>
      <c r="G45" s="111"/>
      <c r="H45" s="112"/>
      <c r="I45" s="120">
        <f>'Rider Rates'!$B$80</f>
        <v>2.9347000000000002E-2</v>
      </c>
      <c r="J45" s="120">
        <f>SUM(H45:I45)</f>
        <v>2.9347000000000002E-2</v>
      </c>
      <c r="K45" s="104"/>
      <c r="L45" s="105"/>
      <c r="M45" s="105"/>
      <c r="N45" s="105">
        <f>ROUND(N$30*I45,2)</f>
        <v>0.28000000000000003</v>
      </c>
      <c r="O45" s="209">
        <f t="shared" si="0"/>
        <v>0.28000000000000003</v>
      </c>
      <c r="P45" s="245">
        <f>'Rider Rates'!$D$80</f>
        <v>45383</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x14ac:dyDescent="0.2">
      <c r="A46" s="99" t="s">
        <v>82</v>
      </c>
      <c r="B46" s="78"/>
      <c r="C46" s="78"/>
      <c r="D46" s="208">
        <f>$N$30</f>
        <v>9.4</v>
      </c>
      <c r="E46" s="101" t="s">
        <v>122</v>
      </c>
      <c r="F46" s="102" t="s">
        <v>8</v>
      </c>
      <c r="G46" s="114"/>
      <c r="H46" s="115"/>
      <c r="I46" s="120">
        <f>'Rider Rates'!$B$82</f>
        <v>6.6985699999999995E-2</v>
      </c>
      <c r="J46" s="120">
        <f>SUM(H46:I46)</f>
        <v>6.6985699999999995E-2</v>
      </c>
      <c r="K46" s="104"/>
      <c r="L46" s="105"/>
      <c r="M46" s="105"/>
      <c r="N46" s="105">
        <f>ROUND(N$30*I46,2)</f>
        <v>0.63</v>
      </c>
      <c r="O46" s="209">
        <f t="shared" si="0"/>
        <v>0.63</v>
      </c>
      <c r="P46" s="245">
        <f>'Rider Rates'!$D$82</f>
        <v>45167</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1" x14ac:dyDescent="0.2">
      <c r="A47" s="210" t="s">
        <v>208</v>
      </c>
      <c r="B47" s="78"/>
      <c r="C47" s="78"/>
      <c r="D47" s="195"/>
      <c r="E47" s="113" t="s">
        <v>115</v>
      </c>
      <c r="F47" s="106"/>
      <c r="G47" s="114"/>
      <c r="H47" s="115"/>
      <c r="I47" s="196">
        <f>'Rider Rates'!$B$86</f>
        <v>15.91</v>
      </c>
      <c r="J47" s="196">
        <f>SUM(G47:I47)</f>
        <v>15.91</v>
      </c>
      <c r="K47" s="104"/>
      <c r="L47" s="105"/>
      <c r="M47" s="105"/>
      <c r="N47" s="105">
        <f>I47</f>
        <v>15.91</v>
      </c>
      <c r="O47" s="105">
        <f>SUM(L47:N47)</f>
        <v>15.91</v>
      </c>
      <c r="P47" s="245">
        <f>'Rider Rates'!$D$86</f>
        <v>45351</v>
      </c>
    </row>
    <row r="48" spans="1:221" x14ac:dyDescent="0.2">
      <c r="A48" s="99" t="s">
        <v>157</v>
      </c>
      <c r="B48" s="78"/>
      <c r="C48" s="78"/>
      <c r="D48" s="208">
        <f>$N$30</f>
        <v>9.4</v>
      </c>
      <c r="E48" s="101" t="s">
        <v>122</v>
      </c>
      <c r="F48" s="102" t="s">
        <v>8</v>
      </c>
      <c r="G48" s="114"/>
      <c r="H48" s="115"/>
      <c r="I48" s="120">
        <f>'Rider Rates'!$B$100</f>
        <v>0.21398439999999999</v>
      </c>
      <c r="J48" s="120">
        <f>SUM(H48:I48)</f>
        <v>0.21398439999999999</v>
      </c>
      <c r="K48" s="104"/>
      <c r="L48" s="105"/>
      <c r="M48" s="105"/>
      <c r="N48" s="105">
        <f>ROUND(N$30*I48,2)</f>
        <v>2.0099999999999998</v>
      </c>
      <c r="O48" s="105">
        <f t="shared" si="0"/>
        <v>2.0099999999999998</v>
      </c>
      <c r="P48" s="245">
        <f>'Rider Rates'!$D$100</f>
        <v>45351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10" t="s">
        <v>211</v>
      </c>
      <c r="B49" s="78"/>
      <c r="C49" s="78"/>
      <c r="D49" s="195"/>
      <c r="E49" s="113" t="s">
        <v>115</v>
      </c>
      <c r="F49" s="106"/>
      <c r="G49" s="114"/>
      <c r="H49" s="115"/>
      <c r="I49" s="196">
        <f>'Rider Rates'!$B$104</f>
        <v>0</v>
      </c>
      <c r="J49" s="196">
        <f t="shared" ref="J49:J55" si="1">SUM(G49:I49)</f>
        <v>0</v>
      </c>
      <c r="K49" s="104"/>
      <c r="L49" s="105"/>
      <c r="M49" s="105"/>
      <c r="N49" s="105">
        <f>I49</f>
        <v>0</v>
      </c>
      <c r="O49" s="105">
        <f t="shared" ref="O49:O53" si="2">SUM(L49:N49)</f>
        <v>0</v>
      </c>
      <c r="P49" s="245">
        <f>'Rider Rates'!$D$104</f>
        <v>44894</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219</v>
      </c>
      <c r="B50" s="78"/>
      <c r="C50" s="78"/>
      <c r="D50" s="195"/>
      <c r="E50" s="113" t="s">
        <v>115</v>
      </c>
      <c r="F50" s="106"/>
      <c r="G50" s="114"/>
      <c r="H50" s="115"/>
      <c r="I50" s="258">
        <f>'Rider Rates'!B117</f>
        <v>5.83</v>
      </c>
      <c r="J50" s="196">
        <f t="shared" si="1"/>
        <v>5.83</v>
      </c>
      <c r="K50" s="104"/>
      <c r="L50" s="105"/>
      <c r="M50" s="105"/>
      <c r="N50" s="260">
        <f>I50</f>
        <v>5.83</v>
      </c>
      <c r="O50" s="105">
        <f t="shared" si="2"/>
        <v>5.83</v>
      </c>
      <c r="P50" s="245">
        <f>'Rider Rates'!D117</f>
        <v>45226</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10" t="s">
        <v>210</v>
      </c>
      <c r="B51" s="78"/>
      <c r="C51" s="78"/>
      <c r="D51" s="1">
        <f>IF($C$16&lt;1,0,$C$16)</f>
        <v>1000</v>
      </c>
      <c r="E51" s="101" t="s">
        <v>41</v>
      </c>
      <c r="F51" s="249" t="s">
        <v>8</v>
      </c>
      <c r="G51" s="165"/>
      <c r="H51" s="165"/>
      <c r="I51" s="251">
        <f>'Rider Rates'!B113</f>
        <v>-6.2E-4</v>
      </c>
      <c r="J51" s="251">
        <f t="shared" si="1"/>
        <v>-6.2E-4</v>
      </c>
      <c r="K51" s="104" t="s">
        <v>42</v>
      </c>
      <c r="L51" s="105"/>
      <c r="M51" s="105"/>
      <c r="N51" s="105">
        <f>D51*I51</f>
        <v>-0.62</v>
      </c>
      <c r="O51" s="105">
        <f t="shared" si="2"/>
        <v>-0.62</v>
      </c>
      <c r="P51" s="245">
        <f>'Rider Rates'!D113</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78" t="s">
        <v>235</v>
      </c>
      <c r="B52" s="78"/>
      <c r="C52" s="78"/>
      <c r="D52" s="100">
        <f>IF(C16&lt;0,0,IF(C16&gt;833000,833000,C16))</f>
        <v>1000</v>
      </c>
      <c r="E52" s="101" t="s">
        <v>41</v>
      </c>
      <c r="F52" s="102" t="s">
        <v>8</v>
      </c>
      <c r="G52" s="265"/>
      <c r="H52" s="265"/>
      <c r="I52" s="265">
        <f>'Rider Rates'!$B$121</f>
        <v>2.9050000000000001E-4</v>
      </c>
      <c r="J52" s="265">
        <f t="shared" si="1"/>
        <v>2.9050000000000001E-4</v>
      </c>
      <c r="K52" s="104" t="s">
        <v>42</v>
      </c>
      <c r="L52" s="266"/>
      <c r="M52" s="266"/>
      <c r="N52" s="266">
        <f>IF(D52*J52&gt;'Rider Rates'!$C$121,'Rider Rates'!$C$121,D52*J52)</f>
        <v>0.29050000000000004</v>
      </c>
      <c r="O52" s="266">
        <f t="shared" si="2"/>
        <v>0.29050000000000004</v>
      </c>
      <c r="P52" s="264">
        <f>'Rider Rates'!$E$121</f>
        <v>45292</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78" t="s">
        <v>236</v>
      </c>
      <c r="B53" s="78"/>
      <c r="C53" s="78"/>
      <c r="D53" s="123">
        <f>IF(C16&gt;833000,C16-833000,0)</f>
        <v>0</v>
      </c>
      <c r="E53" s="101" t="s">
        <v>41</v>
      </c>
      <c r="F53" s="102" t="s">
        <v>8</v>
      </c>
      <c r="G53" s="265"/>
      <c r="H53" s="265"/>
      <c r="I53" s="265">
        <f>'Rider Rates'!$B$122</f>
        <v>0</v>
      </c>
      <c r="J53" s="265">
        <f t="shared" si="1"/>
        <v>0</v>
      </c>
      <c r="K53" s="104" t="s">
        <v>42</v>
      </c>
      <c r="L53" s="266"/>
      <c r="M53" s="266"/>
      <c r="N53" s="266">
        <f>D53*J53</f>
        <v>0</v>
      </c>
      <c r="O53" s="266">
        <f t="shared" si="2"/>
        <v>0</v>
      </c>
      <c r="P53" s="264">
        <f>'Rider Rates'!$E$122</f>
        <v>44927</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244</v>
      </c>
      <c r="B54" s="78"/>
      <c r="C54" s="78"/>
      <c r="D54" s="100">
        <f>D16</f>
        <v>1000</v>
      </c>
      <c r="E54" s="101" t="s">
        <v>41</v>
      </c>
      <c r="F54" s="249" t="s">
        <v>8</v>
      </c>
      <c r="G54" s="103"/>
      <c r="H54" s="103"/>
      <c r="I54" s="103">
        <f>'Rider Rates'!$B$126</f>
        <v>0</v>
      </c>
      <c r="J54" s="237">
        <f t="shared" si="1"/>
        <v>0</v>
      </c>
      <c r="K54" s="104" t="s">
        <v>42</v>
      </c>
      <c r="L54" s="105"/>
      <c r="M54" s="105"/>
      <c r="N54" s="105">
        <f>D54*J54</f>
        <v>0</v>
      </c>
      <c r="O54" s="105">
        <f>SUM(L54:N54)</f>
        <v>0</v>
      </c>
      <c r="P54" s="245">
        <f>'Rider Rates'!$D$126</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243</v>
      </c>
      <c r="B55" s="78"/>
      <c r="C55" s="78"/>
      <c r="D55" s="100"/>
      <c r="E55" s="101" t="s">
        <v>115</v>
      </c>
      <c r="F55" s="102" t="s">
        <v>8</v>
      </c>
      <c r="G55" s="263"/>
      <c r="H55" s="263"/>
      <c r="I55" s="263">
        <f>'Rider Rates'!$B$133</f>
        <v>0</v>
      </c>
      <c r="J55" s="263">
        <f t="shared" si="1"/>
        <v>0</v>
      </c>
      <c r="K55" s="104"/>
      <c r="L55" s="209"/>
      <c r="M55" s="209"/>
      <c r="N55" s="209">
        <f>J55</f>
        <v>0</v>
      </c>
      <c r="O55" s="209">
        <f>SUM(L55:N55)</f>
        <v>0</v>
      </c>
      <c r="P55" s="264">
        <f>'Rider Rates'!$D$133</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41" t="s">
        <v>245</v>
      </c>
      <c r="B56" s="78"/>
      <c r="C56" s="78"/>
      <c r="D56" s="100"/>
      <c r="E56" s="101"/>
      <c r="F56" s="102"/>
      <c r="G56" s="263"/>
      <c r="H56" s="263"/>
      <c r="I56" s="263"/>
      <c r="J56" s="263"/>
      <c r="K56" s="104"/>
      <c r="L56" s="209"/>
      <c r="M56" s="209"/>
      <c r="N56" s="209"/>
      <c r="O56" s="209"/>
      <c r="P56" s="26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179" t="s">
        <v>71</v>
      </c>
      <c r="B57" s="148"/>
      <c r="C57" s="148"/>
      <c r="D57" s="180"/>
      <c r="E57" s="181"/>
      <c r="F57" s="182"/>
      <c r="G57" s="182"/>
      <c r="H57" s="182"/>
      <c r="I57" s="182"/>
      <c r="J57" s="182"/>
      <c r="K57" s="183"/>
      <c r="L57" s="169">
        <f>SUM(L34:L56)</f>
        <v>0</v>
      </c>
      <c r="M57" s="169">
        <f t="shared" ref="M57:O57" si="3">SUM(M34:M56)</f>
        <v>0.6</v>
      </c>
      <c r="N57" s="169">
        <f t="shared" si="3"/>
        <v>36.683199999999999</v>
      </c>
      <c r="O57" s="169">
        <f t="shared" si="3"/>
        <v>37.283200000000001</v>
      </c>
      <c r="P57" s="184"/>
    </row>
    <row r="58" spans="1:221" x14ac:dyDescent="0.2">
      <c r="A58" s="37"/>
      <c r="D58" s="1"/>
      <c r="E58" s="35"/>
      <c r="F58" s="4"/>
      <c r="G58" s="42"/>
      <c r="H58" s="42"/>
      <c r="I58" s="42"/>
      <c r="J58" s="42"/>
      <c r="K58" s="36"/>
      <c r="L58" s="36"/>
      <c r="M58" s="36"/>
      <c r="N58" s="36"/>
      <c r="O58" s="34"/>
      <c r="P58" s="36"/>
    </row>
    <row r="59" spans="1:221" x14ac:dyDescent="0.2">
      <c r="A59" s="284" t="s">
        <v>72</v>
      </c>
      <c r="B59" s="92"/>
      <c r="C59" s="92"/>
      <c r="D59" s="92"/>
      <c r="E59" s="92"/>
      <c r="F59" s="92"/>
      <c r="G59" s="92"/>
      <c r="H59" s="92"/>
      <c r="I59" s="92"/>
      <c r="J59" s="92"/>
      <c r="K59" s="92"/>
      <c r="L59" s="98">
        <f>L30+L57</f>
        <v>0</v>
      </c>
      <c r="M59" s="98">
        <f>M30+M57</f>
        <v>0.6</v>
      </c>
      <c r="N59" s="98">
        <f>N30+N57</f>
        <v>46.083199999999998</v>
      </c>
      <c r="O59" s="98">
        <f>O30+O57</f>
        <v>46.683199999999999</v>
      </c>
      <c r="P59" s="98"/>
    </row>
    <row r="60" spans="1:221" x14ac:dyDescent="0.2">
      <c r="A60" s="37"/>
      <c r="B60" s="37"/>
      <c r="C60" s="37"/>
      <c r="D60" s="37"/>
      <c r="E60" s="37"/>
      <c r="F60" s="37"/>
      <c r="G60" s="37"/>
      <c r="H60" s="37"/>
      <c r="I60" s="37"/>
      <c r="J60" s="37"/>
      <c r="K60" s="37"/>
      <c r="L60" s="37"/>
      <c r="M60" s="37"/>
      <c r="N60" s="37"/>
      <c r="O60" s="40"/>
      <c r="P60" s="40"/>
    </row>
    <row r="61" spans="1:221" x14ac:dyDescent="0.2">
      <c r="A61" s="37" t="s">
        <v>37</v>
      </c>
      <c r="B61" s="37"/>
      <c r="C61" s="37"/>
      <c r="D61" s="37"/>
      <c r="E61" s="37"/>
      <c r="F61" s="37"/>
      <c r="G61" s="37"/>
      <c r="H61" s="37"/>
      <c r="I61" s="37"/>
      <c r="J61" s="37"/>
      <c r="K61" s="37"/>
      <c r="L61" s="37"/>
      <c r="M61" s="37"/>
      <c r="N61" s="37"/>
      <c r="O61" s="45">
        <f>O26+O28+O57</f>
        <v>46.683199999999999</v>
      </c>
      <c r="P61" s="245">
        <v>40967</v>
      </c>
    </row>
    <row r="62" spans="1:221" x14ac:dyDescent="0.2">
      <c r="A62" s="37"/>
      <c r="B62" s="37"/>
      <c r="C62" s="37"/>
      <c r="D62" s="37"/>
      <c r="E62" s="37"/>
      <c r="F62" s="37"/>
      <c r="G62" s="46"/>
      <c r="H62" s="46"/>
      <c r="I62" s="46"/>
      <c r="J62" s="46"/>
      <c r="K62" s="36"/>
      <c r="L62" s="36"/>
      <c r="M62" s="36"/>
      <c r="N62" s="36"/>
      <c r="O62" s="40"/>
    </row>
    <row r="63" spans="1:221" x14ac:dyDescent="0.2">
      <c r="A63" s="41" t="s">
        <v>117</v>
      </c>
      <c r="B63" s="37"/>
      <c r="C63" s="37"/>
      <c r="D63" s="37"/>
      <c r="E63" s="37"/>
      <c r="F63" s="37"/>
      <c r="G63" s="46"/>
      <c r="H63" s="46"/>
      <c r="I63" s="46"/>
      <c r="J63" s="46"/>
      <c r="K63" s="36"/>
      <c r="L63" s="36"/>
      <c r="M63" s="36"/>
      <c r="N63" s="36"/>
      <c r="O63" s="138">
        <f>MAX($O$59,$O$61)</f>
        <v>46.683199999999999</v>
      </c>
    </row>
    <row r="64" spans="1:221" x14ac:dyDescent="0.2">
      <c r="A64" s="37"/>
      <c r="B64" s="37"/>
      <c r="C64" s="37"/>
      <c r="D64" s="37"/>
      <c r="E64" s="37"/>
      <c r="F64" s="37"/>
      <c r="G64" s="46"/>
      <c r="H64" s="46"/>
      <c r="I64" s="46"/>
      <c r="J64" s="46"/>
      <c r="K64" s="36"/>
      <c r="L64" s="36"/>
      <c r="M64" s="36"/>
      <c r="N64" s="36"/>
      <c r="O64" s="40"/>
    </row>
    <row r="65" spans="1:16" x14ac:dyDescent="0.2">
      <c r="A65" s="37"/>
      <c r="B65" s="37"/>
      <c r="C65" s="37"/>
      <c r="D65" s="37"/>
      <c r="E65" s="37"/>
      <c r="F65" s="37"/>
      <c r="G65" s="96" t="s">
        <v>86</v>
      </c>
      <c r="H65" s="46"/>
      <c r="I65" s="37"/>
      <c r="J65" s="46"/>
      <c r="K65" s="36"/>
      <c r="L65" s="191"/>
      <c r="M65" s="191"/>
      <c r="N65" s="191"/>
      <c r="O65" s="191">
        <f>ROUND(IF($C$16&lt;1,0,$O$63/($C$16*100)*10000),2)</f>
        <v>4.67</v>
      </c>
      <c r="P65" s="37" t="s">
        <v>87</v>
      </c>
    </row>
    <row r="66" spans="1:16" x14ac:dyDescent="0.2">
      <c r="A66" s="37"/>
      <c r="B66" s="37"/>
      <c r="C66" s="37"/>
      <c r="D66" s="37"/>
      <c r="E66" s="37"/>
      <c r="F66" s="37"/>
      <c r="G66" s="242" t="s">
        <v>191</v>
      </c>
      <c r="H66" s="136"/>
      <c r="I66" s="133"/>
      <c r="J66" s="136"/>
      <c r="K66" s="137"/>
      <c r="L66" s="78"/>
      <c r="M66" s="78"/>
      <c r="N66" s="78"/>
      <c r="O66" s="243">
        <f>ROUND(IF($C$16&lt;1,0,(L59)/($C$16*100)*10000),2)</f>
        <v>0</v>
      </c>
      <c r="P66" s="25" t="s">
        <v>87</v>
      </c>
    </row>
    <row r="67" spans="1:16" x14ac:dyDescent="0.2">
      <c r="A67" s="37"/>
      <c r="B67" s="37"/>
      <c r="C67" s="37"/>
      <c r="D67" s="37"/>
      <c r="E67" s="37"/>
      <c r="F67" s="37"/>
      <c r="G67" s="96"/>
      <c r="H67" s="46"/>
      <c r="I67" s="96"/>
      <c r="J67" s="46"/>
      <c r="K67" s="36"/>
      <c r="L67" s="36"/>
      <c r="M67" s="36"/>
      <c r="N67" s="36"/>
      <c r="O67" s="130"/>
      <c r="P67" s="37"/>
    </row>
    <row r="68" spans="1:16" ht="20.25" customHeight="1" x14ac:dyDescent="0.3">
      <c r="A68" s="3"/>
      <c r="B68" s="37"/>
      <c r="C68" s="37"/>
      <c r="D68" s="228" t="str">
        <f>IF('Customer Info'!$C$32=TRUE,"Notice: Billing Charge does not include Self Assessed KWH Tax"," ")</f>
        <v xml:space="preserve"> </v>
      </c>
      <c r="E68" s="3"/>
      <c r="F68" s="4"/>
      <c r="G68" s="121"/>
      <c r="H68" s="55"/>
      <c r="I68" s="34"/>
      <c r="J68" s="55"/>
      <c r="K68" s="37"/>
      <c r="L68" s="37"/>
      <c r="M68" s="37"/>
      <c r="N68" s="34"/>
    </row>
    <row r="69" spans="1:16" x14ac:dyDescent="0.2">
      <c r="A69" s="37"/>
      <c r="B69" s="37"/>
      <c r="C69" s="37"/>
      <c r="D69" s="54"/>
      <c r="E69" s="3"/>
      <c r="F69" s="4"/>
      <c r="G69" s="55"/>
      <c r="H69" s="55"/>
      <c r="I69" s="93"/>
      <c r="J69" s="55"/>
      <c r="K69" s="37"/>
      <c r="L69" s="37"/>
      <c r="M69" s="37"/>
      <c r="N69" s="37"/>
      <c r="O69" s="40"/>
    </row>
    <row r="70" spans="1:16" x14ac:dyDescent="0.2">
      <c r="A70" s="37"/>
      <c r="B70" s="37"/>
      <c r="C70" s="37"/>
      <c r="D70" s="54"/>
      <c r="E70" s="3"/>
      <c r="F70" s="4"/>
      <c r="G70" s="55"/>
      <c r="H70" s="55"/>
      <c r="I70" s="55"/>
      <c r="J70" s="55"/>
      <c r="K70" s="37"/>
      <c r="L70" s="37"/>
      <c r="M70" s="37"/>
      <c r="N70" s="37"/>
      <c r="O70" s="40"/>
    </row>
    <row r="71" spans="1:16" x14ac:dyDescent="0.2">
      <c r="A71" s="41"/>
      <c r="B71" s="37"/>
      <c r="C71" s="37"/>
      <c r="D71" s="37"/>
      <c r="E71" s="37"/>
      <c r="F71" s="37"/>
      <c r="G71" s="37"/>
      <c r="H71" s="37"/>
      <c r="J71" s="37"/>
      <c r="K71" s="37"/>
      <c r="L71" s="40"/>
      <c r="M71" s="40"/>
      <c r="N71" s="40"/>
      <c r="O71" s="138"/>
    </row>
    <row r="72" spans="1:16" x14ac:dyDescent="0.2">
      <c r="B72" s="37"/>
      <c r="C72" s="37"/>
      <c r="D72" s="37"/>
      <c r="E72" s="37"/>
      <c r="F72" s="37"/>
      <c r="G72" s="96"/>
      <c r="H72" s="37"/>
      <c r="I72" s="37"/>
      <c r="J72" s="37"/>
      <c r="K72" s="37"/>
      <c r="L72" s="60"/>
      <c r="M72" s="60"/>
      <c r="N72" s="60"/>
      <c r="O72" s="130"/>
      <c r="P72" s="37"/>
    </row>
    <row r="73" spans="1:16" x14ac:dyDescent="0.2">
      <c r="G73" s="133"/>
      <c r="H73" s="56"/>
      <c r="I73" s="133"/>
      <c r="J73" s="56"/>
      <c r="K73" s="56"/>
      <c r="L73" s="134"/>
      <c r="M73" s="134"/>
      <c r="N73" s="134"/>
      <c r="O73" s="135"/>
      <c r="P73" s="25"/>
    </row>
    <row r="75" spans="1:16" x14ac:dyDescent="0.2">
      <c r="A75" s="350"/>
    </row>
    <row r="76" spans="1:16" x14ac:dyDescent="0.2">
      <c r="A76" s="350"/>
    </row>
    <row r="77" spans="1:16" x14ac:dyDescent="0.2">
      <c r="A77" s="350"/>
    </row>
    <row r="78" spans="1:16" x14ac:dyDescent="0.2">
      <c r="A78" s="350"/>
    </row>
    <row r="79" spans="1:16" x14ac:dyDescent="0.2">
      <c r="A79" s="350"/>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sheetData>
  <sheetProtection algorithmName="SHA-512" hashValue="6/7ex1/9BG2wRErLLbn5bU1hW+vkYKS3/cKbJBAdpyjUjEff0D/Et8w1P7yYzU2bu/BvoTx3k53gwbvBtMA5XA==" saltValue="yVgV7ntKW0NM3YEvo434vw=="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75:A89"/>
    <mergeCell ref="A4:P4"/>
    <mergeCell ref="A7:P7"/>
    <mergeCell ref="A11:I11"/>
    <mergeCell ref="D21:H21"/>
    <mergeCell ref="D22:H22"/>
    <mergeCell ref="G24:J24"/>
    <mergeCell ref="L24:O24"/>
  </mergeCells>
  <printOptions horizontalCentered="1"/>
  <pageMargins left="0.5" right="0.5" top="0.25" bottom="0.25" header="0.25" footer="0.26"/>
  <pageSetup scale="59" orientation="landscape" r:id="rId1"/>
  <headerFooter alignWithMargins="0"/>
  <rowBreaks count="1" manualBreakCount="1">
    <brk id="7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121858" r:id="rId5" name="Button 2">
              <controlPr defaultSize="0" print="0" autoFill="0" autoPict="0" macro="[0]!Info">
                <anchor moveWithCells="1">
                  <from>
                    <xdr:col>15</xdr:col>
                    <xdr:colOff>409575</xdr:colOff>
                    <xdr:row>83</xdr:row>
                    <xdr:rowOff>76200</xdr:rowOff>
                  </from>
                  <to>
                    <xdr:col>16</xdr:col>
                    <xdr:colOff>38100</xdr:colOff>
                    <xdr:row>84</xdr:row>
                    <xdr:rowOff>133350</xdr:rowOff>
                  </to>
                </anchor>
              </controlPr>
            </control>
          </mc:Choice>
        </mc:AlternateContent>
        <mc:AlternateContent xmlns:mc="http://schemas.openxmlformats.org/markup-compatibility/2006">
          <mc:Choice Requires="x14">
            <control shapeId="121859"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1860"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1861"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1862"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1863"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1864"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1865"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1866"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1867"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1868"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1869"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1870"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1871"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1872"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1873"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1874"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1875"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1876"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1877"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1878"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1879"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1880"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1881"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1882"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1883"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1884"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1885"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1886"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1887"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1888"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1889"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1890"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1891"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1892"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1893"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1894"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1895"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1896"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1897"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1898"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1899"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1900"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1901"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1902"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1903"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1904"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1905"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1906"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1907"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1908"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1909"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1910"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1911"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1912"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1913"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1914"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89"/>
  <sheetViews>
    <sheetView showGridLines="0" zoomScale="80" zoomScaleNormal="80" workbookViewId="0">
      <selection activeCell="P29" sqref="P29"/>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 min="31" max="31" width="0"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292</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282">
        <f ca="1">TODAY()</f>
        <v>45371</v>
      </c>
      <c r="B6" s="99" t="s">
        <v>294</v>
      </c>
      <c r="C6" s="274"/>
      <c r="D6" s="274"/>
      <c r="E6" s="274"/>
      <c r="F6" s="274"/>
      <c r="G6" s="274"/>
      <c r="H6" s="274"/>
      <c r="I6" s="274"/>
      <c r="J6" s="274"/>
      <c r="K6" s="274"/>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ROUND(C14*C20,1)</f>
        <v>0</v>
      </c>
      <c r="E14" s="29" t="s">
        <v>45</v>
      </c>
      <c r="F14" s="30"/>
      <c r="G14" s="29" t="s">
        <v>15</v>
      </c>
      <c r="I14" s="53" t="s">
        <v>15</v>
      </c>
      <c r="J14" s="29"/>
      <c r="K14" s="29"/>
      <c r="L14" s="29"/>
      <c r="M14" s="29"/>
      <c r="N14" s="29"/>
    </row>
    <row r="15" spans="1:256" x14ac:dyDescent="0.2">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C16*C20</f>
        <v>1000</v>
      </c>
      <c r="E16" s="31" t="s">
        <v>41</v>
      </c>
      <c r="F16" s="33"/>
      <c r="G16" s="31"/>
      <c r="H16" s="31"/>
      <c r="I16" s="31"/>
      <c r="J16" s="31"/>
      <c r="K16" s="31"/>
      <c r="L16" s="31"/>
      <c r="M16" s="31"/>
      <c r="N16" s="31"/>
      <c r="O16" s="31"/>
    </row>
    <row r="17" spans="1:30" x14ac:dyDescent="0.2">
      <c r="A17" s="31" t="s">
        <v>286</v>
      </c>
      <c r="B17" s="31"/>
      <c r="C17" s="32">
        <f>'Customer Info'!$B$27</f>
        <v>0</v>
      </c>
      <c r="D17" s="32">
        <f>$C$17*$C$20</f>
        <v>0</v>
      </c>
      <c r="E17" s="31" t="s">
        <v>289</v>
      </c>
      <c r="F17" s="33"/>
      <c r="G17" s="31"/>
      <c r="H17" s="31"/>
      <c r="I17" s="31"/>
      <c r="J17" s="31"/>
      <c r="K17" s="31"/>
      <c r="L17" s="31"/>
      <c r="M17" s="31"/>
      <c r="N17" s="31"/>
      <c r="O17" s="31"/>
    </row>
    <row r="18" spans="1:30" x14ac:dyDescent="0.2">
      <c r="A18" s="31" t="s">
        <v>287</v>
      </c>
      <c r="B18" s="31"/>
      <c r="C18" s="285">
        <f>IF('Customer Info'!$B$18=0,0,ROUND(MAX(ROUND('Customer Info'!$B$18*$C$20,1),ROUND('Customer Info'!$B$19*$C$20,1))/'Customer Info'!$D$29,1))</f>
        <v>0</v>
      </c>
      <c r="D18" s="285">
        <f>$C$18*C20</f>
        <v>0</v>
      </c>
      <c r="E18" s="31" t="s">
        <v>290</v>
      </c>
      <c r="F18" s="33"/>
      <c r="G18" s="31"/>
      <c r="H18" s="31"/>
      <c r="I18" s="31"/>
      <c r="J18" s="31"/>
      <c r="K18" s="31"/>
      <c r="L18" s="31"/>
      <c r="M18" s="31"/>
      <c r="N18" s="31"/>
      <c r="O18" s="31"/>
    </row>
    <row r="19" spans="1:30" x14ac:dyDescent="0.2">
      <c r="A19" s="31" t="s">
        <v>288</v>
      </c>
      <c r="B19" s="31"/>
      <c r="C19" s="32"/>
      <c r="D19" s="285">
        <f>MAX(100,ROUND(1.15*(MAX('Customer Info'!$B$18*'GS PRI OAD'!C20,'Customer Info'!$B$19*'GS PRI OAD'!C20)),1))</f>
        <v>100</v>
      </c>
      <c r="E19" s="31" t="s">
        <v>290</v>
      </c>
      <c r="F19" s="33"/>
      <c r="G19" s="31"/>
      <c r="H19" s="31"/>
      <c r="I19" s="31"/>
      <c r="J19" s="31"/>
      <c r="K19" s="31"/>
      <c r="L19" s="31"/>
      <c r="M19" s="31"/>
      <c r="N19" s="31"/>
      <c r="O19" s="31"/>
    </row>
    <row r="20" spans="1:30" x14ac:dyDescent="0.2">
      <c r="A20" s="31" t="s">
        <v>54</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
      <c r="A21" s="31" t="s">
        <v>15</v>
      </c>
      <c r="B21" s="31"/>
      <c r="C21" s="82" t="s">
        <v>15</v>
      </c>
      <c r="D21" s="371" t="s">
        <v>15</v>
      </c>
      <c r="E21" s="371"/>
      <c r="F21" s="371"/>
      <c r="G21" s="371"/>
      <c r="H21" s="371"/>
      <c r="K21" s="31"/>
      <c r="L21" s="31"/>
      <c r="M21" s="31"/>
      <c r="N21" s="31"/>
      <c r="O21" s="50"/>
    </row>
    <row r="22" spans="1:30" x14ac:dyDescent="0.2">
      <c r="A22" s="31" t="s">
        <v>15</v>
      </c>
      <c r="B22" s="31"/>
      <c r="C22" s="82" t="s">
        <v>15</v>
      </c>
      <c r="D22" s="371" t="s">
        <v>15</v>
      </c>
      <c r="E22" s="371"/>
      <c r="F22" s="371"/>
      <c r="G22" s="371"/>
      <c r="H22" s="371"/>
      <c r="I22" s="23"/>
      <c r="J22" s="23"/>
      <c r="K22" s="31"/>
      <c r="L22" s="31"/>
      <c r="M22" s="31"/>
      <c r="N22" s="31"/>
      <c r="O22" s="50"/>
    </row>
    <row r="23" spans="1:30" x14ac:dyDescent="0.2">
      <c r="A23" s="31"/>
      <c r="B23" s="31"/>
      <c r="C23" s="33"/>
      <c r="D23" s="33"/>
      <c r="E23" s="33"/>
      <c r="F23" s="33"/>
      <c r="G23" s="23"/>
      <c r="H23" s="23"/>
      <c r="I23" s="23"/>
      <c r="J23" s="23"/>
      <c r="K23" s="31"/>
      <c r="L23" s="31"/>
      <c r="M23" s="31"/>
      <c r="N23" s="31"/>
      <c r="O23" s="31"/>
    </row>
    <row r="24" spans="1:30" x14ac:dyDescent="0.2">
      <c r="A24" s="28" t="s">
        <v>31</v>
      </c>
      <c r="B24" s="22"/>
      <c r="C24" s="22"/>
      <c r="D24" s="22"/>
      <c r="E24" s="22"/>
      <c r="F24" s="22"/>
      <c r="G24" s="362" t="s">
        <v>68</v>
      </c>
      <c r="H24" s="363"/>
      <c r="I24" s="363"/>
      <c r="J24" s="364"/>
      <c r="K24" s="22"/>
      <c r="L24" s="365" t="s">
        <v>69</v>
      </c>
      <c r="M24" s="365"/>
      <c r="N24" s="365"/>
      <c r="O24" s="365"/>
    </row>
    <row r="25" spans="1:30" x14ac:dyDescent="0.2">
      <c r="A25" s="18"/>
      <c r="B25" s="18"/>
      <c r="C25" s="18"/>
      <c r="D25" s="18"/>
      <c r="E25" s="18"/>
      <c r="F25" s="18"/>
      <c r="G25" s="8" t="s">
        <v>65</v>
      </c>
      <c r="H25" s="8" t="s">
        <v>66</v>
      </c>
      <c r="I25" s="8" t="s">
        <v>67</v>
      </c>
      <c r="J25" s="112" t="s">
        <v>34</v>
      </c>
      <c r="K25" s="18"/>
      <c r="L25" s="283" t="s">
        <v>65</v>
      </c>
      <c r="M25" s="283" t="s">
        <v>66</v>
      </c>
      <c r="N25" s="283" t="s">
        <v>67</v>
      </c>
      <c r="O25" s="132" t="s">
        <v>34</v>
      </c>
      <c r="P25" s="43" t="s">
        <v>57</v>
      </c>
    </row>
    <row r="26" spans="1:30" x14ac:dyDescent="0.2">
      <c r="A26" t="s">
        <v>32</v>
      </c>
      <c r="G26" s="86"/>
      <c r="H26" s="86"/>
      <c r="I26" s="86">
        <v>138.5</v>
      </c>
      <c r="J26" s="86">
        <f>SUM(G26:I26)</f>
        <v>138.5</v>
      </c>
      <c r="L26" s="88"/>
      <c r="M26" s="88"/>
      <c r="N26" s="88">
        <f>I26</f>
        <v>138.5</v>
      </c>
      <c r="O26" s="209">
        <f>SUM(L26:N26)</f>
        <v>138.5</v>
      </c>
      <c r="P26" s="245">
        <v>44531</v>
      </c>
    </row>
    <row r="27" spans="1:30" x14ac:dyDescent="0.2">
      <c r="A27" t="s">
        <v>132</v>
      </c>
      <c r="D27" s="1">
        <f>D16</f>
        <v>1000</v>
      </c>
      <c r="E27" s="101" t="s">
        <v>41</v>
      </c>
      <c r="F27" s="102" t="s">
        <v>8</v>
      </c>
      <c r="G27" s="84"/>
      <c r="H27" s="86"/>
      <c r="I27" s="86"/>
      <c r="J27" s="84"/>
      <c r="K27" s="104" t="s">
        <v>42</v>
      </c>
      <c r="L27" s="87"/>
      <c r="M27" s="88"/>
      <c r="N27" s="87"/>
      <c r="O27" s="209"/>
      <c r="P27" s="245"/>
    </row>
    <row r="28" spans="1:30" x14ac:dyDescent="0.2">
      <c r="A28" t="s">
        <v>33</v>
      </c>
      <c r="D28" s="49">
        <f>ROUND(MAX(D14,D15,('Customer Info'!B14-100)*0.6,('Customer Info'!B16-100)*0.6),1)</f>
        <v>0</v>
      </c>
      <c r="E28" s="29" t="s">
        <v>45</v>
      </c>
      <c r="F28" s="4" t="s">
        <v>8</v>
      </c>
      <c r="G28" s="85"/>
      <c r="H28" s="85"/>
      <c r="I28" s="85">
        <v>6.46</v>
      </c>
      <c r="J28" s="85">
        <f>SUM(G28:I28)</f>
        <v>6.46</v>
      </c>
      <c r="K28" s="36" t="s">
        <v>44</v>
      </c>
      <c r="L28" s="87"/>
      <c r="M28" s="87"/>
      <c r="N28" s="87">
        <f>ROUND($D28*I28,2)</f>
        <v>0</v>
      </c>
      <c r="O28" s="209">
        <f>SUM(L28:N28)</f>
        <v>0</v>
      </c>
      <c r="P28" s="245">
        <v>45261</v>
      </c>
    </row>
    <row r="29" spans="1:30" x14ac:dyDescent="0.2">
      <c r="A29" t="s">
        <v>262</v>
      </c>
      <c r="D29" s="49">
        <f>IF(D18&lt;=100,0,ROUND(IF(D18-D19&gt;0,D18-D19),1))</f>
        <v>0</v>
      </c>
      <c r="E29" s="29" t="s">
        <v>260</v>
      </c>
      <c r="F29" s="4" t="s">
        <v>8</v>
      </c>
      <c r="G29" s="116"/>
      <c r="H29" s="85"/>
      <c r="I29" s="85">
        <v>1.21</v>
      </c>
      <c r="J29" s="116">
        <f>SUM(G29:I29)</f>
        <v>1.21</v>
      </c>
      <c r="K29" s="36" t="s">
        <v>44</v>
      </c>
      <c r="L29" s="87"/>
      <c r="M29" s="87"/>
      <c r="N29" s="87">
        <f>ROUND($D29*I29,2)</f>
        <v>0</v>
      </c>
      <c r="O29" s="87">
        <f>SUM(L29:N29)</f>
        <v>0</v>
      </c>
      <c r="P29" s="245">
        <v>44531</v>
      </c>
    </row>
    <row r="30" spans="1:30" x14ac:dyDescent="0.2">
      <c r="A30" s="37" t="s">
        <v>50</v>
      </c>
      <c r="B30" s="37"/>
      <c r="C30" s="37"/>
      <c r="D30" s="38"/>
      <c r="E30" s="38"/>
      <c r="F30" s="37"/>
      <c r="G30" s="37"/>
      <c r="H30" s="37"/>
      <c r="I30" s="37"/>
      <c r="J30" s="37"/>
      <c r="K30" s="39"/>
      <c r="L30" s="40"/>
      <c r="M30" s="40"/>
      <c r="N30" s="40">
        <f>SUM(N26:N29)</f>
        <v>138.5</v>
      </c>
      <c r="O30" s="40">
        <f>SUM(O26:O29)</f>
        <v>138.5</v>
      </c>
    </row>
    <row r="31" spans="1:30" x14ac:dyDescent="0.2">
      <c r="A31" s="89"/>
      <c r="B31" s="89"/>
      <c r="C31" s="90"/>
      <c r="D31" s="90"/>
      <c r="E31" s="90"/>
      <c r="F31" s="90"/>
      <c r="G31" s="91"/>
      <c r="H31" s="91"/>
      <c r="I31" s="91"/>
      <c r="J31" s="91"/>
      <c r="K31" s="89"/>
      <c r="L31" s="89"/>
      <c r="M31" s="89"/>
      <c r="N31" s="89"/>
      <c r="O31" s="89"/>
      <c r="P31" s="89"/>
    </row>
    <row r="32" spans="1:30" x14ac:dyDescent="0.2">
      <c r="A32" s="41" t="s">
        <v>70</v>
      </c>
      <c r="D32" s="1"/>
      <c r="E32" s="1"/>
      <c r="K32" s="36"/>
      <c r="L32" s="36"/>
      <c r="M32" s="36"/>
      <c r="N32" s="36"/>
      <c r="O32" s="34"/>
      <c r="P32" s="34"/>
    </row>
    <row r="33" spans="1:221" x14ac:dyDescent="0.2">
      <c r="A33" s="37"/>
      <c r="D33" s="1"/>
      <c r="E33" s="1"/>
      <c r="K33" s="36"/>
      <c r="L33" s="36"/>
      <c r="M33" s="36"/>
      <c r="N33" s="36"/>
      <c r="O33" s="34"/>
    </row>
    <row r="34" spans="1:221" x14ac:dyDescent="0.2">
      <c r="A34" s="78" t="s">
        <v>79</v>
      </c>
      <c r="D34" s="1">
        <f>IF($C$16&lt;0,0,IF($C$16&gt;833000,833000,$C$16))</f>
        <v>1000</v>
      </c>
      <c r="E34" s="35" t="s">
        <v>41</v>
      </c>
      <c r="F34" s="4" t="s">
        <v>8</v>
      </c>
      <c r="G34" s="83"/>
      <c r="H34" s="84"/>
      <c r="I34" s="103">
        <f>'Rider Rates'!$B$4</f>
        <v>5.9216E-3</v>
      </c>
      <c r="J34" s="6">
        <f>SUM(G34:I34)</f>
        <v>5.9216E-3</v>
      </c>
      <c r="K34" s="36" t="s">
        <v>42</v>
      </c>
      <c r="L34" s="87"/>
      <c r="M34" s="87"/>
      <c r="N34" s="87">
        <f>ROUND($D34*I34,2)</f>
        <v>5.92</v>
      </c>
      <c r="O34" s="87">
        <f>SUM(L34:N34)</f>
        <v>5.92</v>
      </c>
      <c r="P34" s="245">
        <f>'Rider Rates'!$D$4</f>
        <v>45293</v>
      </c>
    </row>
    <row r="35" spans="1:221" x14ac:dyDescent="0.2">
      <c r="A35" s="78" t="s">
        <v>80</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1" x14ac:dyDescent="0.2">
      <c r="A36" s="78" t="s">
        <v>47</v>
      </c>
      <c r="B36" t="s">
        <v>15</v>
      </c>
      <c r="D36" s="1">
        <f>IF('Customer Info'!$C$32=TRUE,0,IF(C16&lt;0,0,IF(C16&gt;2000,2000,C16)))</f>
        <v>1000</v>
      </c>
      <c r="E36" s="35" t="s">
        <v>41</v>
      </c>
      <c r="F36" s="4" t="s">
        <v>8</v>
      </c>
      <c r="G36" s="83"/>
      <c r="H36" s="84"/>
      <c r="I36" s="177">
        <f>'Rider Rates'!$B$8</f>
        <v>4.6499999999999996E-3</v>
      </c>
      <c r="J36" s="117">
        <f>SUM(G36:I36)</f>
        <v>4.6499999999999996E-3</v>
      </c>
      <c r="K36" s="36" t="s">
        <v>42</v>
      </c>
      <c r="L36" s="87"/>
      <c r="M36" s="87"/>
      <c r="N36" s="87">
        <f>ROUND($D36*I36,2)</f>
        <v>4.6500000000000004</v>
      </c>
      <c r="O36" s="87">
        <f>SUM(L36:N36)</f>
        <v>4.6500000000000004</v>
      </c>
      <c r="P36" s="245">
        <f>'Rider Rates'!$D$7</f>
        <v>44531</v>
      </c>
    </row>
    <row r="37" spans="1:221" x14ac:dyDescent="0.2">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1" x14ac:dyDescent="0.2">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1" x14ac:dyDescent="0.2">
      <c r="A39" s="241" t="s">
        <v>239</v>
      </c>
      <c r="B39" s="78"/>
      <c r="C39" s="78"/>
      <c r="D39" s="208">
        <f>$N$30</f>
        <v>138.5</v>
      </c>
      <c r="E39" s="101" t="s">
        <v>122</v>
      </c>
      <c r="F39" s="102" t="s">
        <v>8</v>
      </c>
      <c r="G39" s="103"/>
      <c r="H39" s="103"/>
      <c r="I39" s="178">
        <f>'Rider Rates'!$B$18+'Rider Rates'!$E$18</f>
        <v>0</v>
      </c>
      <c r="J39" s="120">
        <f>SUM(H39:I39)</f>
        <v>0</v>
      </c>
      <c r="K39" s="104"/>
      <c r="L39" s="105"/>
      <c r="M39" s="105"/>
      <c r="N39" s="105">
        <f>ROUND($D$39*'Rider Rates'!$B$18,2)+ROUND($D$39*'Rider Rates'!$E$18,2)</f>
        <v>0</v>
      </c>
      <c r="O39" s="105">
        <f t="shared" ref="O39:O48" si="0">SUM(L39:N39)</f>
        <v>0</v>
      </c>
      <c r="P39" s="245">
        <f>MAX('Rider Rates'!$D$18,'Rider Rates'!$F$18)</f>
        <v>44531</v>
      </c>
    </row>
    <row r="40" spans="1:221" x14ac:dyDescent="0.2">
      <c r="A40" s="241" t="s">
        <v>212</v>
      </c>
      <c r="B40" s="78"/>
      <c r="C40" s="78"/>
      <c r="D40" s="1">
        <f>IF($C$16&lt;0,0,IF($C$16&gt;833000,833000,$C$16))</f>
        <v>1000</v>
      </c>
      <c r="E40" s="101" t="s">
        <v>41</v>
      </c>
      <c r="F40" s="102" t="s">
        <v>8</v>
      </c>
      <c r="G40" s="103"/>
      <c r="H40" s="103"/>
      <c r="I40" s="103">
        <f>'Rider Rates'!D46</f>
        <v>1.7826999999999999E-3</v>
      </c>
      <c r="J40" s="103">
        <f>SUM(G40:I40)</f>
        <v>1.7826999999999999E-3</v>
      </c>
      <c r="K40" s="104" t="s">
        <v>42</v>
      </c>
      <c r="L40" s="105"/>
      <c r="M40" s="105"/>
      <c r="N40" s="87">
        <f>D40*J40</f>
        <v>1.7827</v>
      </c>
      <c r="O40" s="105">
        <f t="shared" si="0"/>
        <v>1.7827</v>
      </c>
      <c r="P40" s="245">
        <f>'Rider Rates'!E46</f>
        <v>45292</v>
      </c>
    </row>
    <row r="41" spans="1:221" x14ac:dyDescent="0.2">
      <c r="A41" s="210" t="s">
        <v>190</v>
      </c>
      <c r="B41" s="78"/>
      <c r="C41" s="78"/>
      <c r="D41" s="1">
        <f>IF($C$16&lt;0,0,$C$16)</f>
        <v>1000</v>
      </c>
      <c r="E41" s="113" t="s">
        <v>41</v>
      </c>
      <c r="F41" s="102" t="s">
        <v>8</v>
      </c>
      <c r="G41" s="103"/>
      <c r="H41" s="103">
        <f>'Rider Rates'!B55</f>
        <v>5.8060000000000002E-4</v>
      </c>
      <c r="I41" s="103"/>
      <c r="J41" s="103">
        <f>SUM(G41:I41)</f>
        <v>5.8060000000000002E-4</v>
      </c>
      <c r="K41" s="104" t="s">
        <v>42</v>
      </c>
      <c r="L41" s="105"/>
      <c r="M41" s="105">
        <f>ROUND(D41*H41,2)</f>
        <v>0.57999999999999996</v>
      </c>
      <c r="N41" s="205"/>
      <c r="O41" s="105">
        <f t="shared" si="0"/>
        <v>0.57999999999999996</v>
      </c>
      <c r="P41" s="245">
        <f>'Rider Rates'!$D$54</f>
        <v>45383</v>
      </c>
    </row>
    <row r="42" spans="1:221" x14ac:dyDescent="0.2">
      <c r="A42" s="210" t="s">
        <v>190</v>
      </c>
      <c r="B42" s="78"/>
      <c r="C42" s="78"/>
      <c r="D42" s="49">
        <f>D28</f>
        <v>0</v>
      </c>
      <c r="E42" s="35" t="s">
        <v>64</v>
      </c>
      <c r="F42" s="4" t="s">
        <v>8</v>
      </c>
      <c r="G42" s="103"/>
      <c r="H42" s="239">
        <f>'Rider Rates'!B60</f>
        <v>6.76</v>
      </c>
      <c r="I42" s="103"/>
      <c r="J42" s="239">
        <f>SUM(G42:I42)</f>
        <v>6.76</v>
      </c>
      <c r="K42" s="104" t="s">
        <v>44</v>
      </c>
      <c r="L42" s="105"/>
      <c r="M42" s="105">
        <f>ROUND(D42*H42,2)</f>
        <v>0</v>
      </c>
      <c r="N42" s="205"/>
      <c r="O42" s="105">
        <f t="shared" si="0"/>
        <v>0</v>
      </c>
      <c r="P42" s="245">
        <f>'Rider Rates'!$D$59</f>
        <v>45383</v>
      </c>
    </row>
    <row r="43" spans="1:221" x14ac:dyDescent="0.2">
      <c r="A43" s="99" t="s">
        <v>83</v>
      </c>
      <c r="B43" s="78"/>
      <c r="C43" s="78"/>
      <c r="D43" s="1">
        <f>IF('Customer Info'!C34=TRUE,0,IF($C$16&lt;0,0,$C$16))</f>
        <v>1000</v>
      </c>
      <c r="E43" s="101" t="s">
        <v>41</v>
      </c>
      <c r="F43" s="102" t="s">
        <v>8</v>
      </c>
      <c r="G43" s="103"/>
      <c r="H43" s="103"/>
      <c r="I43" s="103">
        <f>'Rider Rates'!$B$66+'Rider Rates'!$C$66</f>
        <v>0</v>
      </c>
      <c r="J43" s="103">
        <f>SUM(G43:I43)</f>
        <v>0</v>
      </c>
      <c r="K43" s="104" t="s">
        <v>42</v>
      </c>
      <c r="L43" s="105"/>
      <c r="M43" s="105"/>
      <c r="N43" s="87">
        <f>ROUND($D$43*'Rider Rates'!$B$66,2)+ROUND($D$43*'Rider Rates'!$C$66,2)</f>
        <v>0</v>
      </c>
      <c r="O43" s="209">
        <f t="shared" si="0"/>
        <v>0</v>
      </c>
      <c r="P43" s="245">
        <f>'Rider Rates'!$D$66</f>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x14ac:dyDescent="0.2">
      <c r="A44" s="99" t="s">
        <v>83</v>
      </c>
      <c r="B44" s="78"/>
      <c r="C44" s="78"/>
      <c r="D44" s="49">
        <f>IF('Customer Info'!C34=TRUE,0,$D$28)</f>
        <v>0</v>
      </c>
      <c r="E44" s="101" t="s">
        <v>45</v>
      </c>
      <c r="F44" s="102" t="s">
        <v>8</v>
      </c>
      <c r="G44" s="103"/>
      <c r="H44" s="103"/>
      <c r="I44" s="239">
        <f>'Rider Rates'!$B$76</f>
        <v>0</v>
      </c>
      <c r="J44" s="239">
        <f>SUM(G44:I44)</f>
        <v>0</v>
      </c>
      <c r="K44" s="104" t="s">
        <v>42</v>
      </c>
      <c r="L44" s="105"/>
      <c r="M44" s="105"/>
      <c r="N44" s="87">
        <f>ROUND($D44*I44,2)</f>
        <v>0</v>
      </c>
      <c r="O44" s="209">
        <f>SUM(L44:N44)</f>
        <v>0</v>
      </c>
      <c r="P44" s="245">
        <f>'Rider Rates'!$D$76</f>
        <v>44197</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x14ac:dyDescent="0.2">
      <c r="A45" s="99" t="s">
        <v>81</v>
      </c>
      <c r="B45" s="78"/>
      <c r="C45" s="78"/>
      <c r="D45" s="208">
        <f>$N$30</f>
        <v>138.5</v>
      </c>
      <c r="E45" s="101" t="s">
        <v>122</v>
      </c>
      <c r="F45" s="102" t="s">
        <v>8</v>
      </c>
      <c r="G45" s="111"/>
      <c r="H45" s="112"/>
      <c r="I45" s="120">
        <f>'Rider Rates'!$B$80</f>
        <v>2.9347000000000002E-2</v>
      </c>
      <c r="J45" s="120">
        <f>SUM(H45:I45)</f>
        <v>2.9347000000000002E-2</v>
      </c>
      <c r="K45" s="104"/>
      <c r="L45" s="105"/>
      <c r="M45" s="105"/>
      <c r="N45" s="105">
        <f>ROUND(N$30*I45,2)</f>
        <v>4.0599999999999996</v>
      </c>
      <c r="O45" s="209">
        <f t="shared" si="0"/>
        <v>4.0599999999999996</v>
      </c>
      <c r="P45" s="245">
        <f>'Rider Rates'!$D$80</f>
        <v>45383</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x14ac:dyDescent="0.2">
      <c r="A46" s="99" t="s">
        <v>82</v>
      </c>
      <c r="B46" s="78"/>
      <c r="C46" s="78"/>
      <c r="D46" s="208">
        <f>$N$30</f>
        <v>138.5</v>
      </c>
      <c r="E46" s="101" t="s">
        <v>122</v>
      </c>
      <c r="F46" s="102" t="s">
        <v>8</v>
      </c>
      <c r="G46" s="114"/>
      <c r="H46" s="115"/>
      <c r="I46" s="120">
        <f>'Rider Rates'!$B$82</f>
        <v>6.6985699999999995E-2</v>
      </c>
      <c r="J46" s="120">
        <f>SUM(H46:I46)</f>
        <v>6.6985699999999995E-2</v>
      </c>
      <c r="K46" s="104"/>
      <c r="L46" s="105"/>
      <c r="M46" s="105"/>
      <c r="N46" s="105">
        <f>ROUND(N$30*I46,2)</f>
        <v>9.2799999999999994</v>
      </c>
      <c r="O46" s="209">
        <f t="shared" si="0"/>
        <v>9.2799999999999994</v>
      </c>
      <c r="P46" s="245">
        <f>'Rider Rates'!$D$82</f>
        <v>45167</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1" x14ac:dyDescent="0.2">
      <c r="A47" s="210" t="s">
        <v>208</v>
      </c>
      <c r="B47" s="78"/>
      <c r="C47" s="78"/>
      <c r="D47" s="195"/>
      <c r="E47" s="113" t="s">
        <v>115</v>
      </c>
      <c r="F47" s="106"/>
      <c r="G47" s="114"/>
      <c r="H47" s="115"/>
      <c r="I47" s="196">
        <f>'Rider Rates'!$B$86</f>
        <v>15.91</v>
      </c>
      <c r="J47" s="196">
        <f>SUM(G47:I47)</f>
        <v>15.91</v>
      </c>
      <c r="K47" s="104"/>
      <c r="L47" s="105"/>
      <c r="M47" s="105"/>
      <c r="N47" s="105">
        <f>I47</f>
        <v>15.91</v>
      </c>
      <c r="O47" s="105">
        <f>SUM(L47:N47)</f>
        <v>15.91</v>
      </c>
      <c r="P47" s="245">
        <f>'Rider Rates'!$D$86</f>
        <v>45351</v>
      </c>
    </row>
    <row r="48" spans="1:221" x14ac:dyDescent="0.2">
      <c r="A48" s="99" t="s">
        <v>157</v>
      </c>
      <c r="B48" s="78"/>
      <c r="C48" s="78"/>
      <c r="D48" s="208">
        <f>$N$30</f>
        <v>138.5</v>
      </c>
      <c r="E48" s="101" t="s">
        <v>122</v>
      </c>
      <c r="F48" s="102" t="s">
        <v>8</v>
      </c>
      <c r="G48" s="114"/>
      <c r="H48" s="115"/>
      <c r="I48" s="120">
        <f>'Rider Rates'!$B$100</f>
        <v>0.21398439999999999</v>
      </c>
      <c r="J48" s="120">
        <f>SUM(H48:I48)</f>
        <v>0.21398439999999999</v>
      </c>
      <c r="K48" s="104"/>
      <c r="L48" s="105"/>
      <c r="M48" s="105"/>
      <c r="N48" s="105">
        <f>ROUND(N$30*I48,2)</f>
        <v>29.64</v>
      </c>
      <c r="O48" s="105">
        <f t="shared" si="0"/>
        <v>29.64</v>
      </c>
      <c r="P48" s="245">
        <f>'Rider Rates'!$D$100</f>
        <v>45351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10" t="s">
        <v>211</v>
      </c>
      <c r="B49" s="78"/>
      <c r="C49" s="78"/>
      <c r="D49" s="195"/>
      <c r="E49" s="113" t="s">
        <v>115</v>
      </c>
      <c r="F49" s="106"/>
      <c r="G49" s="114"/>
      <c r="H49" s="115"/>
      <c r="I49" s="196">
        <f>'Rider Rates'!$B$104</f>
        <v>0</v>
      </c>
      <c r="J49" s="196">
        <f t="shared" ref="J49:J55" si="1">SUM(G49:I49)</f>
        <v>0</v>
      </c>
      <c r="K49" s="104"/>
      <c r="L49" s="105"/>
      <c r="M49" s="105"/>
      <c r="N49" s="105">
        <f>I49</f>
        <v>0</v>
      </c>
      <c r="O49" s="105">
        <f t="shared" ref="O49:O53" si="2">SUM(L49:N49)</f>
        <v>0</v>
      </c>
      <c r="P49" s="245">
        <f>'Rider Rates'!$D$104</f>
        <v>44894</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219</v>
      </c>
      <c r="B50" s="78"/>
      <c r="C50" s="78"/>
      <c r="D50" s="195"/>
      <c r="E50" s="113" t="s">
        <v>115</v>
      </c>
      <c r="F50" s="106"/>
      <c r="G50" s="114"/>
      <c r="H50" s="115"/>
      <c r="I50" s="258">
        <f>'Rider Rates'!B117</f>
        <v>5.83</v>
      </c>
      <c r="J50" s="196">
        <f t="shared" si="1"/>
        <v>5.83</v>
      </c>
      <c r="K50" s="104"/>
      <c r="L50" s="105"/>
      <c r="M50" s="105"/>
      <c r="N50" s="260">
        <f>I50</f>
        <v>5.83</v>
      </c>
      <c r="O50" s="105">
        <f t="shared" si="2"/>
        <v>5.83</v>
      </c>
      <c r="P50" s="245">
        <f>'Rider Rates'!D117</f>
        <v>45226</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10" t="s">
        <v>210</v>
      </c>
      <c r="B51" s="78"/>
      <c r="C51" s="78"/>
      <c r="D51" s="1">
        <f>IF($C$16&lt;1,0,$C$16)</f>
        <v>1000</v>
      </c>
      <c r="E51" s="101" t="s">
        <v>41</v>
      </c>
      <c r="F51" s="249" t="s">
        <v>8</v>
      </c>
      <c r="G51" s="165"/>
      <c r="H51" s="165"/>
      <c r="I51" s="251">
        <f>'Rider Rates'!B113</f>
        <v>-6.2E-4</v>
      </c>
      <c r="J51" s="251">
        <f t="shared" si="1"/>
        <v>-6.2E-4</v>
      </c>
      <c r="K51" s="104" t="s">
        <v>42</v>
      </c>
      <c r="L51" s="105"/>
      <c r="M51" s="105"/>
      <c r="N51" s="105">
        <f>D51*I51</f>
        <v>-0.62</v>
      </c>
      <c r="O51" s="105">
        <f t="shared" si="2"/>
        <v>-0.62</v>
      </c>
      <c r="P51" s="245">
        <f>'Rider Rates'!D113</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78" t="s">
        <v>235</v>
      </c>
      <c r="B52" s="78"/>
      <c r="C52" s="78"/>
      <c r="D52" s="100">
        <f>IF(C16&lt;0,0,IF(C16&gt;833000,833000,C16))</f>
        <v>1000</v>
      </c>
      <c r="E52" s="101" t="s">
        <v>41</v>
      </c>
      <c r="F52" s="102" t="s">
        <v>8</v>
      </c>
      <c r="G52" s="265"/>
      <c r="H52" s="265"/>
      <c r="I52" s="265">
        <f>'Rider Rates'!$B$121</f>
        <v>2.9050000000000001E-4</v>
      </c>
      <c r="J52" s="265">
        <f t="shared" si="1"/>
        <v>2.9050000000000001E-4</v>
      </c>
      <c r="K52" s="104" t="s">
        <v>42</v>
      </c>
      <c r="L52" s="266"/>
      <c r="M52" s="266"/>
      <c r="N52" s="266">
        <f>IF(D52*J52&gt;'Rider Rates'!$C$121,'Rider Rates'!$C$121,D52*J52)</f>
        <v>0.29050000000000004</v>
      </c>
      <c r="O52" s="266">
        <f t="shared" si="2"/>
        <v>0.29050000000000004</v>
      </c>
      <c r="P52" s="264">
        <f>'Rider Rates'!$E$121</f>
        <v>45292</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78" t="s">
        <v>236</v>
      </c>
      <c r="B53" s="78"/>
      <c r="C53" s="78"/>
      <c r="D53" s="123">
        <f>IF(C16&gt;833000,C16-833000,0)</f>
        <v>0</v>
      </c>
      <c r="E53" s="101" t="s">
        <v>41</v>
      </c>
      <c r="F53" s="102" t="s">
        <v>8</v>
      </c>
      <c r="G53" s="265"/>
      <c r="H53" s="265"/>
      <c r="I53" s="265">
        <f>'Rider Rates'!$B$122</f>
        <v>0</v>
      </c>
      <c r="J53" s="265">
        <f t="shared" si="1"/>
        <v>0</v>
      </c>
      <c r="K53" s="104" t="s">
        <v>42</v>
      </c>
      <c r="L53" s="266"/>
      <c r="M53" s="266"/>
      <c r="N53" s="266">
        <f>D53*J53</f>
        <v>0</v>
      </c>
      <c r="O53" s="266">
        <f t="shared" si="2"/>
        <v>0</v>
      </c>
      <c r="P53" s="264">
        <f>'Rider Rates'!$E$122</f>
        <v>44927</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244</v>
      </c>
      <c r="B54" s="78"/>
      <c r="C54" s="78"/>
      <c r="D54" s="100">
        <f>D16</f>
        <v>1000</v>
      </c>
      <c r="E54" s="101" t="s">
        <v>41</v>
      </c>
      <c r="F54" s="249" t="s">
        <v>8</v>
      </c>
      <c r="G54" s="103"/>
      <c r="H54" s="103"/>
      <c r="I54" s="103">
        <f>'Rider Rates'!$B$128</f>
        <v>0</v>
      </c>
      <c r="J54" s="237">
        <f t="shared" si="1"/>
        <v>0</v>
      </c>
      <c r="K54" s="104" t="s">
        <v>42</v>
      </c>
      <c r="L54" s="105"/>
      <c r="M54" s="105"/>
      <c r="N54" s="105">
        <f>D54*J54</f>
        <v>0</v>
      </c>
      <c r="O54" s="105">
        <f>SUM(L54:N54)</f>
        <v>0</v>
      </c>
      <c r="P54" s="245">
        <f>'Rider Rates'!$D$126</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243</v>
      </c>
      <c r="B55" s="78"/>
      <c r="C55" s="78"/>
      <c r="D55" s="100"/>
      <c r="E55" s="101" t="s">
        <v>115</v>
      </c>
      <c r="F55" s="102" t="s">
        <v>8</v>
      </c>
      <c r="G55" s="263"/>
      <c r="H55" s="263"/>
      <c r="I55" s="263">
        <f>'Rider Rates'!$B$133</f>
        <v>0</v>
      </c>
      <c r="J55" s="263">
        <f t="shared" si="1"/>
        <v>0</v>
      </c>
      <c r="K55" s="104"/>
      <c r="L55" s="209"/>
      <c r="M55" s="209"/>
      <c r="N55" s="209">
        <f>J55</f>
        <v>0</v>
      </c>
      <c r="O55" s="209">
        <f>SUM(L55:N55)</f>
        <v>0</v>
      </c>
      <c r="P55" s="264">
        <f>'Rider Rates'!$D$133</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41" t="s">
        <v>245</v>
      </c>
      <c r="B56" s="78"/>
      <c r="C56" s="78"/>
      <c r="D56" s="100"/>
      <c r="E56" s="101"/>
      <c r="F56" s="102"/>
      <c r="G56" s="263"/>
      <c r="H56" s="263"/>
      <c r="I56" s="263"/>
      <c r="J56" s="263"/>
      <c r="K56" s="104"/>
      <c r="L56" s="209"/>
      <c r="M56" s="209"/>
      <c r="N56" s="209"/>
      <c r="O56" s="209"/>
      <c r="P56" s="26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179" t="s">
        <v>71</v>
      </c>
      <c r="B57" s="148"/>
      <c r="C57" s="148"/>
      <c r="D57" s="180"/>
      <c r="E57" s="181"/>
      <c r="F57" s="182"/>
      <c r="G57" s="182"/>
      <c r="H57" s="182"/>
      <c r="I57" s="182"/>
      <c r="J57" s="182"/>
      <c r="K57" s="183"/>
      <c r="L57" s="169">
        <f>SUM(L34:L56)</f>
        <v>0</v>
      </c>
      <c r="M57" s="169">
        <f t="shared" ref="M57:O57" si="3">SUM(M34:M56)</f>
        <v>0.57999999999999996</v>
      </c>
      <c r="N57" s="169">
        <f t="shared" si="3"/>
        <v>76.743199999999987</v>
      </c>
      <c r="O57" s="169">
        <f t="shared" si="3"/>
        <v>77.323199999999986</v>
      </c>
      <c r="P57" s="184"/>
    </row>
    <row r="58" spans="1:221" x14ac:dyDescent="0.2">
      <c r="A58" s="37"/>
      <c r="D58" s="1"/>
      <c r="E58" s="35"/>
      <c r="F58" s="4"/>
      <c r="G58" s="42"/>
      <c r="H58" s="42"/>
      <c r="I58" s="42"/>
      <c r="J58" s="42"/>
      <c r="K58" s="36"/>
      <c r="L58" s="36"/>
      <c r="M58" s="36"/>
      <c r="N58" s="36"/>
      <c r="O58" s="34"/>
      <c r="P58" s="36"/>
    </row>
    <row r="59" spans="1:221" x14ac:dyDescent="0.2">
      <c r="A59" s="284" t="s">
        <v>72</v>
      </c>
      <c r="B59" s="92"/>
      <c r="C59" s="92"/>
      <c r="D59" s="92"/>
      <c r="E59" s="92"/>
      <c r="F59" s="92"/>
      <c r="G59" s="92"/>
      <c r="H59" s="92"/>
      <c r="I59" s="92"/>
      <c r="J59" s="92"/>
      <c r="K59" s="92"/>
      <c r="L59" s="98">
        <f>L30+L57</f>
        <v>0</v>
      </c>
      <c r="M59" s="98">
        <f>M30+M57</f>
        <v>0.57999999999999996</v>
      </c>
      <c r="N59" s="98">
        <f>N30+N57</f>
        <v>215.2432</v>
      </c>
      <c r="O59" s="98">
        <f>O30+O57</f>
        <v>215.82319999999999</v>
      </c>
      <c r="P59" s="98"/>
    </row>
    <row r="60" spans="1:221" x14ac:dyDescent="0.2">
      <c r="A60" s="37"/>
      <c r="B60" s="37"/>
      <c r="C60" s="37"/>
      <c r="D60" s="37"/>
      <c r="E60" s="37"/>
      <c r="F60" s="37"/>
      <c r="G60" s="37"/>
      <c r="H60" s="37"/>
      <c r="I60" s="37"/>
      <c r="J60" s="37"/>
      <c r="K60" s="37"/>
      <c r="L60" s="37"/>
      <c r="M60" s="37"/>
      <c r="N60" s="37"/>
      <c r="O60" s="40"/>
      <c r="P60" s="40"/>
    </row>
    <row r="61" spans="1:221" x14ac:dyDescent="0.2">
      <c r="A61" s="37" t="s">
        <v>37</v>
      </c>
      <c r="B61" s="37"/>
      <c r="C61" s="37"/>
      <c r="D61" s="37"/>
      <c r="E61" s="37"/>
      <c r="F61" s="37"/>
      <c r="G61" s="37"/>
      <c r="H61" s="37"/>
      <c r="I61" s="37"/>
      <c r="J61" s="37"/>
      <c r="K61" s="37"/>
      <c r="L61" s="37"/>
      <c r="M61" s="37"/>
      <c r="N61" s="37"/>
      <c r="O61" s="45">
        <f>O26+O28+O57</f>
        <v>215.82319999999999</v>
      </c>
      <c r="P61" s="245">
        <v>40967</v>
      </c>
    </row>
    <row r="62" spans="1:221" x14ac:dyDescent="0.2">
      <c r="A62" s="37"/>
      <c r="B62" s="37"/>
      <c r="C62" s="37"/>
      <c r="D62" s="37"/>
      <c r="E62" s="37"/>
      <c r="F62" s="37"/>
      <c r="G62" s="46"/>
      <c r="H62" s="46"/>
      <c r="I62" s="46"/>
      <c r="J62" s="46"/>
      <c r="K62" s="36"/>
      <c r="L62" s="36"/>
      <c r="M62" s="36"/>
      <c r="N62" s="36"/>
      <c r="O62" s="40"/>
    </row>
    <row r="63" spans="1:221" x14ac:dyDescent="0.2">
      <c r="A63" s="41" t="s">
        <v>117</v>
      </c>
      <c r="B63" s="37"/>
      <c r="C63" s="37"/>
      <c r="D63" s="37"/>
      <c r="E63" s="37"/>
      <c r="F63" s="37"/>
      <c r="G63" s="46"/>
      <c r="H63" s="46"/>
      <c r="I63" s="46"/>
      <c r="J63" s="46"/>
      <c r="K63" s="36"/>
      <c r="L63" s="36"/>
      <c r="M63" s="36"/>
      <c r="N63" s="36"/>
      <c r="O63" s="138">
        <f>MAX($O$59,$O$61)</f>
        <v>215.82319999999999</v>
      </c>
    </row>
    <row r="64" spans="1:221" x14ac:dyDescent="0.2">
      <c r="A64" s="37"/>
      <c r="B64" s="37"/>
      <c r="C64" s="37"/>
      <c r="D64" s="37"/>
      <c r="E64" s="37"/>
      <c r="F64" s="37"/>
      <c r="G64" s="46"/>
      <c r="H64" s="46"/>
      <c r="I64" s="46"/>
      <c r="J64" s="46"/>
      <c r="K64" s="36"/>
      <c r="L64" s="36"/>
      <c r="M64" s="36"/>
      <c r="N64" s="36"/>
      <c r="O64" s="40"/>
    </row>
    <row r="65" spans="1:16" x14ac:dyDescent="0.2">
      <c r="A65" s="37"/>
      <c r="B65" s="37"/>
      <c r="C65" s="37"/>
      <c r="D65" s="37"/>
      <c r="E65" s="37"/>
      <c r="F65" s="37"/>
      <c r="G65" s="96" t="s">
        <v>86</v>
      </c>
      <c r="H65" s="46"/>
      <c r="I65" s="37"/>
      <c r="J65" s="46"/>
      <c r="K65" s="36"/>
      <c r="L65" s="191"/>
      <c r="M65" s="191"/>
      <c r="N65" s="191"/>
      <c r="O65" s="191">
        <f>ROUND(IF($C$16&lt;1,0,$O$63/($C$16*100)*10000),2)</f>
        <v>21.58</v>
      </c>
      <c r="P65" s="37" t="s">
        <v>87</v>
      </c>
    </row>
    <row r="66" spans="1:16" x14ac:dyDescent="0.2">
      <c r="A66" s="37"/>
      <c r="B66" s="37"/>
      <c r="C66" s="37"/>
      <c r="D66" s="37"/>
      <c r="E66" s="37"/>
      <c r="F66" s="37"/>
      <c r="G66" s="242" t="s">
        <v>191</v>
      </c>
      <c r="H66" s="136"/>
      <c r="I66" s="133"/>
      <c r="J66" s="136"/>
      <c r="K66" s="137"/>
      <c r="L66" s="78"/>
      <c r="M66" s="78"/>
      <c r="N66" s="78"/>
      <c r="O66" s="243">
        <f>ROUND(IF($C$16&lt;1,0,(L59)/($C$16*100)*10000),2)</f>
        <v>0</v>
      </c>
      <c r="P66" s="25" t="s">
        <v>87</v>
      </c>
    </row>
    <row r="67" spans="1:16" x14ac:dyDescent="0.2">
      <c r="A67" s="37"/>
      <c r="B67" s="37"/>
      <c r="C67" s="37"/>
      <c r="D67" s="37"/>
      <c r="E67" s="37"/>
      <c r="F67" s="37"/>
      <c r="G67" s="96"/>
      <c r="H67" s="46"/>
      <c r="I67" s="96"/>
      <c r="J67" s="46"/>
      <c r="K67" s="36"/>
      <c r="L67" s="36"/>
      <c r="M67" s="36"/>
      <c r="N67" s="36"/>
      <c r="O67" s="130"/>
      <c r="P67" s="37"/>
    </row>
    <row r="68" spans="1:16" ht="20.25" customHeight="1" x14ac:dyDescent="0.3">
      <c r="A68" s="3"/>
      <c r="B68" s="37"/>
      <c r="C68" s="37"/>
      <c r="D68" s="228" t="str">
        <f>IF('Customer Info'!$C$32=TRUE,"Notice: Billing Charge does not include Self Assessed KWH Tax"," ")</f>
        <v xml:space="preserve"> </v>
      </c>
      <c r="E68" s="3"/>
      <c r="F68" s="4"/>
      <c r="G68" s="121"/>
      <c r="H68" s="55"/>
      <c r="I68" s="34"/>
      <c r="J68" s="55"/>
      <c r="K68" s="37"/>
      <c r="L68" s="37"/>
      <c r="M68" s="37"/>
      <c r="N68" s="34"/>
    </row>
    <row r="69" spans="1:16" x14ac:dyDescent="0.2">
      <c r="A69" s="37"/>
      <c r="B69" s="37"/>
      <c r="C69" s="37"/>
      <c r="D69" s="54"/>
      <c r="E69" s="3"/>
      <c r="F69" s="4"/>
      <c r="G69" s="55"/>
      <c r="H69" s="55"/>
      <c r="I69" s="93"/>
      <c r="J69" s="55"/>
      <c r="K69" s="37"/>
      <c r="L69" s="37"/>
      <c r="M69" s="37"/>
      <c r="N69" s="37"/>
      <c r="O69" s="40"/>
    </row>
    <row r="70" spans="1:16" x14ac:dyDescent="0.2">
      <c r="A70" s="37"/>
      <c r="B70" s="37"/>
      <c r="C70" s="37"/>
      <c r="D70" s="54"/>
      <c r="E70" s="3"/>
      <c r="F70" s="4"/>
      <c r="G70" s="55"/>
      <c r="H70" s="55"/>
      <c r="I70" s="55"/>
      <c r="J70" s="55"/>
      <c r="K70" s="37"/>
      <c r="L70" s="37"/>
      <c r="M70" s="37"/>
      <c r="N70" s="37"/>
      <c r="O70" s="40"/>
    </row>
    <row r="71" spans="1:16" x14ac:dyDescent="0.2">
      <c r="A71" s="41"/>
      <c r="B71" s="37"/>
      <c r="C71" s="37"/>
      <c r="D71" s="37"/>
      <c r="E71" s="37"/>
      <c r="F71" s="37"/>
      <c r="G71" s="37"/>
      <c r="H71" s="37"/>
      <c r="J71" s="37"/>
      <c r="K71" s="37"/>
      <c r="L71" s="40"/>
      <c r="M71" s="40"/>
      <c r="N71" s="40"/>
      <c r="O71" s="138"/>
    </row>
    <row r="72" spans="1:16" x14ac:dyDescent="0.2">
      <c r="B72" s="37"/>
      <c r="C72" s="37"/>
      <c r="D72" s="37"/>
      <c r="E72" s="37"/>
      <c r="F72" s="37"/>
      <c r="G72" s="96"/>
      <c r="H72" s="37"/>
      <c r="I72" s="37"/>
      <c r="J72" s="37"/>
      <c r="K72" s="37"/>
      <c r="L72" s="60"/>
      <c r="M72" s="60"/>
      <c r="N72" s="60"/>
      <c r="O72" s="130"/>
      <c r="P72" s="37"/>
    </row>
    <row r="73" spans="1:16" x14ac:dyDescent="0.2">
      <c r="G73" s="133"/>
      <c r="H73" s="56"/>
      <c r="I73" s="133"/>
      <c r="J73" s="56"/>
      <c r="K73" s="56"/>
      <c r="L73" s="134"/>
      <c r="M73" s="134"/>
      <c r="N73" s="134"/>
      <c r="O73" s="135"/>
      <c r="P73" s="25"/>
    </row>
    <row r="75" spans="1:16" x14ac:dyDescent="0.2">
      <c r="A75" s="350"/>
    </row>
    <row r="76" spans="1:16" x14ac:dyDescent="0.2">
      <c r="A76" s="350"/>
    </row>
    <row r="77" spans="1:16" x14ac:dyDescent="0.2">
      <c r="A77" s="350"/>
    </row>
    <row r="78" spans="1:16" x14ac:dyDescent="0.2">
      <c r="A78" s="350"/>
    </row>
    <row r="79" spans="1:16" x14ac:dyDescent="0.2">
      <c r="A79" s="350"/>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sheetData>
  <sheetProtection algorithmName="SHA-512" hashValue="FfbfCOX2pkRodJNlViKAjbj5XlKzKbaE0nvJTsZOGbbuPP6I9m4E0LCQ3pqwO3k51t3U6FENaBkIMlbCoMulwg==" saltValue="ZuDIZfafcpG3ObIJX/ZGyw=="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75:A89"/>
    <mergeCell ref="A4:P4"/>
    <mergeCell ref="A7:P7"/>
    <mergeCell ref="A11:I11"/>
    <mergeCell ref="D21:H21"/>
    <mergeCell ref="D22:H22"/>
    <mergeCell ref="G24:J24"/>
    <mergeCell ref="L24:O24"/>
  </mergeCells>
  <printOptions horizontalCentered="1"/>
  <pageMargins left="0.5" right="0.5" top="0.25" bottom="0.25" header="0.25" footer="0.26"/>
  <pageSetup scale="59" orientation="landscape" r:id="rId1"/>
  <headerFooter alignWithMargins="0"/>
  <rowBreaks count="1" manualBreakCount="1">
    <brk id="7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122882" r:id="rId5" name="Button 2">
              <controlPr defaultSize="0" print="0" autoFill="0" autoPict="0" macro="[0]!Info">
                <anchor moveWithCells="1">
                  <from>
                    <xdr:col>15</xdr:col>
                    <xdr:colOff>409575</xdr:colOff>
                    <xdr:row>83</xdr:row>
                    <xdr:rowOff>76200</xdr:rowOff>
                  </from>
                  <to>
                    <xdr:col>16</xdr:col>
                    <xdr:colOff>38100</xdr:colOff>
                    <xdr:row>84</xdr:row>
                    <xdr:rowOff>133350</xdr:rowOff>
                  </to>
                </anchor>
              </controlPr>
            </control>
          </mc:Choice>
        </mc:AlternateContent>
        <mc:AlternateContent xmlns:mc="http://schemas.openxmlformats.org/markup-compatibility/2006">
          <mc:Choice Requires="x14">
            <control shapeId="122883"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2884"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2885"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2886"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22887"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2888"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2889"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2890"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122891"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2892"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2893"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2894"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122895"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2896"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2897"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2898"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122899"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2900"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2901"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2902"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122903"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2904"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2905"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2906"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122907"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2908"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2909"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2910"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122911"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2912"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2913"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2914"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122915"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2916"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2917"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2918"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122919"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2920"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2921"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2922"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122923"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2924"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2925"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2926"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122927"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2928"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2929"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2930"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122931"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2932"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2933"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2934"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122935"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2936"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2937"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122938"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pageSetUpPr fitToPage="1"/>
  </sheetPr>
  <dimension ref="A1:IV88"/>
  <sheetViews>
    <sheetView showGridLines="0" zoomScale="80" zoomScaleNormal="80" workbookViewId="0">
      <selection activeCell="O48" sqref="O48"/>
    </sheetView>
  </sheetViews>
  <sheetFormatPr defaultRowHeight="12.75" x14ac:dyDescent="0.2"/>
  <cols>
    <col min="1" max="1" width="31" customWidth="1"/>
    <col min="2" max="2" width="2.140625" customWidth="1"/>
    <col min="3" max="3" width="19.28515625" customWidth="1"/>
    <col min="4" max="4" width="15.28515625" customWidth="1"/>
    <col min="5" max="5" width="9.85546875" customWidth="1"/>
    <col min="6" max="6" width="3.7109375" customWidth="1"/>
    <col min="7" max="8" width="13.28515625" customWidth="1"/>
    <col min="9" max="9" width="14.5703125" customWidth="1"/>
    <col min="10" max="10" width="13.28515625" customWidth="1"/>
    <col min="11" max="11" width="7" customWidth="1"/>
    <col min="12" max="12" width="15.140625" customWidth="1"/>
    <col min="13" max="13" width="18" customWidth="1"/>
    <col min="14" max="14" width="14.42578125" customWidth="1"/>
    <col min="15" max="15" width="16.28515625" bestFit="1" customWidth="1"/>
    <col min="16" max="16" width="13.85546875" bestFit="1" customWidth="1"/>
    <col min="18" max="26" width="9.140625" hidden="1" customWidth="1"/>
    <col min="27" max="27" width="10.5703125" hidden="1" customWidth="1"/>
    <col min="28" max="29" width="9.140625" hidden="1" customWidth="1"/>
    <col min="30" max="30" width="10" hidden="1" customWidth="1"/>
    <col min="31" max="31" width="9.140625" hidden="1" customWidth="1"/>
  </cols>
  <sheetData>
    <row r="1" spans="1:256" ht="20.25" x14ac:dyDescent="0.3">
      <c r="A1" s="367" t="s">
        <v>120</v>
      </c>
      <c r="B1" s="367"/>
      <c r="C1" s="367"/>
      <c r="D1" s="367"/>
      <c r="E1" s="367"/>
      <c r="F1" s="367"/>
      <c r="G1" s="367"/>
      <c r="H1" s="367"/>
      <c r="I1" s="367"/>
      <c r="J1" s="367"/>
      <c r="K1" s="367"/>
      <c r="L1" s="367"/>
      <c r="M1" s="367"/>
      <c r="N1" s="367"/>
      <c r="O1" s="367"/>
      <c r="P1" s="367"/>
    </row>
    <row r="2" spans="1:256" ht="20.25" x14ac:dyDescent="0.3">
      <c r="A2" s="352" t="s">
        <v>280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row>
    <row r="3" spans="1:256" ht="18" x14ac:dyDescent="0.25">
      <c r="A3" s="368" t="s">
        <v>272</v>
      </c>
      <c r="B3" s="368"/>
      <c r="C3" s="368"/>
      <c r="D3" s="368"/>
      <c r="E3" s="368"/>
      <c r="F3" s="368"/>
      <c r="G3" s="368"/>
      <c r="H3" s="368"/>
      <c r="I3" s="368"/>
      <c r="J3" s="368"/>
      <c r="K3" s="368"/>
      <c r="L3" s="368"/>
      <c r="M3" s="368"/>
      <c r="N3" s="368"/>
      <c r="O3" s="368"/>
      <c r="P3" s="368"/>
    </row>
    <row r="4" spans="1:256"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256" ht="15" x14ac:dyDescent="0.2">
      <c r="A5" s="75"/>
      <c r="B5" s="75"/>
      <c r="C5" s="75"/>
      <c r="D5" s="75"/>
      <c r="E5" s="75"/>
      <c r="F5" s="75"/>
      <c r="G5" s="75"/>
      <c r="H5" s="75"/>
      <c r="I5" s="75"/>
      <c r="J5" s="75"/>
      <c r="K5" s="75"/>
    </row>
    <row r="6" spans="1:256" x14ac:dyDescent="0.2">
      <c r="A6" s="76">
        <f ca="1">TODAY()</f>
        <v>45371</v>
      </c>
      <c r="B6" s="99" t="s">
        <v>295</v>
      </c>
      <c r="C6" s="274"/>
      <c r="D6" s="274"/>
      <c r="E6" s="274"/>
      <c r="F6" s="274"/>
      <c r="G6" s="274"/>
      <c r="H6" s="274"/>
      <c r="I6" s="274"/>
      <c r="J6" s="274"/>
      <c r="K6" s="274"/>
    </row>
    <row r="7" spans="1:256" ht="26.25" x14ac:dyDescent="0.4">
      <c r="A7" s="369"/>
      <c r="B7" s="369"/>
      <c r="C7" s="369"/>
      <c r="D7" s="369"/>
      <c r="E7" s="369"/>
      <c r="F7" s="369"/>
      <c r="G7" s="369"/>
      <c r="H7" s="369"/>
      <c r="I7" s="369"/>
      <c r="J7" s="369"/>
      <c r="K7" s="369"/>
      <c r="L7" s="369"/>
      <c r="M7" s="369"/>
      <c r="N7" s="369"/>
      <c r="O7" s="369"/>
      <c r="P7" s="369"/>
    </row>
    <row r="8" spans="1:256" ht="15" x14ac:dyDescent="0.2">
      <c r="A8" s="23" t="s">
        <v>2</v>
      </c>
      <c r="B8" s="24"/>
      <c r="C8" s="25">
        <f>'Customer Info'!B7</f>
        <v>0</v>
      </c>
      <c r="I8" s="26"/>
    </row>
    <row r="9" spans="1:256" ht="15" x14ac:dyDescent="0.2">
      <c r="A9" s="27" t="s">
        <v>26</v>
      </c>
      <c r="B9" s="24"/>
      <c r="C9" s="25">
        <f>'Customer Info'!B8</f>
        <v>0</v>
      </c>
    </row>
    <row r="10" spans="1:256" x14ac:dyDescent="0.2">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2">
      <c r="A11" s="366"/>
      <c r="B11" s="366"/>
      <c r="C11" s="366"/>
      <c r="D11" s="366"/>
      <c r="E11" s="366"/>
      <c r="F11" s="366"/>
      <c r="G11" s="366"/>
      <c r="H11" s="366"/>
      <c r="I11" s="366"/>
      <c r="R11" t="s">
        <v>115</v>
      </c>
      <c r="S11" s="145" t="s">
        <v>102</v>
      </c>
      <c r="T11" s="145" t="s">
        <v>103</v>
      </c>
      <c r="U11" s="145" t="s">
        <v>104</v>
      </c>
      <c r="V11" s="145" t="s">
        <v>105</v>
      </c>
      <c r="W11" s="145" t="s">
        <v>106</v>
      </c>
      <c r="X11" s="145" t="s">
        <v>107</v>
      </c>
      <c r="Y11" s="145" t="s">
        <v>108</v>
      </c>
      <c r="Z11" s="145" t="s">
        <v>109</v>
      </c>
      <c r="AA11" s="145" t="s">
        <v>110</v>
      </c>
      <c r="AB11" s="145" t="s">
        <v>112</v>
      </c>
      <c r="AC11" s="145" t="s">
        <v>111</v>
      </c>
      <c r="AD11" s="145" t="s">
        <v>113</v>
      </c>
    </row>
    <row r="12" spans="1:256" x14ac:dyDescent="0.2">
      <c r="A12" s="28" t="s">
        <v>27</v>
      </c>
      <c r="B12" s="22"/>
      <c r="C12" s="22"/>
      <c r="D12" s="22"/>
      <c r="E12" s="22"/>
      <c r="F12" s="22"/>
      <c r="G12" s="22"/>
      <c r="H12" s="22"/>
      <c r="I12" s="22"/>
      <c r="J12" s="22"/>
      <c r="K12" s="22"/>
      <c r="L12" s="22"/>
      <c r="M12" s="22"/>
      <c r="N12" s="22"/>
      <c r="O12" s="22"/>
      <c r="P12" s="22"/>
      <c r="R12" s="3" t="s">
        <v>188</v>
      </c>
      <c r="S12" s="207">
        <f>'Rider Rates'!$C$25</f>
        <v>0.10049</v>
      </c>
      <c r="T12" s="207">
        <f>'Rider Rates'!$C$25</f>
        <v>0.10049</v>
      </c>
      <c r="U12" s="207">
        <f>'Rider Rates'!$C$25</f>
        <v>0.10049</v>
      </c>
      <c r="V12" s="207">
        <f>'Rider Rates'!$C$25</f>
        <v>0.10049</v>
      </c>
      <c r="W12" s="207">
        <f>'Rider Rates'!$C$25</f>
        <v>0.10049</v>
      </c>
      <c r="X12" s="207">
        <f>'Rider Rates'!$C$25</f>
        <v>0.10049</v>
      </c>
      <c r="Y12" s="207">
        <f>'Rider Rates'!$C$25</f>
        <v>0.10049</v>
      </c>
      <c r="Z12" s="207">
        <f>'Rider Rates'!$C$25</f>
        <v>0.10049</v>
      </c>
      <c r="AA12" s="207">
        <f>'Rider Rates'!$C$25</f>
        <v>0.10049</v>
      </c>
      <c r="AB12" s="207">
        <f>'Rider Rates'!$C$25</f>
        <v>0.10049</v>
      </c>
      <c r="AC12" s="207">
        <f>'Rider Rates'!$C$25</f>
        <v>0.10049</v>
      </c>
      <c r="AD12" s="207">
        <f>'Rider Rates'!$C$25</f>
        <v>0.10049</v>
      </c>
      <c r="AE12" s="207"/>
      <c r="AF12" s="207"/>
    </row>
    <row r="13" spans="1:256" x14ac:dyDescent="0.2">
      <c r="A13" s="18"/>
      <c r="B13" s="18"/>
      <c r="C13" s="59" t="s">
        <v>55</v>
      </c>
      <c r="D13" s="59" t="s">
        <v>56</v>
      </c>
      <c r="E13" s="18"/>
      <c r="F13" s="18"/>
      <c r="G13" s="18"/>
      <c r="H13" s="18"/>
      <c r="I13" s="18"/>
      <c r="J13" s="18"/>
      <c r="K13" s="18"/>
      <c r="L13" s="18"/>
      <c r="M13" s="18"/>
      <c r="N13" s="18"/>
      <c r="O13" s="18"/>
    </row>
    <row r="14" spans="1:256" x14ac:dyDescent="0.2">
      <c r="A14" s="29" t="s">
        <v>28</v>
      </c>
      <c r="B14" s="29"/>
      <c r="C14" s="44">
        <f>'Customer Info'!B18</f>
        <v>0</v>
      </c>
      <c r="D14" s="44">
        <f>ROUND(C14*C19,1)</f>
        <v>0</v>
      </c>
      <c r="E14" s="29" t="s">
        <v>45</v>
      </c>
      <c r="F14" s="30"/>
      <c r="G14" s="29" t="s">
        <v>15</v>
      </c>
      <c r="I14" s="53" t="s">
        <v>15</v>
      </c>
      <c r="J14" s="29"/>
      <c r="K14" s="29"/>
      <c r="L14" s="29"/>
      <c r="M14" s="29"/>
      <c r="N14" s="29"/>
    </row>
    <row r="15" spans="1:256" x14ac:dyDescent="0.2">
      <c r="A15" s="31" t="s">
        <v>29</v>
      </c>
      <c r="B15" s="31"/>
      <c r="C15" s="44">
        <f>'Customer Info'!B19</f>
        <v>0</v>
      </c>
      <c r="D15" s="44">
        <f>C15*C19</f>
        <v>0</v>
      </c>
      <c r="E15" s="29" t="s">
        <v>45</v>
      </c>
      <c r="F15" s="33"/>
      <c r="G15" s="31" t="s">
        <v>30</v>
      </c>
      <c r="I15" s="51" t="str">
        <f>IF(MAX(C14,C15)&gt;0,C16/(MAX(C14,C15)*730), " ")</f>
        <v xml:space="preserve"> </v>
      </c>
      <c r="J15" s="31"/>
      <c r="K15" s="31"/>
      <c r="L15" s="31"/>
      <c r="M15" s="31"/>
      <c r="N15" s="31"/>
      <c r="X15" s="207"/>
      <c r="Y15" s="207"/>
      <c r="Z15" s="207"/>
      <c r="AA15" s="207"/>
    </row>
    <row r="16" spans="1:256" x14ac:dyDescent="0.2">
      <c r="A16" s="31" t="s">
        <v>43</v>
      </c>
      <c r="B16" s="31"/>
      <c r="C16" s="32">
        <f>IF('Customer Info'!B21+'Customer Info'!B22-'Customer Info'!B23&lt;0,0,'Customer Info'!B21+'Customer Info'!B22-'Customer Info'!B23)</f>
        <v>1000</v>
      </c>
      <c r="D16" s="32">
        <f>C16*C19</f>
        <v>1000</v>
      </c>
      <c r="E16" s="31" t="s">
        <v>41</v>
      </c>
      <c r="F16" s="33"/>
      <c r="G16" s="31"/>
      <c r="H16" s="31"/>
      <c r="I16" s="31"/>
      <c r="J16" s="31"/>
      <c r="K16" s="31"/>
      <c r="L16" s="31"/>
      <c r="M16" s="31"/>
      <c r="N16" s="31"/>
      <c r="O16" s="31"/>
    </row>
    <row r="17" spans="1:30" x14ac:dyDescent="0.2">
      <c r="A17" s="31" t="s">
        <v>129</v>
      </c>
      <c r="B17" s="31"/>
      <c r="C17" s="32">
        <f>'Customer Info'!$B$26</f>
        <v>0</v>
      </c>
      <c r="D17" s="32">
        <f>C17*C19</f>
        <v>0</v>
      </c>
      <c r="E17" s="31" t="s">
        <v>258</v>
      </c>
      <c r="F17" s="33"/>
      <c r="K17" s="31"/>
      <c r="L17" s="31"/>
      <c r="M17" s="31"/>
      <c r="N17" s="31"/>
    </row>
    <row r="18" spans="1:30" x14ac:dyDescent="0.2">
      <c r="A18" s="31" t="s">
        <v>257</v>
      </c>
      <c r="B18" s="31"/>
      <c r="C18" s="32"/>
      <c r="D18" s="32">
        <f>IF((D17-(ROUND(MAX(D14,D15)*0.5,1)))&lt;0,0,(D17-(ROUND(MAX(D14,D15)*0.5,1))))</f>
        <v>0</v>
      </c>
      <c r="E18" s="31" t="s">
        <v>261</v>
      </c>
      <c r="F18" s="33"/>
      <c r="K18" s="31"/>
      <c r="L18" s="31"/>
      <c r="M18" s="31"/>
      <c r="N18" s="31"/>
    </row>
    <row r="19" spans="1:30" x14ac:dyDescent="0.2">
      <c r="A19" s="31" t="s">
        <v>54</v>
      </c>
      <c r="B19" s="31"/>
      <c r="C19" s="58">
        <f>+'Customer Info'!E18</f>
        <v>1</v>
      </c>
      <c r="D19" s="31"/>
      <c r="E19" s="31"/>
      <c r="F19" s="33"/>
      <c r="G19" s="23"/>
      <c r="H19" s="23"/>
      <c r="I19" s="23"/>
      <c r="J19" s="23"/>
      <c r="K19" s="31"/>
      <c r="L19" s="31"/>
      <c r="M19" s="31"/>
      <c r="N19" s="31"/>
      <c r="S19" s="207"/>
      <c r="T19" s="207"/>
      <c r="U19" s="207"/>
      <c r="V19" s="207"/>
      <c r="W19" s="207"/>
      <c r="X19" s="207"/>
      <c r="Y19" s="207"/>
      <c r="Z19" s="207"/>
      <c r="AA19" s="207"/>
      <c r="AB19" s="207"/>
      <c r="AC19" s="207"/>
      <c r="AD19" s="207"/>
    </row>
    <row r="20" spans="1:30" x14ac:dyDescent="0.2">
      <c r="A20" s="31" t="s">
        <v>15</v>
      </c>
      <c r="B20" s="31"/>
      <c r="C20" s="82" t="s">
        <v>15</v>
      </c>
      <c r="D20" s="371" t="s">
        <v>15</v>
      </c>
      <c r="E20" s="371"/>
      <c r="F20" s="371"/>
      <c r="G20" s="371"/>
      <c r="H20" s="371"/>
      <c r="K20" s="31"/>
      <c r="L20" s="31"/>
      <c r="M20" s="31"/>
      <c r="N20" s="31"/>
      <c r="O20" s="50"/>
    </row>
    <row r="21" spans="1:30" x14ac:dyDescent="0.2">
      <c r="A21" s="31" t="s">
        <v>15</v>
      </c>
      <c r="B21" s="31"/>
      <c r="C21" s="82" t="s">
        <v>15</v>
      </c>
      <c r="D21" s="371" t="s">
        <v>15</v>
      </c>
      <c r="E21" s="371"/>
      <c r="F21" s="371"/>
      <c r="G21" s="371"/>
      <c r="H21" s="371"/>
      <c r="I21" s="23"/>
      <c r="J21" s="23"/>
      <c r="K21" s="31"/>
      <c r="L21" s="31"/>
      <c r="M21" s="31"/>
      <c r="N21" s="31"/>
      <c r="O21" s="50"/>
    </row>
    <row r="22" spans="1:30" x14ac:dyDescent="0.2">
      <c r="A22" s="31"/>
      <c r="B22" s="31"/>
      <c r="C22" s="33"/>
      <c r="D22" s="33"/>
      <c r="E22" s="33"/>
      <c r="F22" s="33"/>
      <c r="G22" s="23"/>
      <c r="H22" s="23"/>
      <c r="I22" s="23"/>
      <c r="J22" s="23"/>
      <c r="K22" s="31"/>
      <c r="L22" s="31"/>
      <c r="M22" s="31"/>
      <c r="N22" s="31"/>
      <c r="O22" s="31"/>
    </row>
    <row r="23" spans="1:30" x14ac:dyDescent="0.2">
      <c r="A23" s="28" t="s">
        <v>31</v>
      </c>
      <c r="B23" s="22"/>
      <c r="C23" s="22"/>
      <c r="D23" s="22"/>
      <c r="E23" s="22"/>
      <c r="F23" s="22"/>
      <c r="G23" s="362" t="s">
        <v>68</v>
      </c>
      <c r="H23" s="363"/>
      <c r="I23" s="363"/>
      <c r="J23" s="364"/>
      <c r="K23" s="22"/>
      <c r="L23" s="365" t="s">
        <v>69</v>
      </c>
      <c r="M23" s="365"/>
      <c r="N23" s="365"/>
      <c r="O23" s="365"/>
    </row>
    <row r="24" spans="1:30" x14ac:dyDescent="0.2">
      <c r="A24" s="18"/>
      <c r="B24" s="18"/>
      <c r="C24" s="18"/>
      <c r="D24" s="18"/>
      <c r="E24" s="18"/>
      <c r="F24" s="18"/>
      <c r="G24" s="8" t="s">
        <v>65</v>
      </c>
      <c r="H24" s="8" t="s">
        <v>66</v>
      </c>
      <c r="I24" s="8" t="s">
        <v>67</v>
      </c>
      <c r="J24" s="112" t="s">
        <v>34</v>
      </c>
      <c r="K24" s="18"/>
      <c r="L24" s="131" t="s">
        <v>65</v>
      </c>
      <c r="M24" s="131" t="s">
        <v>66</v>
      </c>
      <c r="N24" s="131" t="s">
        <v>67</v>
      </c>
      <c r="O24" s="132" t="s">
        <v>34</v>
      </c>
      <c r="P24" s="43" t="s">
        <v>57</v>
      </c>
    </row>
    <row r="25" spans="1:30" x14ac:dyDescent="0.2">
      <c r="A25" t="s">
        <v>32</v>
      </c>
      <c r="G25" s="86"/>
      <c r="H25" s="86"/>
      <c r="I25" s="86">
        <f>IF(D14&gt;2000,3600,825)</f>
        <v>825</v>
      </c>
      <c r="J25" s="86">
        <f>SUM(G25:I25)</f>
        <v>825</v>
      </c>
      <c r="L25" s="88"/>
      <c r="M25" s="88"/>
      <c r="N25" s="88">
        <f>I25</f>
        <v>825</v>
      </c>
      <c r="O25" s="209">
        <f>SUM(L25:N25)</f>
        <v>825</v>
      </c>
      <c r="P25" s="245">
        <v>44531</v>
      </c>
    </row>
    <row r="26" spans="1:30" x14ac:dyDescent="0.2">
      <c r="A26" t="s">
        <v>132</v>
      </c>
      <c r="D26" s="1">
        <f>D16</f>
        <v>1000</v>
      </c>
      <c r="E26" s="101" t="s">
        <v>41</v>
      </c>
      <c r="F26" s="102" t="s">
        <v>8</v>
      </c>
      <c r="G26" s="84"/>
      <c r="H26" s="86"/>
      <c r="I26" s="86"/>
      <c r="J26" s="84"/>
      <c r="K26" s="104" t="s">
        <v>42</v>
      </c>
      <c r="L26" s="87"/>
      <c r="M26" s="88"/>
      <c r="N26" s="87"/>
      <c r="O26" s="209"/>
      <c r="P26" s="245"/>
    </row>
    <row r="27" spans="1:30" x14ac:dyDescent="0.2">
      <c r="A27" t="s">
        <v>33</v>
      </c>
      <c r="D27" s="49">
        <f>ROUND(MAX(D14,D15,('Customer Info'!B14-100)*0.6,('Customer Info'!B16-100)*0.6),1)</f>
        <v>0</v>
      </c>
      <c r="E27" s="29" t="s">
        <v>45</v>
      </c>
      <c r="F27" s="4" t="s">
        <v>8</v>
      </c>
      <c r="G27" s="85"/>
      <c r="H27" s="85"/>
      <c r="I27" s="85">
        <v>0</v>
      </c>
      <c r="J27" s="85">
        <f>SUM(G27:I27)</f>
        <v>0</v>
      </c>
      <c r="K27" s="36" t="s">
        <v>44</v>
      </c>
      <c r="L27" s="87"/>
      <c r="M27" s="87"/>
      <c r="N27" s="87">
        <f>ROUND($D27*I27,2)</f>
        <v>0</v>
      </c>
      <c r="O27" s="209">
        <f>SUM(L27:N27)</f>
        <v>0</v>
      </c>
      <c r="P27" s="245">
        <v>44531</v>
      </c>
    </row>
    <row r="28" spans="1:30" x14ac:dyDescent="0.2">
      <c r="A28" t="s">
        <v>262</v>
      </c>
      <c r="D28" s="49">
        <f>D18</f>
        <v>0</v>
      </c>
      <c r="E28" s="29" t="s">
        <v>260</v>
      </c>
      <c r="F28" s="4" t="s">
        <v>8</v>
      </c>
      <c r="G28" s="116"/>
      <c r="H28" s="85"/>
      <c r="I28" s="85">
        <v>0.7</v>
      </c>
      <c r="J28" s="116">
        <f>SUM(G28:I28)</f>
        <v>0.7</v>
      </c>
      <c r="K28" s="36" t="s">
        <v>44</v>
      </c>
      <c r="L28" s="87"/>
      <c r="M28" s="87"/>
      <c r="N28" s="87">
        <f>ROUND($D28*I28,2)</f>
        <v>0</v>
      </c>
      <c r="O28" s="87">
        <f>SUM(L28:N28)</f>
        <v>0</v>
      </c>
      <c r="P28" s="245">
        <v>44531</v>
      </c>
    </row>
    <row r="29" spans="1:30" x14ac:dyDescent="0.2">
      <c r="A29" s="37" t="s">
        <v>50</v>
      </c>
      <c r="B29" s="37"/>
      <c r="C29" s="37"/>
      <c r="D29" s="38"/>
      <c r="E29" s="38"/>
      <c r="F29" s="37"/>
      <c r="G29" s="37"/>
      <c r="H29" s="37"/>
      <c r="I29" s="37"/>
      <c r="J29" s="37"/>
      <c r="K29" s="39"/>
      <c r="L29" s="40"/>
      <c r="M29" s="40"/>
      <c r="N29" s="40">
        <f>SUM(N25:N28)</f>
        <v>825</v>
      </c>
      <c r="O29" s="40">
        <f>SUM(O25:O28)</f>
        <v>825</v>
      </c>
    </row>
    <row r="30" spans="1:30" x14ac:dyDescent="0.2">
      <c r="A30" s="89"/>
      <c r="B30" s="89"/>
      <c r="C30" s="90"/>
      <c r="D30" s="90"/>
      <c r="E30" s="90"/>
      <c r="F30" s="90"/>
      <c r="G30" s="91"/>
      <c r="H30" s="91"/>
      <c r="I30" s="91"/>
      <c r="J30" s="91"/>
      <c r="K30" s="89"/>
      <c r="L30" s="89"/>
      <c r="M30" s="89"/>
      <c r="N30" s="89"/>
      <c r="O30" s="89"/>
      <c r="P30" s="89"/>
    </row>
    <row r="31" spans="1:30" x14ac:dyDescent="0.2">
      <c r="A31" s="41" t="s">
        <v>70</v>
      </c>
      <c r="D31" s="1"/>
      <c r="E31" s="1"/>
      <c r="K31" s="36"/>
      <c r="L31" s="36"/>
      <c r="M31" s="36"/>
      <c r="N31" s="36"/>
      <c r="O31" s="34"/>
      <c r="P31" s="34"/>
    </row>
    <row r="32" spans="1:30" x14ac:dyDescent="0.2">
      <c r="A32" s="37"/>
      <c r="D32" s="1"/>
      <c r="E32" s="1"/>
      <c r="K32" s="36"/>
      <c r="L32" s="36"/>
      <c r="M32" s="36"/>
      <c r="N32" s="36"/>
      <c r="O32" s="34"/>
    </row>
    <row r="33" spans="1:221" x14ac:dyDescent="0.2">
      <c r="A33" s="78" t="s">
        <v>79</v>
      </c>
      <c r="D33" s="1">
        <f>IF($C$16&lt;0,0,IF($C$16&gt;833000,833000,$C$16))</f>
        <v>1000</v>
      </c>
      <c r="E33" s="35" t="s">
        <v>41</v>
      </c>
      <c r="F33" s="4" t="s">
        <v>8</v>
      </c>
      <c r="G33" s="83"/>
      <c r="H33" s="84"/>
      <c r="I33" s="103">
        <f>'Rider Rates'!$B$4</f>
        <v>5.9216E-3</v>
      </c>
      <c r="J33" s="6">
        <f>SUM(G33:I33)</f>
        <v>5.9216E-3</v>
      </c>
      <c r="K33" s="36" t="s">
        <v>42</v>
      </c>
      <c r="L33" s="87"/>
      <c r="M33" s="87"/>
      <c r="N33" s="87">
        <f>ROUND($D33*I33,2)</f>
        <v>5.92</v>
      </c>
      <c r="O33" s="87">
        <f>SUM(L33:N33)</f>
        <v>5.92</v>
      </c>
      <c r="P33" s="245">
        <f>'Rider Rates'!$D$4</f>
        <v>45293</v>
      </c>
    </row>
    <row r="34" spans="1:221" x14ac:dyDescent="0.2">
      <c r="A34" s="78" t="s">
        <v>80</v>
      </c>
      <c r="D34" s="1">
        <f>IF($C$16-833000&gt;0,$C$16-D33,0)</f>
        <v>0</v>
      </c>
      <c r="E34" s="35" t="s">
        <v>41</v>
      </c>
      <c r="F34" s="4" t="s">
        <v>8</v>
      </c>
      <c r="G34" s="83"/>
      <c r="H34" s="84"/>
      <c r="I34" s="103">
        <f>'Rider Rates'!$B$5</f>
        <v>1.7560000000000001E-4</v>
      </c>
      <c r="J34" s="118">
        <f>SUM(G34:I34)</f>
        <v>1.7560000000000001E-4</v>
      </c>
      <c r="K34" s="36" t="s">
        <v>42</v>
      </c>
      <c r="L34" s="87"/>
      <c r="M34" s="87"/>
      <c r="N34" s="87">
        <f>ROUND($D34*I34,2)</f>
        <v>0</v>
      </c>
      <c r="O34" s="87">
        <f>SUM(L34:N34)</f>
        <v>0</v>
      </c>
      <c r="P34" s="245">
        <f>'Rider Rates'!$D$4</f>
        <v>45293</v>
      </c>
    </row>
    <row r="35" spans="1:221" x14ac:dyDescent="0.2">
      <c r="A35" s="78" t="s">
        <v>47</v>
      </c>
      <c r="B35" t="s">
        <v>15</v>
      </c>
      <c r="D35" s="1">
        <f>IF('Customer Info'!$C$32=TRUE,0,IF(C16&lt;0,0,IF(C16&gt;2000,2000,C16)))</f>
        <v>1000</v>
      </c>
      <c r="E35" s="35" t="s">
        <v>41</v>
      </c>
      <c r="F35" s="4" t="s">
        <v>8</v>
      </c>
      <c r="G35" s="83"/>
      <c r="H35" s="84"/>
      <c r="I35" s="177">
        <f>'Rider Rates'!$B$8</f>
        <v>4.6499999999999996E-3</v>
      </c>
      <c r="J35" s="117">
        <f>SUM(G35:I35)</f>
        <v>4.6499999999999996E-3</v>
      </c>
      <c r="K35" s="36" t="s">
        <v>42</v>
      </c>
      <c r="L35" s="87"/>
      <c r="M35" s="87"/>
      <c r="N35" s="87">
        <f>ROUND($D35*I35,2)</f>
        <v>4.6500000000000004</v>
      </c>
      <c r="O35" s="87">
        <f>SUM(L35:N35)</f>
        <v>4.6500000000000004</v>
      </c>
      <c r="P35" s="245">
        <f>'Rider Rates'!$D$7</f>
        <v>44531</v>
      </c>
    </row>
    <row r="36" spans="1:221" x14ac:dyDescent="0.2">
      <c r="A36" s="78" t="s">
        <v>48</v>
      </c>
      <c r="B36" t="s">
        <v>15</v>
      </c>
      <c r="D36" s="1">
        <f>IF('Customer Info'!$C$32=TRUE,0,IF(C16&gt;15000,13000,IF(C16&gt;2000,C16-2000,0)))</f>
        <v>0</v>
      </c>
      <c r="E36" s="35" t="s">
        <v>41</v>
      </c>
      <c r="F36" s="4" t="s">
        <v>8</v>
      </c>
      <c r="G36" s="83"/>
      <c r="H36" s="84"/>
      <c r="I36" s="177">
        <f>'Rider Rates'!$B$9</f>
        <v>4.1900000000000001E-3</v>
      </c>
      <c r="J36" s="117">
        <f>SUM(G36:I36)</f>
        <v>4.1900000000000001E-3</v>
      </c>
      <c r="K36" s="36" t="s">
        <v>42</v>
      </c>
      <c r="L36" s="87"/>
      <c r="M36" s="87"/>
      <c r="N36" s="87">
        <f>ROUND($D36*I36,2)</f>
        <v>0</v>
      </c>
      <c r="O36" s="87">
        <f>SUM(L36:N36)</f>
        <v>0</v>
      </c>
      <c r="P36" s="245">
        <f>'Rider Rates'!$D$7</f>
        <v>44531</v>
      </c>
    </row>
    <row r="37" spans="1:221" x14ac:dyDescent="0.2">
      <c r="A37" s="78" t="s">
        <v>49</v>
      </c>
      <c r="B37" t="s">
        <v>15</v>
      </c>
      <c r="D37" s="1">
        <f>IF('Customer Info'!$C$32=TRUE,0,IF(C16-D35-D36&gt;0,C16-D35-D36,0))</f>
        <v>0</v>
      </c>
      <c r="E37" s="35" t="s">
        <v>41</v>
      </c>
      <c r="F37" s="4" t="s">
        <v>8</v>
      </c>
      <c r="G37" s="83"/>
      <c r="H37" s="84"/>
      <c r="I37" s="177">
        <f>'Rider Rates'!$B$10</f>
        <v>3.63E-3</v>
      </c>
      <c r="J37" s="117">
        <f>SUM(G37:I37)</f>
        <v>3.63E-3</v>
      </c>
      <c r="K37" s="36" t="s">
        <v>42</v>
      </c>
      <c r="L37" s="87"/>
      <c r="M37" s="87"/>
      <c r="N37" s="87">
        <f>ROUND($D37*I37,2)</f>
        <v>0</v>
      </c>
      <c r="O37" s="87">
        <f>SUM(L37:N37)</f>
        <v>0</v>
      </c>
      <c r="P37" s="245">
        <f>'Rider Rates'!$D$7</f>
        <v>44531</v>
      </c>
    </row>
    <row r="38" spans="1:221" x14ac:dyDescent="0.2">
      <c r="A38" s="241" t="s">
        <v>239</v>
      </c>
      <c r="B38" s="78"/>
      <c r="C38" s="78"/>
      <c r="D38" s="208">
        <f>$N$29</f>
        <v>825</v>
      </c>
      <c r="E38" s="101" t="s">
        <v>122</v>
      </c>
      <c r="F38" s="102" t="s">
        <v>8</v>
      </c>
      <c r="G38" s="103"/>
      <c r="H38" s="103"/>
      <c r="I38" s="178">
        <f>'Rider Rates'!$B$18+'Rider Rates'!$E$18</f>
        <v>0</v>
      </c>
      <c r="J38" s="120">
        <f>SUM(H38:I38)</f>
        <v>0</v>
      </c>
      <c r="K38" s="104"/>
      <c r="L38" s="105"/>
      <c r="M38" s="105"/>
      <c r="N38" s="105">
        <f>ROUND($D$38*'Rider Rates'!$B$18,2)+ROUND($D$38*'Rider Rates'!$E$18,2)</f>
        <v>0</v>
      </c>
      <c r="O38" s="105">
        <f t="shared" ref="O38:O41" si="0">SUM(L38:N38)</f>
        <v>0</v>
      </c>
      <c r="P38" s="245">
        <f>MAX('Rider Rates'!$D$18,'Rider Rates'!$F$18)</f>
        <v>44531</v>
      </c>
    </row>
    <row r="39" spans="1:221" x14ac:dyDescent="0.2">
      <c r="A39" s="241" t="s">
        <v>212</v>
      </c>
      <c r="B39" s="78"/>
      <c r="C39" s="78"/>
      <c r="D39" s="1">
        <f>IF($C$16&lt;0,0,IF($C$16&gt;833000,833000,$C$16))</f>
        <v>1000</v>
      </c>
      <c r="E39" s="101" t="s">
        <v>41</v>
      </c>
      <c r="F39" s="102" t="s">
        <v>8</v>
      </c>
      <c r="G39" s="103"/>
      <c r="H39" s="103"/>
      <c r="I39" s="103">
        <f>'Rider Rates'!D46</f>
        <v>1.7826999999999999E-3</v>
      </c>
      <c r="J39" s="103">
        <f>SUM(G39:I39)</f>
        <v>1.7826999999999999E-3</v>
      </c>
      <c r="K39" s="104" t="s">
        <v>42</v>
      </c>
      <c r="L39" s="105"/>
      <c r="M39" s="105"/>
      <c r="N39" s="87">
        <f>D39*J39</f>
        <v>1.7827</v>
      </c>
      <c r="O39" s="105">
        <f t="shared" si="0"/>
        <v>1.7827</v>
      </c>
      <c r="P39" s="245">
        <f>'Rider Rates'!E46</f>
        <v>45292</v>
      </c>
    </row>
    <row r="40" spans="1:221" x14ac:dyDescent="0.2">
      <c r="A40" s="210" t="s">
        <v>190</v>
      </c>
      <c r="B40" s="78"/>
      <c r="C40" s="78"/>
      <c r="D40" s="1">
        <f>IF($C$16&lt;0,0,$C$16)</f>
        <v>1000</v>
      </c>
      <c r="E40" s="113" t="s">
        <v>41</v>
      </c>
      <c r="F40" s="102" t="s">
        <v>8</v>
      </c>
      <c r="G40" s="103"/>
      <c r="H40" s="103">
        <f>'Rider Rates'!$B$56</f>
        <v>5.7019999999999998E-4</v>
      </c>
      <c r="I40" s="103"/>
      <c r="J40" s="103">
        <f>SUM(G40:I40)</f>
        <v>5.7019999999999998E-4</v>
      </c>
      <c r="K40" s="104" t="s">
        <v>42</v>
      </c>
      <c r="L40" s="105"/>
      <c r="M40" s="105">
        <f>ROUND(D40*H40,2)</f>
        <v>0.56999999999999995</v>
      </c>
      <c r="N40" s="205"/>
      <c r="O40" s="105">
        <f t="shared" si="0"/>
        <v>0.56999999999999995</v>
      </c>
      <c r="P40" s="245">
        <f>'Rider Rates'!$D$56</f>
        <v>45383</v>
      </c>
    </row>
    <row r="41" spans="1:221" x14ac:dyDescent="0.2">
      <c r="A41" s="210" t="s">
        <v>190</v>
      </c>
      <c r="B41" s="78"/>
      <c r="C41" s="78"/>
      <c r="D41" s="49">
        <f>D27</f>
        <v>0</v>
      </c>
      <c r="E41" s="35" t="s">
        <v>64</v>
      </c>
      <c r="F41" s="4" t="s">
        <v>8</v>
      </c>
      <c r="G41" s="103"/>
      <c r="H41" s="239">
        <f>'Rider Rates'!$B$61</f>
        <v>7.45</v>
      </c>
      <c r="I41" s="103"/>
      <c r="J41" s="239">
        <f>SUM(G41:I41)</f>
        <v>7.45</v>
      </c>
      <c r="K41" s="104" t="s">
        <v>44</v>
      </c>
      <c r="L41" s="105"/>
      <c r="M41" s="105">
        <f>ROUND(D41*H41,2)</f>
        <v>0</v>
      </c>
      <c r="N41" s="205"/>
      <c r="O41" s="105">
        <f t="shared" si="0"/>
        <v>0</v>
      </c>
      <c r="P41" s="245">
        <f>'Rider Rates'!$D$61</f>
        <v>45383</v>
      </c>
    </row>
    <row r="42" spans="1:221" x14ac:dyDescent="0.2">
      <c r="A42" s="99" t="s">
        <v>83</v>
      </c>
      <c r="B42" s="78"/>
      <c r="C42" s="78"/>
      <c r="D42" s="1">
        <f>IF('Customer Info'!C34=TRUE,0,IF($C$16&lt;0,0,$C$16))</f>
        <v>1000</v>
      </c>
      <c r="E42" s="101" t="s">
        <v>41</v>
      </c>
      <c r="F42" s="102" t="s">
        <v>8</v>
      </c>
      <c r="G42" s="103"/>
      <c r="H42" s="103"/>
      <c r="I42" s="103">
        <f>'Rider Rates'!$B$66+'Rider Rates'!$C$66</f>
        <v>0</v>
      </c>
      <c r="J42" s="103">
        <f>SUM(G42:I42)</f>
        <v>0</v>
      </c>
      <c r="K42" s="104" t="s">
        <v>42</v>
      </c>
      <c r="L42" s="105"/>
      <c r="M42" s="105"/>
      <c r="N42" s="87">
        <f>ROUND($D$42*'Rider Rates'!$B$66,2)+ROUND($D$42*'Rider Rates'!$C$66,2)</f>
        <v>0</v>
      </c>
      <c r="O42" s="209">
        <f t="shared" ref="O42:O47" si="1">SUM(L42:N42)</f>
        <v>0</v>
      </c>
      <c r="P42" s="245">
        <f>'Rider Rates'!$D$66</f>
        <v>44531</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x14ac:dyDescent="0.2">
      <c r="A43" s="99" t="s">
        <v>83</v>
      </c>
      <c r="B43" s="78"/>
      <c r="C43" s="78"/>
      <c r="D43" s="49">
        <f>IF('Customer Info'!C34=TRUE,0,$D$27)</f>
        <v>0</v>
      </c>
      <c r="E43" s="101" t="s">
        <v>45</v>
      </c>
      <c r="F43" s="102" t="s">
        <v>8</v>
      </c>
      <c r="G43" s="103"/>
      <c r="H43" s="103"/>
      <c r="I43" s="239">
        <f>'Rider Rates'!$B$76</f>
        <v>0</v>
      </c>
      <c r="J43" s="239">
        <f>SUM(G43:I43)</f>
        <v>0</v>
      </c>
      <c r="K43" s="104" t="s">
        <v>42</v>
      </c>
      <c r="L43" s="105"/>
      <c r="M43" s="105"/>
      <c r="N43" s="87">
        <f>ROUND($D43*I43,2)</f>
        <v>0</v>
      </c>
      <c r="O43" s="209">
        <f>SUM(L43:N43)</f>
        <v>0</v>
      </c>
      <c r="P43" s="245">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x14ac:dyDescent="0.2">
      <c r="A44" s="99" t="s">
        <v>81</v>
      </c>
      <c r="B44" s="78"/>
      <c r="C44" s="78"/>
      <c r="D44" s="208">
        <f>$N$29</f>
        <v>825</v>
      </c>
      <c r="E44" s="101" t="s">
        <v>122</v>
      </c>
      <c r="F44" s="102" t="s">
        <v>8</v>
      </c>
      <c r="G44" s="111"/>
      <c r="H44" s="112"/>
      <c r="I44" s="120">
        <f>'Rider Rates'!$B$80</f>
        <v>2.9347000000000002E-2</v>
      </c>
      <c r="J44" s="120">
        <f>SUM(H44:I44)</f>
        <v>2.9347000000000002E-2</v>
      </c>
      <c r="K44" s="104"/>
      <c r="L44" s="105"/>
      <c r="M44" s="105"/>
      <c r="N44" s="105">
        <f>ROUND(N$29*I44,2)</f>
        <v>24.21</v>
      </c>
      <c r="O44" s="209">
        <f t="shared" si="1"/>
        <v>24.21</v>
      </c>
      <c r="P44" s="245">
        <f>'Rider Rates'!$D$80</f>
        <v>45383</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x14ac:dyDescent="0.2">
      <c r="A45" s="99" t="s">
        <v>82</v>
      </c>
      <c r="B45" s="78"/>
      <c r="C45" s="78"/>
      <c r="D45" s="208">
        <f>$N$29</f>
        <v>825</v>
      </c>
      <c r="E45" s="101" t="s">
        <v>122</v>
      </c>
      <c r="F45" s="102" t="s">
        <v>8</v>
      </c>
      <c r="G45" s="114"/>
      <c r="H45" s="115"/>
      <c r="I45" s="120">
        <f>'Rider Rates'!$B$82</f>
        <v>6.6985699999999995E-2</v>
      </c>
      <c r="J45" s="120">
        <f>SUM(H45:I45)</f>
        <v>6.6985699999999995E-2</v>
      </c>
      <c r="K45" s="104"/>
      <c r="L45" s="105"/>
      <c r="M45" s="105"/>
      <c r="N45" s="105">
        <f>ROUND(N$29*I45,2)</f>
        <v>55.26</v>
      </c>
      <c r="O45" s="209">
        <f t="shared" si="1"/>
        <v>55.26</v>
      </c>
      <c r="P45" s="245">
        <f>'Rider Rates'!$D$82</f>
        <v>45167</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x14ac:dyDescent="0.2">
      <c r="A46" s="210" t="s">
        <v>208</v>
      </c>
      <c r="B46" s="78"/>
      <c r="C46" s="78"/>
      <c r="D46" s="195"/>
      <c r="E46" s="113" t="s">
        <v>115</v>
      </c>
      <c r="F46" s="106"/>
      <c r="G46" s="114"/>
      <c r="H46" s="115"/>
      <c r="I46" s="196">
        <f>'Rider Rates'!$B$86</f>
        <v>15.91</v>
      </c>
      <c r="J46" s="196">
        <f>SUM(G46:I46)</f>
        <v>15.91</v>
      </c>
      <c r="K46" s="104"/>
      <c r="L46" s="105"/>
      <c r="M46" s="105"/>
      <c r="N46" s="105">
        <f>I46</f>
        <v>15.91</v>
      </c>
      <c r="O46" s="105">
        <f>SUM(L46:N46)</f>
        <v>15.91</v>
      </c>
      <c r="P46" s="245">
        <f>'Rider Rates'!$D$86</f>
        <v>45351</v>
      </c>
    </row>
    <row r="47" spans="1:221" x14ac:dyDescent="0.2">
      <c r="A47" s="99" t="s">
        <v>157</v>
      </c>
      <c r="B47" s="78"/>
      <c r="C47" s="78"/>
      <c r="D47" s="208">
        <f>$N$29</f>
        <v>825</v>
      </c>
      <c r="E47" s="101" t="s">
        <v>122</v>
      </c>
      <c r="F47" s="102" t="s">
        <v>8</v>
      </c>
      <c r="G47" s="114"/>
      <c r="H47" s="115"/>
      <c r="I47" s="120">
        <f>'Rider Rates'!$B$100</f>
        <v>0.21398439999999999</v>
      </c>
      <c r="J47" s="120">
        <f>SUM(H47:I47)</f>
        <v>0.21398439999999999</v>
      </c>
      <c r="K47" s="104"/>
      <c r="L47" s="105"/>
      <c r="M47" s="105"/>
      <c r="N47" s="105">
        <f>ROUND(N$29*I47,2)</f>
        <v>176.54</v>
      </c>
      <c r="O47" s="105">
        <f t="shared" si="1"/>
        <v>176.54</v>
      </c>
      <c r="P47" s="245">
        <f>'Rider Rates'!$D$100</f>
        <v>45351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211</v>
      </c>
      <c r="B48" s="78"/>
      <c r="C48" s="78"/>
      <c r="D48" s="195"/>
      <c r="E48" s="113" t="s">
        <v>115</v>
      </c>
      <c r="F48" s="106"/>
      <c r="G48" s="114"/>
      <c r="H48" s="115"/>
      <c r="I48" s="196">
        <f>'Rider Rates'!$B$104</f>
        <v>0</v>
      </c>
      <c r="J48" s="196">
        <f t="shared" ref="J48:J54" si="2">SUM(G48:I48)</f>
        <v>0</v>
      </c>
      <c r="K48" s="104"/>
      <c r="L48" s="105"/>
      <c r="M48" s="105"/>
      <c r="N48" s="105">
        <f>I48</f>
        <v>0</v>
      </c>
      <c r="O48" s="105">
        <f t="shared" ref="O48:O52" si="3">SUM(L48:N48)</f>
        <v>0</v>
      </c>
      <c r="P48" s="245">
        <f>'Rider Rates'!$D$104</f>
        <v>44894</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10" t="s">
        <v>219</v>
      </c>
      <c r="B49" s="78"/>
      <c r="C49" s="78"/>
      <c r="D49" s="195"/>
      <c r="E49" s="113" t="s">
        <v>115</v>
      </c>
      <c r="F49" s="106"/>
      <c r="G49" s="114"/>
      <c r="H49" s="115"/>
      <c r="I49" s="258">
        <f>'Rider Rates'!B117</f>
        <v>5.83</v>
      </c>
      <c r="J49" s="196">
        <f t="shared" si="2"/>
        <v>5.83</v>
      </c>
      <c r="K49" s="104"/>
      <c r="L49" s="105"/>
      <c r="M49" s="105"/>
      <c r="N49" s="260">
        <f>I49</f>
        <v>5.83</v>
      </c>
      <c r="O49" s="105">
        <f t="shared" si="3"/>
        <v>5.83</v>
      </c>
      <c r="P49" s="245">
        <f>'Rider Rates'!D117</f>
        <v>45226</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210</v>
      </c>
      <c r="B50" s="78"/>
      <c r="C50" s="78"/>
      <c r="D50" s="1">
        <f>IF($C$16&lt;1,0,$C$16)</f>
        <v>1000</v>
      </c>
      <c r="E50" s="101" t="s">
        <v>41</v>
      </c>
      <c r="F50" s="249" t="s">
        <v>8</v>
      </c>
      <c r="G50" s="165"/>
      <c r="H50" s="165"/>
      <c r="I50" s="251">
        <f>'Rider Rates'!B113</f>
        <v>-6.2E-4</v>
      </c>
      <c r="J50" s="251">
        <f t="shared" si="2"/>
        <v>-6.2E-4</v>
      </c>
      <c r="K50" s="104" t="s">
        <v>42</v>
      </c>
      <c r="L50" s="105"/>
      <c r="M50" s="105"/>
      <c r="N50" s="105">
        <f>D50*I50</f>
        <v>-0.62</v>
      </c>
      <c r="O50" s="105">
        <f t="shared" si="3"/>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78" t="s">
        <v>235</v>
      </c>
      <c r="B51" s="78"/>
      <c r="C51" s="78"/>
      <c r="D51" s="100">
        <f>IF(C16&lt;0,0,IF(C16&gt;833000,833000,C16))</f>
        <v>1000</v>
      </c>
      <c r="E51" s="101" t="s">
        <v>41</v>
      </c>
      <c r="F51" s="102" t="s">
        <v>8</v>
      </c>
      <c r="G51" s="265"/>
      <c r="H51" s="265"/>
      <c r="I51" s="265">
        <f>'Rider Rates'!$B$121</f>
        <v>2.9050000000000001E-4</v>
      </c>
      <c r="J51" s="265">
        <f t="shared" si="2"/>
        <v>2.9050000000000001E-4</v>
      </c>
      <c r="K51" s="104" t="s">
        <v>42</v>
      </c>
      <c r="L51" s="266"/>
      <c r="M51" s="266"/>
      <c r="N51" s="266">
        <f>IF(D51*J51&gt;'Rider Rates'!$C$121,'Rider Rates'!$C$121,D51*J51)</f>
        <v>0.29050000000000004</v>
      </c>
      <c r="O51" s="266">
        <f t="shared" si="3"/>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78" t="s">
        <v>236</v>
      </c>
      <c r="B52" s="78"/>
      <c r="C52" s="78"/>
      <c r="D52" s="123">
        <f>IF(C16&gt;833000,C16-833000,0)</f>
        <v>0</v>
      </c>
      <c r="E52" s="101" t="s">
        <v>41</v>
      </c>
      <c r="F52" s="102" t="s">
        <v>8</v>
      </c>
      <c r="G52" s="265"/>
      <c r="H52" s="265"/>
      <c r="I52" s="265">
        <f>'Rider Rates'!$B$122</f>
        <v>0</v>
      </c>
      <c r="J52" s="265">
        <f t="shared" si="2"/>
        <v>0</v>
      </c>
      <c r="K52" s="104" t="s">
        <v>42</v>
      </c>
      <c r="L52" s="266"/>
      <c r="M52" s="266"/>
      <c r="N52" s="266">
        <f>D52*J52</f>
        <v>0</v>
      </c>
      <c r="O52" s="266">
        <f t="shared" si="3"/>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41" t="s">
        <v>244</v>
      </c>
      <c r="B53" s="78"/>
      <c r="C53" s="78"/>
      <c r="D53" s="100">
        <f>D16</f>
        <v>1000</v>
      </c>
      <c r="E53" s="101" t="s">
        <v>41</v>
      </c>
      <c r="F53" s="249" t="s">
        <v>8</v>
      </c>
      <c r="G53" s="103"/>
      <c r="H53" s="103"/>
      <c r="I53" s="103">
        <f>'Rider Rates'!$B$128</f>
        <v>0</v>
      </c>
      <c r="J53" s="237">
        <f t="shared" si="2"/>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243</v>
      </c>
      <c r="B54" s="78"/>
      <c r="C54" s="78"/>
      <c r="D54" s="100"/>
      <c r="E54" s="101" t="s">
        <v>115</v>
      </c>
      <c r="F54" s="102" t="s">
        <v>8</v>
      </c>
      <c r="G54" s="263"/>
      <c r="H54" s="263"/>
      <c r="I54" s="263">
        <f>'Rider Rates'!$B$133</f>
        <v>0</v>
      </c>
      <c r="J54" s="263">
        <f t="shared" si="2"/>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179" t="s">
        <v>71</v>
      </c>
      <c r="B56" s="148"/>
      <c r="C56" s="148"/>
      <c r="D56" s="180"/>
      <c r="E56" s="181"/>
      <c r="F56" s="182"/>
      <c r="G56" s="182"/>
      <c r="H56" s="182"/>
      <c r="I56" s="182"/>
      <c r="J56" s="182"/>
      <c r="K56" s="183"/>
      <c r="L56" s="169">
        <f>SUM(L33:L55)</f>
        <v>0</v>
      </c>
      <c r="M56" s="169">
        <f t="shared" ref="M56:O56" si="4">SUM(M33:M55)</f>
        <v>0.56999999999999995</v>
      </c>
      <c r="N56" s="169">
        <f t="shared" si="4"/>
        <v>289.77319999999997</v>
      </c>
      <c r="O56" s="169">
        <f t="shared" si="4"/>
        <v>290.34319999999997</v>
      </c>
      <c r="P56" s="184"/>
    </row>
    <row r="57" spans="1:221" x14ac:dyDescent="0.2">
      <c r="A57" s="37"/>
      <c r="D57" s="1"/>
      <c r="E57" s="35"/>
      <c r="F57" s="4"/>
      <c r="G57" s="42"/>
      <c r="H57" s="42"/>
      <c r="I57" s="42"/>
      <c r="J57" s="42"/>
      <c r="K57" s="36"/>
      <c r="L57" s="36"/>
      <c r="M57" s="36"/>
      <c r="N57" s="36"/>
      <c r="O57" s="34"/>
      <c r="P57" s="36"/>
    </row>
    <row r="58" spans="1:221" x14ac:dyDescent="0.2">
      <c r="A58" s="81" t="s">
        <v>72</v>
      </c>
      <c r="B58" s="92"/>
      <c r="C58" s="92"/>
      <c r="D58" s="92"/>
      <c r="E58" s="92"/>
      <c r="F58" s="92"/>
      <c r="G58" s="92"/>
      <c r="H58" s="92"/>
      <c r="I58" s="92"/>
      <c r="J58" s="92"/>
      <c r="K58" s="92"/>
      <c r="L58" s="98">
        <f>L29+L56</f>
        <v>0</v>
      </c>
      <c r="M58" s="98">
        <f>M29+M56</f>
        <v>0.56999999999999995</v>
      </c>
      <c r="N58" s="98">
        <f>N29+N56</f>
        <v>1114.7732000000001</v>
      </c>
      <c r="O58" s="98">
        <f>O29+O56</f>
        <v>1115.3432</v>
      </c>
      <c r="P58" s="98"/>
    </row>
    <row r="59" spans="1:221" x14ac:dyDescent="0.2">
      <c r="A59" s="37"/>
      <c r="B59" s="37"/>
      <c r="C59" s="37"/>
      <c r="D59" s="37"/>
      <c r="E59" s="37"/>
      <c r="F59" s="37"/>
      <c r="G59" s="37"/>
      <c r="H59" s="37"/>
      <c r="I59" s="37"/>
      <c r="J59" s="37"/>
      <c r="K59" s="37"/>
      <c r="L59" s="37"/>
      <c r="M59" s="37"/>
      <c r="N59" s="37"/>
      <c r="O59" s="40"/>
      <c r="P59" s="40"/>
    </row>
    <row r="60" spans="1:221" x14ac:dyDescent="0.2">
      <c r="A60" s="37" t="s">
        <v>37</v>
      </c>
      <c r="B60" s="37"/>
      <c r="C60" s="37"/>
      <c r="D60" s="37"/>
      <c r="E60" s="37"/>
      <c r="F60" s="37"/>
      <c r="G60" s="37"/>
      <c r="H60" s="37"/>
      <c r="I60" s="37"/>
      <c r="J60" s="37"/>
      <c r="K60" s="37"/>
      <c r="L60" s="37"/>
      <c r="M60" s="37"/>
      <c r="N60" s="37"/>
      <c r="O60" s="45">
        <f>O25+O27+O56</f>
        <v>1115.3432</v>
      </c>
      <c r="P60" s="245">
        <v>40967</v>
      </c>
    </row>
    <row r="61" spans="1:221" x14ac:dyDescent="0.2">
      <c r="A61" s="37"/>
      <c r="B61" s="37"/>
      <c r="C61" s="37"/>
      <c r="D61" s="37"/>
      <c r="E61" s="37"/>
      <c r="F61" s="37"/>
      <c r="G61" s="46"/>
      <c r="H61" s="46"/>
      <c r="I61" s="46"/>
      <c r="J61" s="46"/>
      <c r="K61" s="36"/>
      <c r="L61" s="36"/>
      <c r="M61" s="36"/>
      <c r="N61" s="36"/>
      <c r="O61" s="40"/>
    </row>
    <row r="62" spans="1:221" x14ac:dyDescent="0.2">
      <c r="A62" s="41" t="s">
        <v>117</v>
      </c>
      <c r="B62" s="37"/>
      <c r="C62" s="37"/>
      <c r="D62" s="37"/>
      <c r="E62" s="37"/>
      <c r="F62" s="37"/>
      <c r="G62" s="46"/>
      <c r="H62" s="46"/>
      <c r="I62" s="46"/>
      <c r="J62" s="46"/>
      <c r="K62" s="36"/>
      <c r="L62" s="36"/>
      <c r="M62" s="36"/>
      <c r="N62" s="36"/>
      <c r="O62" s="138">
        <f>MAX($O$58,$O$60)</f>
        <v>1115.3432</v>
      </c>
    </row>
    <row r="63" spans="1:221" x14ac:dyDescent="0.2">
      <c r="A63" s="37"/>
      <c r="B63" s="37"/>
      <c r="C63" s="37"/>
      <c r="D63" s="37"/>
      <c r="E63" s="37"/>
      <c r="F63" s="37"/>
      <c r="G63" s="46"/>
      <c r="H63" s="46"/>
      <c r="I63" s="46"/>
      <c r="J63" s="46"/>
      <c r="K63" s="36"/>
      <c r="L63" s="36"/>
      <c r="M63" s="36"/>
      <c r="N63" s="36"/>
      <c r="O63" s="40"/>
    </row>
    <row r="64" spans="1:221" x14ac:dyDescent="0.2">
      <c r="A64" s="37"/>
      <c r="B64" s="37"/>
      <c r="C64" s="37"/>
      <c r="D64" s="37"/>
      <c r="E64" s="37"/>
      <c r="F64" s="37"/>
      <c r="G64" s="96" t="s">
        <v>86</v>
      </c>
      <c r="H64" s="46"/>
      <c r="I64" s="37"/>
      <c r="J64" s="46"/>
      <c r="K64" s="36"/>
      <c r="L64" s="191"/>
      <c r="M64" s="191"/>
      <c r="N64" s="191"/>
      <c r="O64" s="191">
        <f>ROUND(IF($C$16&lt;1,0,$O$62/($C$16*100)*10000),2)</f>
        <v>111.53</v>
      </c>
      <c r="P64" s="37" t="s">
        <v>87</v>
      </c>
    </row>
    <row r="65" spans="1:16" x14ac:dyDescent="0.2">
      <c r="A65" s="37"/>
      <c r="B65" s="37"/>
      <c r="C65" s="37"/>
      <c r="D65" s="37"/>
      <c r="E65" s="37"/>
      <c r="F65" s="37"/>
      <c r="G65" s="242" t="s">
        <v>191</v>
      </c>
      <c r="H65" s="136"/>
      <c r="I65" s="133"/>
      <c r="J65" s="136"/>
      <c r="K65" s="137"/>
      <c r="L65" s="78"/>
      <c r="M65" s="78"/>
      <c r="N65" s="78"/>
      <c r="O65" s="243">
        <f>ROUND(IF($C$16&lt;1,0,(L58)/($C$16*100)*10000),2)</f>
        <v>0</v>
      </c>
      <c r="P65" s="25" t="s">
        <v>87</v>
      </c>
    </row>
    <row r="66" spans="1:16" x14ac:dyDescent="0.2">
      <c r="A66" s="37"/>
      <c r="B66" s="37"/>
      <c r="C66" s="37"/>
      <c r="D66" s="37"/>
      <c r="E66" s="37"/>
      <c r="F66" s="37"/>
      <c r="G66" s="96"/>
      <c r="H66" s="46"/>
      <c r="I66" s="96"/>
      <c r="J66" s="46"/>
      <c r="K66" s="36"/>
      <c r="L66" s="36"/>
      <c r="M66" s="36"/>
      <c r="N66" s="36"/>
      <c r="O66" s="130"/>
      <c r="P66" s="37"/>
    </row>
    <row r="67" spans="1:16" ht="20.25" customHeight="1" x14ac:dyDescent="0.3">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x14ac:dyDescent="0.2">
      <c r="A68" s="37"/>
      <c r="B68" s="37"/>
      <c r="C68" s="37"/>
      <c r="D68" s="54"/>
      <c r="E68" s="3"/>
      <c r="F68" s="4"/>
      <c r="G68" s="55"/>
      <c r="H68" s="55"/>
      <c r="I68" s="93"/>
      <c r="J68" s="55"/>
      <c r="K68" s="37"/>
      <c r="L68" s="37"/>
      <c r="M68" s="37"/>
      <c r="N68" s="37"/>
      <c r="O68" s="40"/>
    </row>
    <row r="69" spans="1:16" x14ac:dyDescent="0.2">
      <c r="A69" s="37"/>
      <c r="B69" s="37"/>
      <c r="C69" s="37"/>
      <c r="D69" s="54"/>
      <c r="E69" s="3"/>
      <c r="F69" s="4"/>
      <c r="G69" s="55"/>
      <c r="H69" s="55"/>
      <c r="I69" s="55"/>
      <c r="J69" s="55"/>
      <c r="K69" s="37"/>
      <c r="L69" s="37"/>
      <c r="M69" s="37"/>
      <c r="N69" s="37"/>
      <c r="O69" s="40"/>
    </row>
    <row r="70" spans="1:16" x14ac:dyDescent="0.2">
      <c r="A70" s="41"/>
      <c r="B70" s="37"/>
      <c r="C70" s="37"/>
      <c r="D70" s="37"/>
      <c r="E70" s="37"/>
      <c r="F70" s="37"/>
      <c r="G70" s="37"/>
      <c r="H70" s="37"/>
      <c r="J70" s="37"/>
      <c r="K70" s="37"/>
      <c r="L70" s="40"/>
      <c r="M70" s="40"/>
      <c r="N70" s="40"/>
      <c r="O70" s="138"/>
    </row>
    <row r="71" spans="1:16" x14ac:dyDescent="0.2">
      <c r="B71" s="37"/>
      <c r="C71" s="37"/>
      <c r="D71" s="37"/>
      <c r="E71" s="37"/>
      <c r="F71" s="37"/>
      <c r="G71" s="96"/>
      <c r="H71" s="37"/>
      <c r="I71" s="37"/>
      <c r="J71" s="37"/>
      <c r="K71" s="37"/>
      <c r="L71" s="60"/>
      <c r="M71" s="60"/>
      <c r="N71" s="60"/>
      <c r="O71" s="130"/>
      <c r="P71" s="37"/>
    </row>
    <row r="72" spans="1:16" x14ac:dyDescent="0.2">
      <c r="G72" s="133"/>
      <c r="H72" s="56"/>
      <c r="I72" s="133"/>
      <c r="J72" s="56"/>
      <c r="K72" s="56"/>
      <c r="L72" s="134"/>
      <c r="M72" s="134"/>
      <c r="N72" s="134"/>
      <c r="O72" s="135"/>
      <c r="P72" s="25"/>
    </row>
    <row r="74" spans="1:16" x14ac:dyDescent="0.2">
      <c r="A74" s="350"/>
    </row>
    <row r="75" spans="1:16" x14ac:dyDescent="0.2">
      <c r="A75" s="350"/>
    </row>
    <row r="76" spans="1:16" x14ac:dyDescent="0.2">
      <c r="A76" s="350"/>
    </row>
    <row r="77" spans="1:16" x14ac:dyDescent="0.2">
      <c r="A77" s="350"/>
    </row>
    <row r="78" spans="1:16" x14ac:dyDescent="0.2">
      <c r="A78" s="350"/>
    </row>
    <row r="79" spans="1:16" x14ac:dyDescent="0.2">
      <c r="A79" s="350"/>
    </row>
    <row r="80" spans="1:1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sheetData>
  <sheetProtection algorithmName="SHA-512" hashValue="SHUJwz4E5canBBjHbEmiDWFkY5gaibJN8s7A3+y7vXReoYfPgxuBphxNnIOG9xvO70TBFgBwpjXDJe+UJVdbZw==" saltValue="qCED83BzsdQMHPidpl8Ujw=="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74:A88"/>
    <mergeCell ref="A4:P4"/>
    <mergeCell ref="A7:P7"/>
    <mergeCell ref="A11:I11"/>
    <mergeCell ref="D20:H20"/>
    <mergeCell ref="D21:H21"/>
    <mergeCell ref="G23:J23"/>
    <mergeCell ref="L23:O23"/>
  </mergeCells>
  <printOptions horizontalCentered="1"/>
  <pageMargins left="0.5" right="0.5" top="0.25" bottom="0.25" header="0.25" footer="0.26"/>
  <pageSetup scale="59"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Info">
                <anchor moveWithCells="1">
                  <from>
                    <xdr:col>0</xdr:col>
                    <xdr:colOff>38100</xdr:colOff>
                    <xdr:row>0</xdr:row>
                    <xdr:rowOff>47625</xdr:rowOff>
                  </from>
                  <to>
                    <xdr:col>0</xdr:col>
                    <xdr:colOff>552450</xdr:colOff>
                    <xdr:row>1</xdr:row>
                    <xdr:rowOff>38100</xdr:rowOff>
                  </to>
                </anchor>
              </controlPr>
            </control>
          </mc:Choice>
        </mc:AlternateContent>
        <mc:AlternateContent xmlns:mc="http://schemas.openxmlformats.org/markup-compatibility/2006">
          <mc:Choice Requires="x14">
            <control shapeId="83970" r:id="rId5" name="Button 2">
              <controlPr defaultSize="0" print="0" autoFill="0" autoPict="0" macro="[0]!Info">
                <anchor moveWithCells="1">
                  <from>
                    <xdr:col>15</xdr:col>
                    <xdr:colOff>409575</xdr:colOff>
                    <xdr:row>82</xdr:row>
                    <xdr:rowOff>76200</xdr:rowOff>
                  </from>
                  <to>
                    <xdr:col>16</xdr:col>
                    <xdr:colOff>38100</xdr:colOff>
                    <xdr:row>83</xdr:row>
                    <xdr:rowOff>133350</xdr:rowOff>
                  </to>
                </anchor>
              </controlPr>
            </control>
          </mc:Choice>
        </mc:AlternateContent>
        <mc:AlternateContent xmlns:mc="http://schemas.openxmlformats.org/markup-compatibility/2006">
          <mc:Choice Requires="x14">
            <control shapeId="83971" r:id="rId6"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83972" r:id="rId7"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83973" r:id="rId8" name="Button 5">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83974" r:id="rId9" name="Button 6">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83975" r:id="rId10" name="Button 7">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83976" r:id="rId11" name="Button 8">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83977" r:id="rId12" name="Button 9">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83978" r:id="rId13" name="Button 10">
              <controlPr defaultSize="0" print="0" autoFill="0" autoPict="0" macro="[0]!Info">
                <anchor moveWithCells="1">
                  <from>
                    <xdr:col>47</xdr:col>
                    <xdr:colOff>523875</xdr:colOff>
                    <xdr:row>0</xdr:row>
                    <xdr:rowOff>76200</xdr:rowOff>
                  </from>
                  <to>
                    <xdr:col>48</xdr:col>
                    <xdr:colOff>428625</xdr:colOff>
                    <xdr:row>1</xdr:row>
                    <xdr:rowOff>66675</xdr:rowOff>
                  </to>
                </anchor>
              </controlPr>
            </control>
          </mc:Choice>
        </mc:AlternateContent>
        <mc:AlternateContent xmlns:mc="http://schemas.openxmlformats.org/markup-compatibility/2006">
          <mc:Choice Requires="x14">
            <control shapeId="83979" r:id="rId14" name="Button 11">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83980" r:id="rId15" name="Button 12">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83981" r:id="rId16" name="Button 13">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83982" r:id="rId17" name="Button 14">
              <controlPr defaultSize="0" print="0" autoFill="0" autoPict="0" macro="[0]!Info">
                <anchor moveWithCells="1">
                  <from>
                    <xdr:col>63</xdr:col>
                    <xdr:colOff>371475</xdr:colOff>
                    <xdr:row>0</xdr:row>
                    <xdr:rowOff>76200</xdr:rowOff>
                  </from>
                  <to>
                    <xdr:col>64</xdr:col>
                    <xdr:colOff>276225</xdr:colOff>
                    <xdr:row>1</xdr:row>
                    <xdr:rowOff>66675</xdr:rowOff>
                  </to>
                </anchor>
              </controlPr>
            </control>
          </mc:Choice>
        </mc:AlternateContent>
        <mc:AlternateContent xmlns:mc="http://schemas.openxmlformats.org/markup-compatibility/2006">
          <mc:Choice Requires="x14">
            <control shapeId="83983" r:id="rId18" name="Button 15">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83984" r:id="rId19" name="Button 16">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83985" r:id="rId20" name="Button 17">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83986" r:id="rId21" name="Button 18">
              <controlPr defaultSize="0" print="0" autoFill="0" autoPict="0" macro="[0]!Info">
                <anchor moveWithCells="1">
                  <from>
                    <xdr:col>79</xdr:col>
                    <xdr:colOff>219075</xdr:colOff>
                    <xdr:row>0</xdr:row>
                    <xdr:rowOff>76200</xdr:rowOff>
                  </from>
                  <to>
                    <xdr:col>80</xdr:col>
                    <xdr:colOff>123825</xdr:colOff>
                    <xdr:row>1</xdr:row>
                    <xdr:rowOff>66675</xdr:rowOff>
                  </to>
                </anchor>
              </controlPr>
            </control>
          </mc:Choice>
        </mc:AlternateContent>
        <mc:AlternateContent xmlns:mc="http://schemas.openxmlformats.org/markup-compatibility/2006">
          <mc:Choice Requires="x14">
            <control shapeId="83987" r:id="rId22" name="Button 19">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83988" r:id="rId23" name="Button 20">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83989" r:id="rId24" name="Button 21">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83990" r:id="rId25" name="Button 22">
              <controlPr defaultSize="0" print="0" autoFill="0" autoPict="0" macro="[0]!Info">
                <anchor moveWithCells="1">
                  <from>
                    <xdr:col>95</xdr:col>
                    <xdr:colOff>66675</xdr:colOff>
                    <xdr:row>0</xdr:row>
                    <xdr:rowOff>76200</xdr:rowOff>
                  </from>
                  <to>
                    <xdr:col>95</xdr:col>
                    <xdr:colOff>581025</xdr:colOff>
                    <xdr:row>1</xdr:row>
                    <xdr:rowOff>66675</xdr:rowOff>
                  </to>
                </anchor>
              </controlPr>
            </control>
          </mc:Choice>
        </mc:AlternateContent>
        <mc:AlternateContent xmlns:mc="http://schemas.openxmlformats.org/markup-compatibility/2006">
          <mc:Choice Requires="x14">
            <control shapeId="83991" r:id="rId26" name="Button 23">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83992" r:id="rId27" name="Button 24">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83993" r:id="rId28" name="Button 25">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83994" r:id="rId29" name="Button 26">
              <controlPr defaultSize="0" print="0" autoFill="0" autoPict="0" macro="[0]!Info">
                <anchor moveWithCells="1">
                  <from>
                    <xdr:col>110</xdr:col>
                    <xdr:colOff>523875</xdr:colOff>
                    <xdr:row>0</xdr:row>
                    <xdr:rowOff>76200</xdr:rowOff>
                  </from>
                  <to>
                    <xdr:col>111</xdr:col>
                    <xdr:colOff>428625</xdr:colOff>
                    <xdr:row>1</xdr:row>
                    <xdr:rowOff>66675</xdr:rowOff>
                  </to>
                </anchor>
              </controlPr>
            </control>
          </mc:Choice>
        </mc:AlternateContent>
        <mc:AlternateContent xmlns:mc="http://schemas.openxmlformats.org/markup-compatibility/2006">
          <mc:Choice Requires="x14">
            <control shapeId="83995" r:id="rId30" name="Button 27">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83996" r:id="rId31" name="Button 28">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83997" r:id="rId32" name="Button 29">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83998" r:id="rId33" name="Button 30">
              <controlPr defaultSize="0" print="0" autoFill="0" autoPict="0" macro="[0]!Info">
                <anchor moveWithCells="1">
                  <from>
                    <xdr:col>126</xdr:col>
                    <xdr:colOff>381000</xdr:colOff>
                    <xdr:row>0</xdr:row>
                    <xdr:rowOff>76200</xdr:rowOff>
                  </from>
                  <to>
                    <xdr:col>127</xdr:col>
                    <xdr:colOff>276225</xdr:colOff>
                    <xdr:row>1</xdr:row>
                    <xdr:rowOff>66675</xdr:rowOff>
                  </to>
                </anchor>
              </controlPr>
            </control>
          </mc:Choice>
        </mc:AlternateContent>
        <mc:AlternateContent xmlns:mc="http://schemas.openxmlformats.org/markup-compatibility/2006">
          <mc:Choice Requires="x14">
            <control shapeId="83999" r:id="rId34" name="Button 31">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84000" r:id="rId35" name="Button 32">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84001" r:id="rId36" name="Button 33">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84002" r:id="rId37" name="Button 34">
              <controlPr defaultSize="0" print="0" autoFill="0" autoPict="0" macro="[0]!Info">
                <anchor moveWithCells="1">
                  <from>
                    <xdr:col>142</xdr:col>
                    <xdr:colOff>228600</xdr:colOff>
                    <xdr:row>0</xdr:row>
                    <xdr:rowOff>76200</xdr:rowOff>
                  </from>
                  <to>
                    <xdr:col>143</xdr:col>
                    <xdr:colOff>123825</xdr:colOff>
                    <xdr:row>1</xdr:row>
                    <xdr:rowOff>66675</xdr:rowOff>
                  </to>
                </anchor>
              </controlPr>
            </control>
          </mc:Choice>
        </mc:AlternateContent>
        <mc:AlternateContent xmlns:mc="http://schemas.openxmlformats.org/markup-compatibility/2006">
          <mc:Choice Requires="x14">
            <control shapeId="84003" r:id="rId38" name="Button 35">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84004" r:id="rId39" name="Button 36">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84005" r:id="rId40" name="Button 37">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84006" r:id="rId41" name="Button 38">
              <controlPr defaultSize="0" print="0" autoFill="0" autoPict="0" macro="[0]!Info">
                <anchor moveWithCells="1">
                  <from>
                    <xdr:col>158</xdr:col>
                    <xdr:colOff>76200</xdr:colOff>
                    <xdr:row>0</xdr:row>
                    <xdr:rowOff>76200</xdr:rowOff>
                  </from>
                  <to>
                    <xdr:col>158</xdr:col>
                    <xdr:colOff>581025</xdr:colOff>
                    <xdr:row>1</xdr:row>
                    <xdr:rowOff>66675</xdr:rowOff>
                  </to>
                </anchor>
              </controlPr>
            </control>
          </mc:Choice>
        </mc:AlternateContent>
        <mc:AlternateContent xmlns:mc="http://schemas.openxmlformats.org/markup-compatibility/2006">
          <mc:Choice Requires="x14">
            <control shapeId="84007" r:id="rId42" name="Button 39">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84008" r:id="rId43" name="Button 40">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84009" r:id="rId44" name="Button 41">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84010" r:id="rId45" name="Button 42">
              <controlPr defaultSize="0" print="0" autoFill="0" autoPict="0" macro="[0]!Info">
                <anchor moveWithCells="1">
                  <from>
                    <xdr:col>173</xdr:col>
                    <xdr:colOff>542925</xdr:colOff>
                    <xdr:row>0</xdr:row>
                    <xdr:rowOff>76200</xdr:rowOff>
                  </from>
                  <to>
                    <xdr:col>174</xdr:col>
                    <xdr:colOff>428625</xdr:colOff>
                    <xdr:row>1</xdr:row>
                    <xdr:rowOff>66675</xdr:rowOff>
                  </to>
                </anchor>
              </controlPr>
            </control>
          </mc:Choice>
        </mc:AlternateContent>
        <mc:AlternateContent xmlns:mc="http://schemas.openxmlformats.org/markup-compatibility/2006">
          <mc:Choice Requires="x14">
            <control shapeId="84011" r:id="rId46" name="Button 43">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84012" r:id="rId47" name="Button 44">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84013" r:id="rId48" name="Button 45">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84014" r:id="rId49" name="Button 46">
              <controlPr defaultSize="0" print="0" autoFill="0" autoPict="0" macro="[0]!Info">
                <anchor moveWithCells="1">
                  <from>
                    <xdr:col>189</xdr:col>
                    <xdr:colOff>390525</xdr:colOff>
                    <xdr:row>0</xdr:row>
                    <xdr:rowOff>76200</xdr:rowOff>
                  </from>
                  <to>
                    <xdr:col>190</xdr:col>
                    <xdr:colOff>276225</xdr:colOff>
                    <xdr:row>1</xdr:row>
                    <xdr:rowOff>66675</xdr:rowOff>
                  </to>
                </anchor>
              </controlPr>
            </control>
          </mc:Choice>
        </mc:AlternateContent>
        <mc:AlternateContent xmlns:mc="http://schemas.openxmlformats.org/markup-compatibility/2006">
          <mc:Choice Requires="x14">
            <control shapeId="84015" r:id="rId50" name="Button 47">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84016" r:id="rId51" name="Button 48">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84017" r:id="rId52" name="Button 49">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84018" r:id="rId53" name="Button 50">
              <controlPr defaultSize="0" print="0" autoFill="0" autoPict="0" macro="[0]!Info">
                <anchor moveWithCells="1">
                  <from>
                    <xdr:col>205</xdr:col>
                    <xdr:colOff>238125</xdr:colOff>
                    <xdr:row>0</xdr:row>
                    <xdr:rowOff>76200</xdr:rowOff>
                  </from>
                  <to>
                    <xdr:col>206</xdr:col>
                    <xdr:colOff>133350</xdr:colOff>
                    <xdr:row>1</xdr:row>
                    <xdr:rowOff>66675</xdr:rowOff>
                  </to>
                </anchor>
              </controlPr>
            </control>
          </mc:Choice>
        </mc:AlternateContent>
        <mc:AlternateContent xmlns:mc="http://schemas.openxmlformats.org/markup-compatibility/2006">
          <mc:Choice Requires="x14">
            <control shapeId="84019" r:id="rId54" name="Button 51">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84020" r:id="rId55" name="Button 52">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84021" r:id="rId56" name="Button 53">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84022" r:id="rId57" name="Button 54">
              <controlPr defaultSize="0" print="0" autoFill="0" autoPict="0" macro="[0]!Info">
                <anchor moveWithCells="1">
                  <from>
                    <xdr:col>221</xdr:col>
                    <xdr:colOff>85725</xdr:colOff>
                    <xdr:row>0</xdr:row>
                    <xdr:rowOff>76200</xdr:rowOff>
                  </from>
                  <to>
                    <xdr:col>221</xdr:col>
                    <xdr:colOff>590550</xdr:colOff>
                    <xdr:row>1</xdr:row>
                    <xdr:rowOff>66675</xdr:rowOff>
                  </to>
                </anchor>
              </controlPr>
            </control>
          </mc:Choice>
        </mc:AlternateContent>
        <mc:AlternateContent xmlns:mc="http://schemas.openxmlformats.org/markup-compatibility/2006">
          <mc:Choice Requires="x14">
            <control shapeId="84023" r:id="rId58" name="Button 55">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84024" r:id="rId59" name="Button 56">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84025" r:id="rId60" name="Button 57">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mc:AlternateContent xmlns:mc="http://schemas.openxmlformats.org/markup-compatibility/2006">
          <mc:Choice Requires="x14">
            <control shapeId="84026" r:id="rId61" name="Button 58">
              <controlPr defaultSize="0" print="0" autoFill="0" autoPict="0" macro="[0]!Info">
                <anchor moveWithCells="1">
                  <from>
                    <xdr:col>236</xdr:col>
                    <xdr:colOff>542925</xdr:colOff>
                    <xdr:row>0</xdr:row>
                    <xdr:rowOff>76200</xdr:rowOff>
                  </from>
                  <to>
                    <xdr:col>237</xdr:col>
                    <xdr:colOff>438150</xdr:colOff>
                    <xdr:row>1</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dimension ref="A1:J135"/>
  <sheetViews>
    <sheetView topLeftCell="A13" workbookViewId="0">
      <selection activeCell="C51" sqref="C51"/>
    </sheetView>
  </sheetViews>
  <sheetFormatPr defaultRowHeight="12.75" x14ac:dyDescent="0.2"/>
  <cols>
    <col min="1" max="1" width="70.140625" bestFit="1" customWidth="1"/>
    <col min="2" max="2" width="13.42578125" style="276" bestFit="1" customWidth="1"/>
    <col min="3" max="3" width="12.28515625" style="276" customWidth="1"/>
    <col min="4" max="4" width="13.5703125" style="276" bestFit="1" customWidth="1"/>
    <col min="5" max="5" width="11.7109375" style="18" bestFit="1" customWidth="1"/>
    <col min="6" max="6" width="13.5703125" style="18" bestFit="1" customWidth="1"/>
    <col min="7" max="7" width="15.5703125" style="18" customWidth="1"/>
    <col min="8" max="8" width="11.7109375" style="18" bestFit="1" customWidth="1"/>
  </cols>
  <sheetData>
    <row r="1" spans="1:10" x14ac:dyDescent="0.2">
      <c r="A1" s="79" t="s">
        <v>133</v>
      </c>
      <c r="B1" s="305" t="s">
        <v>1</v>
      </c>
      <c r="C1" s="305"/>
      <c r="D1" s="305" t="s">
        <v>7</v>
      </c>
      <c r="E1" s="306" t="s">
        <v>1</v>
      </c>
      <c r="F1" s="306" t="s">
        <v>7</v>
      </c>
    </row>
    <row r="3" spans="1:10" x14ac:dyDescent="0.2">
      <c r="A3" s="25" t="s">
        <v>136</v>
      </c>
    </row>
    <row r="4" spans="1:10" x14ac:dyDescent="0.2">
      <c r="A4" s="145" t="s">
        <v>134</v>
      </c>
      <c r="B4" s="328">
        <v>5.9216E-3</v>
      </c>
      <c r="C4" s="307"/>
      <c r="D4" s="271">
        <v>45293</v>
      </c>
    </row>
    <row r="5" spans="1:10" x14ac:dyDescent="0.2">
      <c r="A5" s="145" t="s">
        <v>135</v>
      </c>
      <c r="B5" s="328">
        <v>1.7560000000000001E-4</v>
      </c>
      <c r="C5" s="307"/>
      <c r="D5" s="271">
        <v>44925</v>
      </c>
    </row>
    <row r="7" spans="1:10" x14ac:dyDescent="0.2">
      <c r="A7" s="25" t="s">
        <v>137</v>
      </c>
      <c r="D7" s="271">
        <v>44531</v>
      </c>
    </row>
    <row r="8" spans="1:10" x14ac:dyDescent="0.2">
      <c r="A8" s="145" t="s">
        <v>138</v>
      </c>
      <c r="B8" s="308">
        <v>4.6499999999999996E-3</v>
      </c>
      <c r="C8" s="308"/>
      <c r="D8" s="271"/>
    </row>
    <row r="9" spans="1:10" x14ac:dyDescent="0.2">
      <c r="A9" s="227" t="s">
        <v>140</v>
      </c>
      <c r="B9" s="308">
        <v>4.1900000000000001E-3</v>
      </c>
      <c r="C9" s="308"/>
      <c r="D9" s="271"/>
    </row>
    <row r="10" spans="1:10" x14ac:dyDescent="0.2">
      <c r="A10" s="145" t="s">
        <v>139</v>
      </c>
      <c r="B10" s="308">
        <v>3.63E-3</v>
      </c>
      <c r="C10" s="308"/>
      <c r="D10" s="271"/>
    </row>
    <row r="12" spans="1:10" x14ac:dyDescent="0.2">
      <c r="A12" s="133" t="s">
        <v>141</v>
      </c>
      <c r="B12" s="309">
        <v>0</v>
      </c>
      <c r="C12" s="309"/>
      <c r="D12" s="271">
        <v>44531</v>
      </c>
    </row>
    <row r="14" spans="1:10" x14ac:dyDescent="0.2">
      <c r="A14" s="275" t="s">
        <v>159</v>
      </c>
      <c r="B14" s="372"/>
      <c r="C14" s="373"/>
      <c r="D14" s="373"/>
      <c r="G14" s="275"/>
      <c r="H14" s="374"/>
      <c r="I14" s="374"/>
      <c r="J14" s="374"/>
    </row>
    <row r="15" spans="1:10" x14ac:dyDescent="0.2">
      <c r="A15" s="273" t="s">
        <v>281</v>
      </c>
      <c r="B15" s="385">
        <v>0</v>
      </c>
      <c r="C15" s="270"/>
      <c r="D15" s="271">
        <v>45383</v>
      </c>
      <c r="G15" s="273"/>
      <c r="H15" s="270"/>
      <c r="I15" s="270"/>
      <c r="J15" s="271"/>
    </row>
    <row r="16" spans="1:10" x14ac:dyDescent="0.2">
      <c r="A16" s="272" t="s">
        <v>282</v>
      </c>
      <c r="B16" s="270">
        <v>0</v>
      </c>
      <c r="C16" s="270"/>
      <c r="D16" s="271">
        <v>45322</v>
      </c>
    </row>
    <row r="17" spans="1:6" x14ac:dyDescent="0.2">
      <c r="A17" s="18"/>
    </row>
    <row r="18" spans="1:6" x14ac:dyDescent="0.2">
      <c r="A18" s="25" t="s">
        <v>240</v>
      </c>
      <c r="B18" s="319">
        <v>0</v>
      </c>
      <c r="C18" s="271"/>
      <c r="D18" s="271">
        <v>44531</v>
      </c>
      <c r="E18" s="320">
        <v>0</v>
      </c>
      <c r="F18" s="271">
        <v>44531</v>
      </c>
    </row>
    <row r="20" spans="1:6" x14ac:dyDescent="0.2">
      <c r="A20" s="133" t="s">
        <v>179</v>
      </c>
      <c r="B20" s="310" t="s">
        <v>167</v>
      </c>
      <c r="C20" s="310" t="s">
        <v>168</v>
      </c>
    </row>
    <row r="21" spans="1:6" x14ac:dyDescent="0.2">
      <c r="A21" s="227" t="s">
        <v>154</v>
      </c>
      <c r="B21" s="325">
        <v>0.10589</v>
      </c>
      <c r="C21" s="325">
        <v>0.10589</v>
      </c>
      <c r="D21" s="315">
        <v>45078</v>
      </c>
    </row>
    <row r="22" spans="1:6" x14ac:dyDescent="0.2">
      <c r="A22" s="288" t="s">
        <v>300</v>
      </c>
      <c r="B22" s="325">
        <v>0.10589</v>
      </c>
      <c r="C22" s="325">
        <v>0.10589</v>
      </c>
      <c r="D22" s="315">
        <v>45078</v>
      </c>
    </row>
    <row r="23" spans="1:6" x14ac:dyDescent="0.2">
      <c r="A23" s="227" t="s">
        <v>181</v>
      </c>
      <c r="B23" s="325">
        <v>0.10589</v>
      </c>
      <c r="C23" s="325">
        <v>0.10589</v>
      </c>
      <c r="D23" s="315">
        <v>45078</v>
      </c>
    </row>
    <row r="24" spans="1:6" x14ac:dyDescent="0.2">
      <c r="A24" s="227" t="s">
        <v>182</v>
      </c>
      <c r="B24" s="326">
        <v>0.10234</v>
      </c>
      <c r="C24" s="326">
        <v>0.10234</v>
      </c>
      <c r="D24" s="315">
        <v>45078</v>
      </c>
    </row>
    <row r="25" spans="1:6" x14ac:dyDescent="0.2">
      <c r="A25" s="227" t="s">
        <v>183</v>
      </c>
      <c r="B25" s="326">
        <v>0.10049</v>
      </c>
      <c r="C25" s="326">
        <v>0.10049</v>
      </c>
      <c r="D25" s="315">
        <v>45078</v>
      </c>
    </row>
    <row r="26" spans="1:6" x14ac:dyDescent="0.2">
      <c r="A26" s="145"/>
      <c r="B26" s="270"/>
      <c r="C26" s="270"/>
      <c r="D26" s="271"/>
    </row>
    <row r="27" spans="1:6" x14ac:dyDescent="0.2">
      <c r="A27" s="133" t="s">
        <v>161</v>
      </c>
      <c r="B27" s="310" t="s">
        <v>167</v>
      </c>
      <c r="C27" s="310" t="s">
        <v>168</v>
      </c>
      <c r="D27" s="271"/>
    </row>
    <row r="28" spans="1:6" x14ac:dyDescent="0.2">
      <c r="A28" s="227" t="s">
        <v>189</v>
      </c>
      <c r="B28" s="326">
        <v>3.8800000000000002E-3</v>
      </c>
      <c r="C28" s="307"/>
      <c r="D28" s="315">
        <v>45078</v>
      </c>
    </row>
    <row r="29" spans="1:6" x14ac:dyDescent="0.2">
      <c r="A29" s="145" t="s">
        <v>172</v>
      </c>
      <c r="B29" s="270">
        <v>6.7145E-3</v>
      </c>
      <c r="C29" s="270"/>
      <c r="D29" s="315">
        <v>45078</v>
      </c>
    </row>
    <row r="30" spans="1:6" x14ac:dyDescent="0.2">
      <c r="A30" s="145" t="s">
        <v>171</v>
      </c>
      <c r="B30" s="270">
        <v>2.3035E-3</v>
      </c>
      <c r="C30" s="307"/>
      <c r="D30" s="315">
        <v>45078</v>
      </c>
    </row>
    <row r="31" spans="1:6" x14ac:dyDescent="0.2">
      <c r="A31" s="145" t="s">
        <v>225</v>
      </c>
      <c r="B31" s="270">
        <v>3.2414200000000004E-2</v>
      </c>
      <c r="C31" s="307"/>
      <c r="D31" s="315">
        <v>45078</v>
      </c>
    </row>
    <row r="32" spans="1:6" x14ac:dyDescent="0.2">
      <c r="A32" s="145" t="s">
        <v>226</v>
      </c>
      <c r="B32" s="270">
        <v>0</v>
      </c>
      <c r="C32" s="307"/>
      <c r="D32" s="315">
        <v>45078</v>
      </c>
    </row>
    <row r="33" spans="1:6" x14ac:dyDescent="0.2">
      <c r="A33" s="145" t="s">
        <v>143</v>
      </c>
      <c r="B33" s="270">
        <v>3.31E-3</v>
      </c>
      <c r="C33" s="270"/>
      <c r="D33" s="315">
        <v>45078</v>
      </c>
    </row>
    <row r="34" spans="1:6" x14ac:dyDescent="0.2">
      <c r="A34" s="227" t="s">
        <v>181</v>
      </c>
      <c r="B34" s="270">
        <v>3.0899999999999999E-3</v>
      </c>
      <c r="C34" s="307"/>
      <c r="D34" s="315">
        <v>45078</v>
      </c>
    </row>
    <row r="35" spans="1:6" x14ac:dyDescent="0.2">
      <c r="A35" s="227" t="s">
        <v>230</v>
      </c>
      <c r="B35" s="270">
        <v>2.7757E-2</v>
      </c>
      <c r="C35" s="307"/>
      <c r="D35" s="315">
        <v>45078</v>
      </c>
    </row>
    <row r="36" spans="1:6" x14ac:dyDescent="0.2">
      <c r="A36" s="227" t="s">
        <v>229</v>
      </c>
      <c r="B36" s="270">
        <v>0</v>
      </c>
      <c r="C36" s="307"/>
      <c r="D36" s="315">
        <v>45078</v>
      </c>
    </row>
    <row r="37" spans="1:6" x14ac:dyDescent="0.2">
      <c r="A37" s="227" t="s">
        <v>182</v>
      </c>
      <c r="B37" s="307">
        <v>2.31E-3</v>
      </c>
      <c r="D37" s="315">
        <v>45078</v>
      </c>
    </row>
    <row r="38" spans="1:6" x14ac:dyDescent="0.2">
      <c r="A38" s="227" t="s">
        <v>183</v>
      </c>
      <c r="B38" s="307">
        <v>1.6800000000000001E-3</v>
      </c>
      <c r="D38" s="315">
        <v>45078</v>
      </c>
    </row>
    <row r="39" spans="1:6" x14ac:dyDescent="0.2">
      <c r="A39" s="288" t="s">
        <v>297</v>
      </c>
      <c r="B39" s="270">
        <v>9.9068000000000003E-3</v>
      </c>
      <c r="D39" s="315">
        <v>45078</v>
      </c>
    </row>
    <row r="40" spans="1:6" x14ac:dyDescent="0.2">
      <c r="A40" s="288" t="s">
        <v>298</v>
      </c>
      <c r="B40" s="307">
        <v>3.3899999999999997E-5</v>
      </c>
      <c r="D40" s="315">
        <v>45078</v>
      </c>
    </row>
    <row r="41" spans="1:6" x14ac:dyDescent="0.2">
      <c r="A41" s="288"/>
      <c r="B41" s="307"/>
      <c r="D41" s="271"/>
    </row>
    <row r="42" spans="1:6" x14ac:dyDescent="0.2">
      <c r="A42" s="133" t="s">
        <v>184</v>
      </c>
      <c r="B42" s="386">
        <v>-4.8640000000000001E-4</v>
      </c>
      <c r="C42" s="18"/>
      <c r="D42" s="271">
        <v>45383</v>
      </c>
      <c r="E42" s="276"/>
      <c r="F42" s="276"/>
    </row>
    <row r="43" spans="1:6" x14ac:dyDescent="0.2">
      <c r="A43" s="145"/>
      <c r="D43" s="271"/>
      <c r="E43" s="276"/>
      <c r="F43" s="276"/>
    </row>
    <row r="44" spans="1:6" x14ac:dyDescent="0.2">
      <c r="A44" s="133" t="s">
        <v>212</v>
      </c>
      <c r="B44" s="321" t="s">
        <v>215</v>
      </c>
      <c r="C44" s="321" t="s">
        <v>216</v>
      </c>
      <c r="D44" s="321" t="s">
        <v>34</v>
      </c>
      <c r="E44" s="321" t="s">
        <v>217</v>
      </c>
      <c r="F44" s="276"/>
    </row>
    <row r="45" spans="1:6" x14ac:dyDescent="0.2">
      <c r="A45" s="227" t="s">
        <v>213</v>
      </c>
      <c r="B45" s="330">
        <v>1.47</v>
      </c>
      <c r="C45" s="322">
        <v>0</v>
      </c>
      <c r="D45" s="331">
        <f>SUM(B45:C45)</f>
        <v>1.47</v>
      </c>
      <c r="E45" s="327">
        <v>45292</v>
      </c>
      <c r="F45" s="276"/>
    </row>
    <row r="46" spans="1:6" x14ac:dyDescent="0.2">
      <c r="A46" s="227" t="s">
        <v>214</v>
      </c>
      <c r="B46" s="330">
        <v>1.8006999999999999E-3</v>
      </c>
      <c r="C46" s="322">
        <v>-1.8E-5</v>
      </c>
      <c r="D46" s="332">
        <f>SUM(B46:C46)</f>
        <v>1.7826999999999999E-3</v>
      </c>
      <c r="E46" s="327">
        <v>45292</v>
      </c>
      <c r="F46" s="276"/>
    </row>
    <row r="47" spans="1:6" x14ac:dyDescent="0.2">
      <c r="A47" s="227"/>
      <c r="B47" s="292"/>
      <c r="D47" s="271"/>
      <c r="E47" s="276"/>
      <c r="F47" s="276"/>
    </row>
    <row r="48" spans="1:6" x14ac:dyDescent="0.2">
      <c r="A48" s="227"/>
      <c r="B48" s="292"/>
      <c r="D48" s="271"/>
    </row>
    <row r="49" spans="1:8" x14ac:dyDescent="0.2">
      <c r="A49" s="227"/>
      <c r="B49" s="292"/>
      <c r="D49" s="271"/>
    </row>
    <row r="50" spans="1:8" x14ac:dyDescent="0.2">
      <c r="A50" s="145"/>
      <c r="D50" s="271"/>
    </row>
    <row r="51" spans="1:8" x14ac:dyDescent="0.2">
      <c r="A51" s="133" t="s">
        <v>185</v>
      </c>
    </row>
    <row r="52" spans="1:8" x14ac:dyDescent="0.2">
      <c r="A52" s="227" t="s">
        <v>154</v>
      </c>
      <c r="B52" s="83">
        <v>4.3837099999999997E-2</v>
      </c>
      <c r="C52" s="18"/>
      <c r="D52" s="271">
        <v>45383</v>
      </c>
      <c r="F52" s="311" t="s">
        <v>278</v>
      </c>
      <c r="G52" s="84">
        <v>2.3467399999999999E-2</v>
      </c>
      <c r="H52" s="271">
        <v>45383</v>
      </c>
    </row>
    <row r="53" spans="1:8" x14ac:dyDescent="0.2">
      <c r="A53" s="227" t="s">
        <v>180</v>
      </c>
      <c r="B53" s="83">
        <v>2.3467399999999999E-2</v>
      </c>
      <c r="C53" s="18"/>
      <c r="D53" s="271">
        <v>45383</v>
      </c>
      <c r="F53" s="311" t="s">
        <v>279</v>
      </c>
      <c r="G53" s="84">
        <v>3.2698999999999999E-2</v>
      </c>
      <c r="H53" s="271">
        <v>45383</v>
      </c>
    </row>
    <row r="54" spans="1:8" x14ac:dyDescent="0.2">
      <c r="A54" s="227" t="s">
        <v>181</v>
      </c>
      <c r="B54" s="83">
        <v>6.0079999999999997E-4</v>
      </c>
      <c r="C54" s="18"/>
      <c r="D54" s="271">
        <v>45383</v>
      </c>
    </row>
    <row r="55" spans="1:8" x14ac:dyDescent="0.2">
      <c r="A55" s="227" t="s">
        <v>182</v>
      </c>
      <c r="B55" s="83">
        <v>5.8060000000000002E-4</v>
      </c>
      <c r="C55" s="18"/>
      <c r="D55" s="271">
        <v>45383</v>
      </c>
    </row>
    <row r="56" spans="1:8" x14ac:dyDescent="0.2">
      <c r="A56" s="227" t="s">
        <v>183</v>
      </c>
      <c r="B56" s="83">
        <v>5.7019999999999998E-4</v>
      </c>
      <c r="C56" s="18"/>
      <c r="D56" s="271">
        <v>45383</v>
      </c>
    </row>
    <row r="57" spans="1:8" x14ac:dyDescent="0.2">
      <c r="B57"/>
    </row>
    <row r="58" spans="1:8" x14ac:dyDescent="0.2">
      <c r="A58" s="133" t="s">
        <v>186</v>
      </c>
      <c r="B58"/>
    </row>
    <row r="59" spans="1:8" x14ac:dyDescent="0.2">
      <c r="A59" s="227" t="s">
        <v>181</v>
      </c>
      <c r="B59" s="105">
        <v>6.73</v>
      </c>
      <c r="C59" s="18"/>
      <c r="D59" s="271">
        <v>45383</v>
      </c>
    </row>
    <row r="60" spans="1:8" x14ac:dyDescent="0.2">
      <c r="A60" s="227" t="s">
        <v>182</v>
      </c>
      <c r="B60" s="105">
        <v>6.76</v>
      </c>
      <c r="C60" s="18"/>
      <c r="D60" s="271">
        <v>45383</v>
      </c>
    </row>
    <row r="61" spans="1:8" x14ac:dyDescent="0.2">
      <c r="A61" s="227" t="s">
        <v>183</v>
      </c>
      <c r="B61" s="105">
        <v>7.45</v>
      </c>
      <c r="C61" s="18"/>
      <c r="D61" s="271">
        <v>45383</v>
      </c>
    </row>
    <row r="62" spans="1:8" x14ac:dyDescent="0.2">
      <c r="A62" s="145"/>
      <c r="D62" s="271"/>
    </row>
    <row r="63" spans="1:8" x14ac:dyDescent="0.2">
      <c r="A63" s="133" t="s">
        <v>148</v>
      </c>
      <c r="C63" s="312" t="s">
        <v>209</v>
      </c>
      <c r="D63" s="271"/>
    </row>
    <row r="64" spans="1:8" x14ac:dyDescent="0.2">
      <c r="A64" s="145" t="s">
        <v>142</v>
      </c>
      <c r="B64" s="307">
        <v>0</v>
      </c>
      <c r="C64" s="307">
        <v>0</v>
      </c>
      <c r="D64" s="271">
        <v>44531</v>
      </c>
    </row>
    <row r="65" spans="1:4" x14ac:dyDescent="0.2">
      <c r="A65" s="145" t="s">
        <v>143</v>
      </c>
      <c r="B65" s="307">
        <v>0</v>
      </c>
      <c r="C65" s="307">
        <v>0</v>
      </c>
      <c r="D65" s="271">
        <v>44531</v>
      </c>
    </row>
    <row r="66" spans="1:4" x14ac:dyDescent="0.2">
      <c r="A66" s="145" t="s">
        <v>149</v>
      </c>
      <c r="B66" s="307">
        <v>0</v>
      </c>
      <c r="C66" s="307">
        <v>0</v>
      </c>
      <c r="D66" s="271">
        <v>44531</v>
      </c>
    </row>
    <row r="67" spans="1:4" x14ac:dyDescent="0.2">
      <c r="A67" s="145" t="s">
        <v>144</v>
      </c>
      <c r="B67" s="307">
        <v>0</v>
      </c>
      <c r="C67" s="307">
        <v>0</v>
      </c>
      <c r="D67" s="271">
        <v>44531</v>
      </c>
    </row>
    <row r="68" spans="1:4" x14ac:dyDescent="0.2">
      <c r="A68" s="145" t="s">
        <v>150</v>
      </c>
      <c r="B68" s="307">
        <v>0</v>
      </c>
      <c r="C68" s="307">
        <v>0</v>
      </c>
      <c r="D68" s="271">
        <v>44531</v>
      </c>
    </row>
    <row r="69" spans="1:4" x14ac:dyDescent="0.2">
      <c r="A69" s="145" t="s">
        <v>151</v>
      </c>
      <c r="B69" s="307">
        <v>0</v>
      </c>
      <c r="C69" s="307">
        <v>0</v>
      </c>
      <c r="D69" s="271">
        <v>44531</v>
      </c>
    </row>
    <row r="70" spans="1:4" x14ac:dyDescent="0.2">
      <c r="A70" s="145"/>
      <c r="B70" s="270"/>
      <c r="C70" s="270"/>
      <c r="D70" s="271"/>
    </row>
    <row r="71" spans="1:4" x14ac:dyDescent="0.2">
      <c r="A71" s="133" t="s">
        <v>196</v>
      </c>
      <c r="D71" s="271"/>
    </row>
    <row r="72" spans="1:4" x14ac:dyDescent="0.2">
      <c r="A72" s="145" t="s">
        <v>143</v>
      </c>
      <c r="B72" s="313">
        <v>0</v>
      </c>
      <c r="C72" s="307"/>
      <c r="D72" s="271">
        <v>44197</v>
      </c>
    </row>
    <row r="73" spans="1:4" x14ac:dyDescent="0.2">
      <c r="A73" s="145" t="s">
        <v>144</v>
      </c>
      <c r="B73" s="313">
        <v>0</v>
      </c>
      <c r="C73" s="307"/>
      <c r="D73" s="271">
        <v>44197</v>
      </c>
    </row>
    <row r="74" spans="1:4" x14ac:dyDescent="0.2">
      <c r="A74" s="145"/>
      <c r="B74" s="270"/>
      <c r="C74" s="270"/>
      <c r="D74" s="271"/>
    </row>
    <row r="75" spans="1:4" x14ac:dyDescent="0.2">
      <c r="A75" s="133" t="s">
        <v>197</v>
      </c>
      <c r="D75" s="271"/>
    </row>
    <row r="76" spans="1:4" x14ac:dyDescent="0.2">
      <c r="A76" s="145" t="s">
        <v>149</v>
      </c>
      <c r="B76" s="313">
        <v>0</v>
      </c>
      <c r="C76" s="307"/>
      <c r="D76" s="271">
        <v>44197</v>
      </c>
    </row>
    <row r="77" spans="1:4" x14ac:dyDescent="0.2">
      <c r="A77" s="145" t="s">
        <v>150</v>
      </c>
      <c r="B77" s="313">
        <v>0</v>
      </c>
      <c r="C77" s="307"/>
      <c r="D77" s="271">
        <v>44197</v>
      </c>
    </row>
    <row r="78" spans="1:4" x14ac:dyDescent="0.2">
      <c r="A78" s="145" t="s">
        <v>151</v>
      </c>
      <c r="B78" s="313">
        <v>0</v>
      </c>
      <c r="C78" s="270"/>
      <c r="D78" s="271">
        <v>44197</v>
      </c>
    </row>
    <row r="79" spans="1:4" x14ac:dyDescent="0.2">
      <c r="A79" s="145"/>
      <c r="B79" s="270"/>
      <c r="C79" s="270"/>
      <c r="D79" s="271"/>
    </row>
    <row r="80" spans="1:4" x14ac:dyDescent="0.2">
      <c r="A80" s="133" t="s">
        <v>152</v>
      </c>
      <c r="B80" s="387">
        <v>2.9347000000000002E-2</v>
      </c>
      <c r="C80" s="333"/>
      <c r="D80" s="334">
        <v>45383</v>
      </c>
    </row>
    <row r="81" spans="1:6" x14ac:dyDescent="0.2">
      <c r="A81" s="145"/>
      <c r="D81" s="271"/>
    </row>
    <row r="82" spans="1:6" x14ac:dyDescent="0.2">
      <c r="A82" s="25" t="s">
        <v>153</v>
      </c>
      <c r="B82" s="314">
        <v>6.6985699999999995E-2</v>
      </c>
      <c r="C82" s="314"/>
      <c r="D82" s="271">
        <v>45167</v>
      </c>
    </row>
    <row r="84" spans="1:6" x14ac:dyDescent="0.2">
      <c r="A84" s="25" t="s">
        <v>207</v>
      </c>
      <c r="D84" s="271"/>
    </row>
    <row r="85" spans="1:6" x14ac:dyDescent="0.2">
      <c r="A85" s="301" t="s">
        <v>154</v>
      </c>
      <c r="B85" s="316">
        <v>1.95</v>
      </c>
      <c r="C85" s="316"/>
      <c r="D85" s="271">
        <v>45259</v>
      </c>
      <c r="E85" s="276"/>
    </row>
    <row r="86" spans="1:6" x14ac:dyDescent="0.2">
      <c r="A86" s="301" t="s">
        <v>155</v>
      </c>
      <c r="B86" s="316">
        <v>15.91</v>
      </c>
      <c r="C86" s="316"/>
      <c r="D86" s="271">
        <v>45351</v>
      </c>
      <c r="E86" s="276"/>
    </row>
    <row r="87" spans="1:6" x14ac:dyDescent="0.2">
      <c r="A87" s="226"/>
      <c r="E87" s="276"/>
    </row>
    <row r="88" spans="1:6" x14ac:dyDescent="0.2">
      <c r="A88" s="302" t="s">
        <v>242</v>
      </c>
      <c r="B88" s="314"/>
      <c r="C88" s="314"/>
      <c r="D88" s="271"/>
      <c r="E88" s="276"/>
    </row>
    <row r="89" spans="1:6" x14ac:dyDescent="0.2">
      <c r="A89" s="303" t="s">
        <v>142</v>
      </c>
      <c r="B89" s="307">
        <v>0</v>
      </c>
      <c r="C89" s="307"/>
      <c r="D89" s="271">
        <v>44531</v>
      </c>
      <c r="E89" s="307"/>
      <c r="F89" s="315"/>
    </row>
    <row r="90" spans="1:6" x14ac:dyDescent="0.2">
      <c r="A90" s="303" t="s">
        <v>143</v>
      </c>
      <c r="B90" s="307">
        <v>0</v>
      </c>
      <c r="C90" s="307"/>
      <c r="D90" s="271">
        <v>44531</v>
      </c>
      <c r="E90" s="307"/>
      <c r="F90" s="315"/>
    </row>
    <row r="91" spans="1:6" x14ac:dyDescent="0.2">
      <c r="A91" s="303" t="s">
        <v>198</v>
      </c>
      <c r="B91" s="307">
        <v>0</v>
      </c>
      <c r="C91" s="307"/>
      <c r="D91" s="271">
        <v>44531</v>
      </c>
      <c r="E91" s="307"/>
      <c r="F91" s="315"/>
    </row>
    <row r="92" spans="1:6" x14ac:dyDescent="0.2">
      <c r="A92" s="303" t="s">
        <v>199</v>
      </c>
      <c r="B92" s="307">
        <v>0</v>
      </c>
      <c r="C92" s="307"/>
      <c r="D92" s="271">
        <v>44531</v>
      </c>
      <c r="E92" s="307"/>
      <c r="F92" s="315"/>
    </row>
    <row r="93" spans="1:6" x14ac:dyDescent="0.2">
      <c r="A93" s="303" t="s">
        <v>200</v>
      </c>
      <c r="B93" s="307">
        <v>0</v>
      </c>
      <c r="C93" s="307"/>
      <c r="D93" s="271">
        <v>44531</v>
      </c>
      <c r="E93" s="307"/>
      <c r="F93" s="315"/>
    </row>
    <row r="94" spans="1:6" x14ac:dyDescent="0.2">
      <c r="A94" s="303" t="s">
        <v>201</v>
      </c>
      <c r="B94" s="307">
        <v>0</v>
      </c>
      <c r="C94" s="307"/>
      <c r="D94" s="271">
        <v>44531</v>
      </c>
      <c r="E94" s="307"/>
      <c r="F94" s="315"/>
    </row>
    <row r="95" spans="1:6" x14ac:dyDescent="0.2">
      <c r="A95" s="303" t="s">
        <v>202</v>
      </c>
      <c r="B95" s="307">
        <v>0</v>
      </c>
      <c r="C95" s="307"/>
      <c r="D95" s="271">
        <v>44531</v>
      </c>
      <c r="E95" s="307"/>
      <c r="F95" s="315"/>
    </row>
    <row r="96" spans="1:6" x14ac:dyDescent="0.2">
      <c r="A96" s="303" t="s">
        <v>203</v>
      </c>
      <c r="B96" s="307">
        <v>0</v>
      </c>
      <c r="C96" s="307"/>
      <c r="D96" s="271">
        <v>44531</v>
      </c>
      <c r="E96" s="307"/>
      <c r="F96" s="315"/>
    </row>
    <row r="97" spans="1:6" x14ac:dyDescent="0.2">
      <c r="A97" s="303" t="s">
        <v>204</v>
      </c>
      <c r="B97" s="307">
        <v>0</v>
      </c>
      <c r="C97" s="307"/>
      <c r="D97" s="271">
        <v>44531</v>
      </c>
      <c r="E97" s="307"/>
      <c r="F97" s="315"/>
    </row>
    <row r="98" spans="1:6" x14ac:dyDescent="0.2">
      <c r="A98" s="303" t="s">
        <v>205</v>
      </c>
      <c r="B98" s="307">
        <v>0</v>
      </c>
      <c r="C98" s="307"/>
      <c r="D98" s="271">
        <v>44531</v>
      </c>
      <c r="E98" s="307"/>
      <c r="F98" s="315"/>
    </row>
    <row r="99" spans="1:6" x14ac:dyDescent="0.2">
      <c r="A99" s="226"/>
      <c r="E99" s="276"/>
    </row>
    <row r="100" spans="1:6" x14ac:dyDescent="0.2">
      <c r="A100" s="302" t="s">
        <v>156</v>
      </c>
      <c r="B100" s="388">
        <v>0.21398439999999999</v>
      </c>
      <c r="C100" s="314"/>
      <c r="D100" s="271">
        <v>45351</v>
      </c>
      <c r="E100" s="276"/>
    </row>
    <row r="101" spans="1:6" x14ac:dyDescent="0.2">
      <c r="A101" s="226"/>
      <c r="E101" s="276"/>
    </row>
    <row r="102" spans="1:6" x14ac:dyDescent="0.2">
      <c r="A102" s="302" t="s">
        <v>211</v>
      </c>
      <c r="D102" s="271"/>
      <c r="E102" s="276"/>
    </row>
    <row r="103" spans="1:6" x14ac:dyDescent="0.2">
      <c r="A103" s="301" t="s">
        <v>154</v>
      </c>
      <c r="B103" s="316">
        <v>0</v>
      </c>
      <c r="C103" s="316"/>
      <c r="D103" s="271">
        <v>44894</v>
      </c>
      <c r="E103" s="276"/>
    </row>
    <row r="104" spans="1:6" x14ac:dyDescent="0.2">
      <c r="A104" s="301" t="s">
        <v>155</v>
      </c>
      <c r="B104" s="316">
        <v>0</v>
      </c>
      <c r="C104" s="316"/>
      <c r="D104" s="271">
        <v>44894</v>
      </c>
      <c r="E104" s="276"/>
    </row>
    <row r="105" spans="1:6" x14ac:dyDescent="0.2">
      <c r="A105" s="226"/>
      <c r="E105" s="276"/>
    </row>
    <row r="106" spans="1:6" x14ac:dyDescent="0.2">
      <c r="A106" s="133" t="s">
        <v>206</v>
      </c>
      <c r="D106" s="271"/>
    </row>
    <row r="107" spans="1:6" x14ac:dyDescent="0.2">
      <c r="A107" s="145" t="s">
        <v>145</v>
      </c>
      <c r="B107" s="293">
        <v>3.8972999999999998E-3</v>
      </c>
      <c r="C107" s="270"/>
      <c r="D107" s="271">
        <v>44531</v>
      </c>
    </row>
    <row r="108" spans="1:6" x14ac:dyDescent="0.2">
      <c r="A108" s="145" t="s">
        <v>146</v>
      </c>
      <c r="B108" s="293">
        <v>3.7618E-3</v>
      </c>
      <c r="C108" s="270"/>
      <c r="D108" s="271">
        <v>44531</v>
      </c>
    </row>
    <row r="109" spans="1:6" x14ac:dyDescent="0.2">
      <c r="A109" s="145" t="s">
        <v>147</v>
      </c>
      <c r="B109" s="293">
        <v>3.6865999999999999E-3</v>
      </c>
      <c r="C109" s="270"/>
      <c r="D109" s="271">
        <v>44531</v>
      </c>
    </row>
    <row r="111" spans="1:6" x14ac:dyDescent="0.2">
      <c r="A111" s="133" t="s">
        <v>210</v>
      </c>
    </row>
    <row r="112" spans="1:6" x14ac:dyDescent="0.2">
      <c r="A112" s="145" t="s">
        <v>154</v>
      </c>
      <c r="B112" s="323">
        <v>-2.3000000000000001E-4</v>
      </c>
      <c r="D112" s="271">
        <v>44531</v>
      </c>
    </row>
    <row r="113" spans="1:5" x14ac:dyDescent="0.2">
      <c r="A113" s="145" t="s">
        <v>155</v>
      </c>
      <c r="B113" s="323">
        <v>-6.2E-4</v>
      </c>
      <c r="D113" s="271">
        <v>44531</v>
      </c>
    </row>
    <row r="115" spans="1:5" x14ac:dyDescent="0.2">
      <c r="A115" s="25" t="s">
        <v>219</v>
      </c>
      <c r="D115" s="271"/>
    </row>
    <row r="116" spans="1:5" x14ac:dyDescent="0.2">
      <c r="A116" s="227" t="s">
        <v>154</v>
      </c>
      <c r="B116" s="329">
        <v>1.26</v>
      </c>
      <c r="C116" s="317"/>
      <c r="D116" s="271">
        <v>45226</v>
      </c>
    </row>
    <row r="117" spans="1:5" x14ac:dyDescent="0.2">
      <c r="A117" s="227" t="s">
        <v>155</v>
      </c>
      <c r="B117" s="329">
        <v>5.83</v>
      </c>
      <c r="C117" s="317"/>
      <c r="D117" s="271">
        <v>45226</v>
      </c>
    </row>
    <row r="119" spans="1:5" x14ac:dyDescent="0.2">
      <c r="A119" s="133" t="s">
        <v>232</v>
      </c>
      <c r="B119" s="318"/>
      <c r="E119" s="271"/>
    </row>
    <row r="120" spans="1:5" x14ac:dyDescent="0.2">
      <c r="A120" s="227" t="s">
        <v>154</v>
      </c>
      <c r="B120" s="317">
        <v>0.1</v>
      </c>
      <c r="C120" s="271"/>
      <c r="E120" s="315">
        <v>44927</v>
      </c>
    </row>
    <row r="121" spans="1:5" x14ac:dyDescent="0.2">
      <c r="A121" s="145" t="s">
        <v>134</v>
      </c>
      <c r="B121" s="293">
        <v>2.9050000000000001E-4</v>
      </c>
      <c r="C121" s="317">
        <v>242</v>
      </c>
      <c r="D121" s="276" t="s">
        <v>233</v>
      </c>
      <c r="E121" s="315">
        <v>45292</v>
      </c>
    </row>
    <row r="122" spans="1:5" x14ac:dyDescent="0.2">
      <c r="A122" s="145" t="s">
        <v>135</v>
      </c>
      <c r="B122" s="293">
        <v>0</v>
      </c>
      <c r="E122" s="315">
        <v>44927</v>
      </c>
    </row>
    <row r="124" spans="1:5" x14ac:dyDescent="0.2">
      <c r="A124" s="133" t="s">
        <v>244</v>
      </c>
    </row>
    <row r="125" spans="1:5" x14ac:dyDescent="0.2">
      <c r="A125" s="227" t="s">
        <v>154</v>
      </c>
      <c r="B125" s="317">
        <v>0</v>
      </c>
      <c r="D125" s="271">
        <v>44531</v>
      </c>
    </row>
    <row r="126" spans="1:5" x14ac:dyDescent="0.2">
      <c r="A126" s="227" t="s">
        <v>180</v>
      </c>
      <c r="B126" s="317">
        <v>0</v>
      </c>
      <c r="D126" s="271">
        <v>44531</v>
      </c>
    </row>
    <row r="127" spans="1:5" x14ac:dyDescent="0.2">
      <c r="A127" s="227" t="s">
        <v>181</v>
      </c>
      <c r="B127" s="317">
        <v>0</v>
      </c>
      <c r="D127" s="271">
        <v>44531</v>
      </c>
    </row>
    <row r="128" spans="1:5" x14ac:dyDescent="0.2">
      <c r="A128" s="227" t="s">
        <v>182</v>
      </c>
      <c r="B128" s="317">
        <v>0</v>
      </c>
      <c r="D128" s="271">
        <v>44531</v>
      </c>
    </row>
    <row r="129" spans="1:4" x14ac:dyDescent="0.2">
      <c r="A129" s="227" t="s">
        <v>183</v>
      </c>
      <c r="B129" s="317">
        <v>0</v>
      </c>
      <c r="D129" s="271">
        <v>44531</v>
      </c>
    </row>
    <row r="131" spans="1:4" x14ac:dyDescent="0.2">
      <c r="A131" s="25" t="s">
        <v>243</v>
      </c>
      <c r="D131" s="271"/>
    </row>
    <row r="132" spans="1:4" x14ac:dyDescent="0.2">
      <c r="A132" s="227" t="s">
        <v>154</v>
      </c>
      <c r="B132" s="317">
        <v>0</v>
      </c>
      <c r="C132" s="317"/>
      <c r="D132" s="271">
        <v>44531</v>
      </c>
    </row>
    <row r="133" spans="1:4" x14ac:dyDescent="0.2">
      <c r="A133" s="227" t="s">
        <v>155</v>
      </c>
      <c r="B133" s="317">
        <v>0</v>
      </c>
      <c r="C133" s="317"/>
      <c r="D133" s="271">
        <v>44531</v>
      </c>
    </row>
    <row r="135" spans="1:4" x14ac:dyDescent="0.2">
      <c r="A135" s="25" t="s">
        <v>245</v>
      </c>
      <c r="D135" s="276" t="s">
        <v>246</v>
      </c>
    </row>
  </sheetData>
  <sheetProtection algorithmName="SHA-512" hashValue="oqGVQUkUzQXCKIWLYkITXPOMnNgGYDwtHcID3rHAE525c5bYESK/bqfj9Bg9J4ex7D4lgj6cBwCXUhpBM/dVZg==" saltValue="KrToa3Bdq7NLY0BtH4fL4Q==" spinCount="100000" sheet="1" objects="1" scenarios="1"/>
  <mergeCells count="2">
    <mergeCell ref="B14:D14"/>
    <mergeCell ref="H14:J14"/>
  </mergeCells>
  <phoneticPr fontId="28" type="noConversion"/>
  <printOptions gridLines="1"/>
  <pageMargins left="0" right="0" top="0.5" bottom="0.5" header="0.25" footer="0.25"/>
  <pageSetup scale="85"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
    <pageSetUpPr fitToPage="1"/>
  </sheetPr>
  <dimension ref="A1:G33"/>
  <sheetViews>
    <sheetView showGridLines="0" workbookViewId="0">
      <selection activeCell="I27" sqref="I27"/>
    </sheetView>
  </sheetViews>
  <sheetFormatPr defaultRowHeight="12.75" x14ac:dyDescent="0.2"/>
  <cols>
    <col min="1" max="1" width="42.42578125" customWidth="1"/>
    <col min="2" max="2" width="19.140625" customWidth="1"/>
    <col min="3" max="3" width="13.5703125" customWidth="1"/>
    <col min="4" max="4" width="12.7109375" customWidth="1"/>
    <col min="5" max="5" width="12.5703125" customWidth="1"/>
    <col min="6" max="6" width="1.85546875" customWidth="1"/>
    <col min="7" max="7" width="11.28515625" customWidth="1"/>
  </cols>
  <sheetData>
    <row r="1" spans="1:7" x14ac:dyDescent="0.2">
      <c r="D1" s="4"/>
    </row>
    <row r="2" spans="1:7" ht="13.5" thickBot="1" x14ac:dyDescent="0.25">
      <c r="A2" s="381" t="s">
        <v>36</v>
      </c>
      <c r="B2" s="381"/>
      <c r="C2" s="381"/>
      <c r="D2" s="381"/>
      <c r="E2" s="381"/>
    </row>
    <row r="3" spans="1:7" ht="13.5" thickBot="1" x14ac:dyDescent="0.25">
      <c r="A3" s="15" t="s">
        <v>23</v>
      </c>
      <c r="B3" s="16" t="s">
        <v>7</v>
      </c>
      <c r="C3" s="16" t="s">
        <v>1</v>
      </c>
      <c r="D3" s="16" t="s">
        <v>6</v>
      </c>
      <c r="E3" s="17" t="s">
        <v>59</v>
      </c>
    </row>
    <row r="4" spans="1:7" x14ac:dyDescent="0.2">
      <c r="A4" s="9" t="s">
        <v>5</v>
      </c>
      <c r="B4" s="5">
        <v>2001</v>
      </c>
      <c r="C4" s="7">
        <v>-4.8782899999999997E-2</v>
      </c>
      <c r="D4" s="8" t="s">
        <v>58</v>
      </c>
      <c r="E4" s="73" t="b">
        <v>1</v>
      </c>
      <c r="G4" s="48" t="s">
        <v>38</v>
      </c>
    </row>
    <row r="5" spans="1:7" x14ac:dyDescent="0.2">
      <c r="A5" s="66" t="s">
        <v>61</v>
      </c>
      <c r="B5" s="376">
        <v>2001</v>
      </c>
      <c r="C5" s="68">
        <v>7.7130000000000005E-4</v>
      </c>
      <c r="D5" s="67" t="s">
        <v>60</v>
      </c>
      <c r="E5" s="382" t="b">
        <v>1</v>
      </c>
      <c r="G5" s="56"/>
    </row>
    <row r="6" spans="1:7" x14ac:dyDescent="0.2">
      <c r="A6" s="66" t="s">
        <v>62</v>
      </c>
      <c r="B6" s="378"/>
      <c r="C6" s="68">
        <v>1.83E-4</v>
      </c>
      <c r="D6" s="67" t="s">
        <v>60</v>
      </c>
      <c r="E6" s="384"/>
      <c r="G6" s="56"/>
    </row>
    <row r="7" spans="1:7" x14ac:dyDescent="0.2">
      <c r="A7" s="10" t="s">
        <v>4</v>
      </c>
      <c r="B7" s="5">
        <v>2001</v>
      </c>
      <c r="C7" s="47">
        <v>1.0758E-4</v>
      </c>
      <c r="D7" s="5" t="s">
        <v>60</v>
      </c>
      <c r="E7" s="61" t="b">
        <v>1</v>
      </c>
      <c r="G7" s="56"/>
    </row>
    <row r="8" spans="1:7" ht="12.75" customHeight="1" x14ac:dyDescent="0.2">
      <c r="A8" s="69" t="s">
        <v>47</v>
      </c>
      <c r="B8" s="376">
        <v>2001</v>
      </c>
      <c r="C8" s="70">
        <v>4.6499999999999996E-3</v>
      </c>
      <c r="D8" s="376" t="s">
        <v>60</v>
      </c>
      <c r="E8" s="382" t="b">
        <v>1</v>
      </c>
      <c r="G8" s="375" t="s">
        <v>38</v>
      </c>
    </row>
    <row r="9" spans="1:7" x14ac:dyDescent="0.2">
      <c r="A9" s="69" t="s">
        <v>48</v>
      </c>
      <c r="B9" s="377"/>
      <c r="C9" s="70">
        <v>4.1900000000000001E-3</v>
      </c>
      <c r="D9" s="377"/>
      <c r="E9" s="383" t="b">
        <v>0</v>
      </c>
      <c r="G9" s="375"/>
    </row>
    <row r="10" spans="1:7" x14ac:dyDescent="0.2">
      <c r="A10" s="69" t="s">
        <v>49</v>
      </c>
      <c r="B10" s="378"/>
      <c r="C10" s="70">
        <v>3.63E-3</v>
      </c>
      <c r="D10" s="378"/>
      <c r="E10" s="384"/>
      <c r="G10" s="375"/>
    </row>
    <row r="11" spans="1:7" x14ac:dyDescent="0.2">
      <c r="A11" s="10" t="s">
        <v>13</v>
      </c>
      <c r="B11" s="5">
        <v>2002</v>
      </c>
      <c r="C11" s="6">
        <v>4.3600000000000003E-5</v>
      </c>
      <c r="D11" s="5" t="s">
        <v>60</v>
      </c>
      <c r="E11" s="61" t="b">
        <v>1</v>
      </c>
    </row>
    <row r="12" spans="1:7" x14ac:dyDescent="0.2">
      <c r="A12" s="69" t="s">
        <v>14</v>
      </c>
      <c r="B12" s="71">
        <v>2002</v>
      </c>
      <c r="C12" s="70">
        <v>1.2520000000000001E-4</v>
      </c>
      <c r="D12" s="71" t="s">
        <v>60</v>
      </c>
      <c r="E12" s="72" t="b">
        <v>1</v>
      </c>
    </row>
    <row r="13" spans="1:7" x14ac:dyDescent="0.2">
      <c r="A13" s="10" t="s">
        <v>16</v>
      </c>
      <c r="B13" s="5">
        <v>2002</v>
      </c>
      <c r="C13" s="6">
        <v>3.369E-4</v>
      </c>
      <c r="D13" s="5" t="s">
        <v>60</v>
      </c>
      <c r="E13" s="61" t="b">
        <v>1</v>
      </c>
    </row>
    <row r="14" spans="1:7" x14ac:dyDescent="0.2">
      <c r="A14" s="69" t="s">
        <v>17</v>
      </c>
      <c r="B14" s="71">
        <v>2002</v>
      </c>
      <c r="C14" s="70">
        <v>9.6730000000000004E-4</v>
      </c>
      <c r="D14" s="71" t="s">
        <v>60</v>
      </c>
      <c r="E14" s="72" t="b">
        <v>1</v>
      </c>
    </row>
    <row r="15" spans="1:7" x14ac:dyDescent="0.2">
      <c r="A15" s="10" t="s">
        <v>63</v>
      </c>
      <c r="B15" s="5">
        <v>2001</v>
      </c>
      <c r="C15" s="6">
        <v>6.3080000000000005E-4</v>
      </c>
      <c r="D15" s="5" t="s">
        <v>60</v>
      </c>
      <c r="E15" s="61" t="b">
        <v>1</v>
      </c>
    </row>
    <row r="16" spans="1:7" x14ac:dyDescent="0.2">
      <c r="A16" s="69" t="s">
        <v>9</v>
      </c>
      <c r="B16" s="71">
        <v>2001</v>
      </c>
      <c r="C16" s="70">
        <v>5.5290000000000005E-4</v>
      </c>
      <c r="D16" s="71" t="s">
        <v>60</v>
      </c>
      <c r="E16" s="72" t="b">
        <v>1</v>
      </c>
    </row>
    <row r="17" spans="1:5" x14ac:dyDescent="0.2">
      <c r="A17" s="10" t="s">
        <v>10</v>
      </c>
      <c r="B17" s="5">
        <v>2001</v>
      </c>
      <c r="C17" s="6">
        <v>5.6780000000000003E-4</v>
      </c>
      <c r="D17" s="5" t="s">
        <v>60</v>
      </c>
      <c r="E17" s="61" t="b">
        <v>1</v>
      </c>
    </row>
    <row r="18" spans="1:5" x14ac:dyDescent="0.2">
      <c r="A18" s="69" t="s">
        <v>11</v>
      </c>
      <c r="B18" s="71">
        <v>2001</v>
      </c>
      <c r="C18" s="70">
        <v>4.5619999999999998E-4</v>
      </c>
      <c r="D18" s="71" t="s">
        <v>60</v>
      </c>
      <c r="E18" s="72" t="b">
        <v>1</v>
      </c>
    </row>
    <row r="19" spans="1:5" x14ac:dyDescent="0.2">
      <c r="A19" s="10" t="s">
        <v>12</v>
      </c>
      <c r="B19" s="5">
        <v>2001</v>
      </c>
      <c r="C19" s="6">
        <v>3.9589999999999997E-4</v>
      </c>
      <c r="D19" s="5" t="s">
        <v>60</v>
      </c>
      <c r="E19" s="61" t="b">
        <v>1</v>
      </c>
    </row>
    <row r="20" spans="1:5" x14ac:dyDescent="0.2">
      <c r="A20" s="69" t="s">
        <v>18</v>
      </c>
      <c r="B20" s="71">
        <v>2001</v>
      </c>
      <c r="C20" s="70">
        <v>-1.5192999999999999E-3</v>
      </c>
      <c r="D20" s="71" t="s">
        <v>60</v>
      </c>
      <c r="E20" s="72" t="b">
        <v>1</v>
      </c>
    </row>
    <row r="21" spans="1:5" x14ac:dyDescent="0.2">
      <c r="A21" s="10" t="s">
        <v>19</v>
      </c>
      <c r="B21" s="5">
        <v>2001</v>
      </c>
      <c r="C21" s="6">
        <v>-1.3071000000000001E-3</v>
      </c>
      <c r="D21" s="5" t="s">
        <v>60</v>
      </c>
      <c r="E21" s="61" t="b">
        <v>1</v>
      </c>
    </row>
    <row r="22" spans="1:5" x14ac:dyDescent="0.2">
      <c r="A22" s="69" t="s">
        <v>20</v>
      </c>
      <c r="B22" s="71">
        <v>2001</v>
      </c>
      <c r="C22" s="70">
        <v>-1.3320000000000001E-3</v>
      </c>
      <c r="D22" s="71" t="s">
        <v>60</v>
      </c>
      <c r="E22" s="72" t="b">
        <v>1</v>
      </c>
    </row>
    <row r="23" spans="1:5" x14ac:dyDescent="0.2">
      <c r="A23" s="10" t="s">
        <v>21</v>
      </c>
      <c r="B23" s="5">
        <v>2001</v>
      </c>
      <c r="C23" s="6">
        <v>-1.0334999999999999E-3</v>
      </c>
      <c r="D23" s="5" t="s">
        <v>60</v>
      </c>
      <c r="E23" s="61" t="b">
        <v>1</v>
      </c>
    </row>
    <row r="24" spans="1:5" x14ac:dyDescent="0.2">
      <c r="A24" s="69" t="s">
        <v>22</v>
      </c>
      <c r="B24" s="71">
        <v>2001</v>
      </c>
      <c r="C24" s="70">
        <v>-8.7730000000000002E-4</v>
      </c>
      <c r="D24" s="71" t="s">
        <v>60</v>
      </c>
      <c r="E24" s="72" t="b">
        <v>1</v>
      </c>
    </row>
    <row r="25" spans="1:5" x14ac:dyDescent="0.2">
      <c r="A25" s="10" t="s">
        <v>40</v>
      </c>
      <c r="B25" s="5">
        <v>2001</v>
      </c>
      <c r="C25" s="6">
        <v>-2.5000000000000001E-3</v>
      </c>
      <c r="D25" s="5" t="s">
        <v>60</v>
      </c>
      <c r="E25" s="61" t="b">
        <v>1</v>
      </c>
    </row>
    <row r="26" spans="1:5" x14ac:dyDescent="0.2">
      <c r="A26" s="48" t="s">
        <v>39</v>
      </c>
      <c r="C26" s="19"/>
      <c r="D26" s="20"/>
      <c r="E26" s="21"/>
    </row>
    <row r="27" spans="1:5" ht="101.25" customHeight="1" x14ac:dyDescent="0.2">
      <c r="A27" s="380"/>
      <c r="B27" s="380"/>
      <c r="C27" s="380"/>
      <c r="D27" s="380"/>
      <c r="E27" s="380"/>
    </row>
    <row r="28" spans="1:5" ht="78" customHeight="1" x14ac:dyDescent="0.2">
      <c r="A28" s="380"/>
      <c r="B28" s="380"/>
      <c r="C28" s="380"/>
      <c r="D28" s="380"/>
      <c r="E28" s="380"/>
    </row>
    <row r="29" spans="1:5" ht="46.5" customHeight="1" x14ac:dyDescent="0.2">
      <c r="A29" s="380"/>
      <c r="B29" s="380"/>
      <c r="C29" s="380"/>
      <c r="D29" s="380"/>
      <c r="E29" s="380"/>
    </row>
    <row r="30" spans="1:5" ht="32.25" customHeight="1" x14ac:dyDescent="0.2">
      <c r="A30" s="379"/>
      <c r="B30" s="379"/>
      <c r="C30" s="379"/>
      <c r="D30" s="379"/>
      <c r="E30" s="379"/>
    </row>
    <row r="31" spans="1:5" ht="79.5" customHeight="1" x14ac:dyDescent="0.2">
      <c r="A31" s="380"/>
      <c r="B31" s="380"/>
      <c r="C31" s="380"/>
      <c r="D31" s="380"/>
      <c r="E31" s="380"/>
    </row>
    <row r="32" spans="1:5" ht="39" customHeight="1" x14ac:dyDescent="0.2">
      <c r="A32" s="379"/>
      <c r="B32" s="380"/>
      <c r="C32" s="380"/>
      <c r="D32" s="380"/>
      <c r="E32" s="380"/>
    </row>
    <row r="33" spans="1:5" ht="38.25" customHeight="1" x14ac:dyDescent="0.2">
      <c r="A33" s="379"/>
      <c r="B33" s="380"/>
      <c r="C33" s="380"/>
      <c r="D33" s="380"/>
      <c r="E33" s="380"/>
    </row>
  </sheetData>
  <sheetProtection sheet="1" objects="1" scenarios="1"/>
  <mergeCells count="14">
    <mergeCell ref="G8:G10"/>
    <mergeCell ref="D8:D10"/>
    <mergeCell ref="B8:B10"/>
    <mergeCell ref="A33:E33"/>
    <mergeCell ref="A2:E2"/>
    <mergeCell ref="A27:E27"/>
    <mergeCell ref="A28:E28"/>
    <mergeCell ref="A32:E32"/>
    <mergeCell ref="A30:E30"/>
    <mergeCell ref="A31:E31"/>
    <mergeCell ref="A29:E29"/>
    <mergeCell ref="E8:E10"/>
    <mergeCell ref="B5:B6"/>
    <mergeCell ref="E5:E6"/>
  </mergeCells>
  <phoneticPr fontId="0" type="noConversion"/>
  <printOptions horizontalCentered="1"/>
  <pageMargins left="0.75" right="0.5" top="1" bottom="1" header="0.5" footer="0.5"/>
  <pageSetup scale="8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304800</xdr:colOff>
                    <xdr:row>2</xdr:row>
                    <xdr:rowOff>142875</xdr:rowOff>
                  </from>
                  <to>
                    <xdr:col>6</xdr:col>
                    <xdr:colOff>123825</xdr:colOff>
                    <xdr:row>4</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304800</xdr:colOff>
                    <xdr:row>4</xdr:row>
                    <xdr:rowOff>38100</xdr:rowOff>
                  </from>
                  <to>
                    <xdr:col>6</xdr:col>
                    <xdr:colOff>123825</xdr:colOff>
                    <xdr:row>5</xdr:row>
                    <xdr:rowOff>95250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304800</xdr:colOff>
                    <xdr:row>5</xdr:row>
                    <xdr:rowOff>123825</xdr:rowOff>
                  </from>
                  <to>
                    <xdr:col>6</xdr:col>
                    <xdr:colOff>123825</xdr:colOff>
                    <xdr:row>7</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304800</xdr:colOff>
                    <xdr:row>7</xdr:row>
                    <xdr:rowOff>114300</xdr:rowOff>
                  </from>
                  <to>
                    <xdr:col>5</xdr:col>
                    <xdr:colOff>0</xdr:colOff>
                    <xdr:row>9</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304800</xdr:colOff>
                    <xdr:row>9</xdr:row>
                    <xdr:rowOff>133350</xdr:rowOff>
                  </from>
                  <to>
                    <xdr:col>6</xdr:col>
                    <xdr:colOff>123825</xdr:colOff>
                    <xdr:row>11</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304800</xdr:colOff>
                    <xdr:row>10</xdr:row>
                    <xdr:rowOff>133350</xdr:rowOff>
                  </from>
                  <to>
                    <xdr:col>5</xdr:col>
                    <xdr:colOff>0</xdr:colOff>
                    <xdr:row>12</xdr:row>
                    <xdr:rowOff>28575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304800</xdr:colOff>
                    <xdr:row>11</xdr:row>
                    <xdr:rowOff>133350</xdr:rowOff>
                  </from>
                  <to>
                    <xdr:col>5</xdr:col>
                    <xdr:colOff>0</xdr:colOff>
                    <xdr:row>13</xdr:row>
                    <xdr:rowOff>28575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304800</xdr:colOff>
                    <xdr:row>12</xdr:row>
                    <xdr:rowOff>133350</xdr:rowOff>
                  </from>
                  <to>
                    <xdr:col>5</xdr:col>
                    <xdr:colOff>0</xdr:colOff>
                    <xdr:row>14</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304800</xdr:colOff>
                    <xdr:row>13</xdr:row>
                    <xdr:rowOff>133350</xdr:rowOff>
                  </from>
                  <to>
                    <xdr:col>5</xdr:col>
                    <xdr:colOff>0</xdr:colOff>
                    <xdr:row>15</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304800</xdr:colOff>
                    <xdr:row>14</xdr:row>
                    <xdr:rowOff>142875</xdr:rowOff>
                  </from>
                  <to>
                    <xdr:col>5</xdr:col>
                    <xdr:colOff>0</xdr:colOff>
                    <xdr:row>16</xdr:row>
                    <xdr:rowOff>38100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304800</xdr:colOff>
                    <xdr:row>15</xdr:row>
                    <xdr:rowOff>133350</xdr:rowOff>
                  </from>
                  <to>
                    <xdr:col>5</xdr:col>
                    <xdr:colOff>0</xdr:colOff>
                    <xdr:row>17</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304800</xdr:colOff>
                    <xdr:row>16</xdr:row>
                    <xdr:rowOff>123825</xdr:rowOff>
                  </from>
                  <to>
                    <xdr:col>5</xdr:col>
                    <xdr:colOff>0</xdr:colOff>
                    <xdr:row>18</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304800</xdr:colOff>
                    <xdr:row>17</xdr:row>
                    <xdr:rowOff>133350</xdr:rowOff>
                  </from>
                  <to>
                    <xdr:col>5</xdr:col>
                    <xdr:colOff>0</xdr:colOff>
                    <xdr:row>19</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304800</xdr:colOff>
                    <xdr:row>18</xdr:row>
                    <xdr:rowOff>133350</xdr:rowOff>
                  </from>
                  <to>
                    <xdr:col>5</xdr:col>
                    <xdr:colOff>0</xdr:colOff>
                    <xdr:row>20</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304800</xdr:colOff>
                    <xdr:row>19</xdr:row>
                    <xdr:rowOff>133350</xdr:rowOff>
                  </from>
                  <to>
                    <xdr:col>5</xdr:col>
                    <xdr:colOff>0</xdr:colOff>
                    <xdr:row>21</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304800</xdr:colOff>
                    <xdr:row>20</xdr:row>
                    <xdr:rowOff>133350</xdr:rowOff>
                  </from>
                  <to>
                    <xdr:col>5</xdr:col>
                    <xdr:colOff>0</xdr:colOff>
                    <xdr:row>22</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304800</xdr:colOff>
                    <xdr:row>21</xdr:row>
                    <xdr:rowOff>133350</xdr:rowOff>
                  </from>
                  <to>
                    <xdr:col>5</xdr:col>
                    <xdr:colOff>0</xdr:colOff>
                    <xdr:row>23</xdr:row>
                    <xdr:rowOff>28575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304800</xdr:colOff>
                    <xdr:row>22</xdr:row>
                    <xdr:rowOff>133350</xdr:rowOff>
                  </from>
                  <to>
                    <xdr:col>5</xdr:col>
                    <xdr:colOff>0</xdr:colOff>
                    <xdr:row>24</xdr:row>
                    <xdr:rowOff>28575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304800</xdr:colOff>
                    <xdr:row>23</xdr:row>
                    <xdr:rowOff>133350</xdr:rowOff>
                  </from>
                  <to>
                    <xdr:col>5</xdr:col>
                    <xdr:colOff>0</xdr:colOff>
                    <xdr:row>25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IB93"/>
  <sheetViews>
    <sheetView showGridLines="0" topLeftCell="A34" zoomScale="80" zoomScaleNormal="80" workbookViewId="0">
      <selection activeCell="P49" sqref="P49"/>
    </sheetView>
  </sheetViews>
  <sheetFormatPr defaultRowHeight="12.75" x14ac:dyDescent="0.2"/>
  <cols>
    <col min="1" max="1" width="39" customWidth="1"/>
    <col min="2" max="2" width="2.5703125" customWidth="1"/>
    <col min="3" max="3" width="13.5703125" customWidth="1"/>
    <col min="4" max="4" width="15.28515625" customWidth="1"/>
    <col min="5" max="5" width="9.7109375" customWidth="1"/>
    <col min="6" max="6" width="2.7109375" customWidth="1"/>
    <col min="7" max="8" width="13.28515625" customWidth="1"/>
    <col min="9" max="9" width="14.5703125" customWidth="1"/>
    <col min="10" max="10" width="13.28515625" customWidth="1"/>
    <col min="11" max="11" width="6.5703125" customWidth="1"/>
    <col min="12" max="12" width="15.140625" customWidth="1"/>
    <col min="13" max="13" width="17.28515625" bestFit="1" customWidth="1"/>
    <col min="14" max="14" width="17.42578125" customWidth="1"/>
    <col min="15" max="15" width="17.28515625" bestFit="1" customWidth="1"/>
    <col min="16" max="16" width="13" customWidth="1"/>
    <col min="17" max="17" width="12.85546875" bestFit="1" customWidth="1"/>
    <col min="18" max="18" width="10.5703125" hidden="1" customWidth="1"/>
    <col min="19" max="19" width="10.28515625" hidden="1" customWidth="1"/>
    <col min="20" max="23" width="10.85546875" hidden="1" customWidth="1"/>
    <col min="24" max="26" width="10.28515625" hidden="1" customWidth="1"/>
    <col min="27" max="27" width="10.5703125" hidden="1" customWidth="1"/>
    <col min="28" max="28" width="10.85546875" hidden="1" customWidth="1"/>
    <col min="29" max="30" width="10" hidden="1" customWidth="1"/>
    <col min="31" max="31" width="9.140625" customWidth="1"/>
    <col min="32" max="32" width="10.28515625" customWidth="1"/>
    <col min="33" max="33" width="10.85546875" customWidth="1"/>
    <col min="34" max="34" width="10.28515625" customWidth="1"/>
  </cols>
  <sheetData>
    <row r="1" spans="1:59" ht="20.25" x14ac:dyDescent="0.3">
      <c r="A1" s="352" t="s">
        <v>120</v>
      </c>
      <c r="B1" s="352"/>
      <c r="C1" s="352"/>
      <c r="D1" s="352"/>
      <c r="E1" s="352"/>
      <c r="F1" s="352"/>
      <c r="G1" s="352"/>
      <c r="H1" s="352"/>
      <c r="I1" s="352"/>
      <c r="J1" s="352"/>
      <c r="K1" s="352"/>
      <c r="L1" s="352"/>
      <c r="M1" s="352"/>
      <c r="N1" s="352"/>
      <c r="O1" s="352"/>
      <c r="P1" s="352"/>
      <c r="Q1" s="197"/>
    </row>
    <row r="2" spans="1:59" ht="18" customHeight="1" x14ac:dyDescent="0.2">
      <c r="A2" s="361" t="s">
        <v>116</v>
      </c>
      <c r="B2" s="361"/>
      <c r="C2" s="361"/>
      <c r="D2" s="361"/>
      <c r="E2" s="361"/>
      <c r="F2" s="361"/>
      <c r="G2" s="361"/>
      <c r="H2" s="361"/>
      <c r="I2" s="361"/>
      <c r="J2" s="361"/>
      <c r="K2" s="361"/>
      <c r="L2" s="361"/>
      <c r="M2" s="361"/>
      <c r="N2" s="361"/>
      <c r="O2" s="361"/>
      <c r="P2" s="361"/>
    </row>
    <row r="3" spans="1:59" ht="18" x14ac:dyDescent="0.25">
      <c r="A3" s="361"/>
      <c r="B3" s="361"/>
      <c r="C3" s="361"/>
      <c r="D3" s="361"/>
      <c r="E3" s="361"/>
      <c r="F3" s="361"/>
      <c r="G3" s="361"/>
      <c r="H3" s="361"/>
      <c r="I3" s="361"/>
      <c r="J3" s="361"/>
      <c r="K3" s="361"/>
      <c r="L3" s="361"/>
      <c r="M3" s="361"/>
      <c r="N3" s="361"/>
      <c r="O3" s="361"/>
      <c r="P3" s="361"/>
      <c r="Q3" s="198"/>
    </row>
    <row r="4" spans="1:59"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c r="Q4" s="199"/>
    </row>
    <row r="5" spans="1:59" ht="15" x14ac:dyDescent="0.2">
      <c r="A5" s="75"/>
      <c r="B5" s="75"/>
      <c r="C5" s="75"/>
      <c r="D5" s="75"/>
      <c r="E5" s="75"/>
      <c r="F5" s="75"/>
      <c r="G5" s="75"/>
      <c r="H5" s="75"/>
      <c r="I5" s="75"/>
      <c r="J5" s="75"/>
      <c r="K5" s="75"/>
      <c r="L5" s="75"/>
      <c r="M5" s="75"/>
      <c r="N5" s="75"/>
      <c r="O5" s="75"/>
      <c r="P5" s="75"/>
      <c r="Q5" s="75"/>
    </row>
    <row r="6" spans="1:59" x14ac:dyDescent="0.2">
      <c r="A6" s="76">
        <f ca="1">TODAY()</f>
        <v>45371</v>
      </c>
      <c r="B6" s="360" t="s">
        <v>237</v>
      </c>
      <c r="C6" s="360"/>
      <c r="D6" s="360"/>
      <c r="E6" s="360"/>
      <c r="F6" s="360"/>
      <c r="G6" s="360"/>
      <c r="H6" s="360"/>
      <c r="I6" s="360"/>
      <c r="J6" s="360"/>
      <c r="K6" s="360"/>
      <c r="L6" s="360"/>
      <c r="M6" s="360"/>
      <c r="N6" s="360"/>
      <c r="O6" s="360"/>
    </row>
    <row r="7" spans="1:59" x14ac:dyDescent="0.2">
      <c r="A7" s="351" t="s">
        <v>15</v>
      </c>
      <c r="B7" s="351"/>
      <c r="C7" s="351"/>
      <c r="D7" s="351"/>
      <c r="E7" s="351"/>
      <c r="F7" s="351"/>
      <c r="G7" s="351"/>
      <c r="H7" s="351"/>
      <c r="I7" s="351"/>
      <c r="J7" s="351"/>
      <c r="K7" s="351"/>
    </row>
    <row r="8" spans="1:59" x14ac:dyDescent="0.2">
      <c r="C8" s="18"/>
      <c r="D8" s="18"/>
      <c r="E8" s="18"/>
      <c r="F8" s="18"/>
      <c r="G8" s="18"/>
      <c r="H8" s="18"/>
      <c r="I8" s="18"/>
      <c r="J8" s="18"/>
      <c r="K8" s="18"/>
    </row>
    <row r="9" spans="1:59" ht="15" x14ac:dyDescent="0.2">
      <c r="A9" s="23" t="s">
        <v>2</v>
      </c>
      <c r="B9" s="24"/>
      <c r="C9" s="25">
        <f>'Customer Info'!B7</f>
        <v>0</v>
      </c>
      <c r="I9" s="26"/>
    </row>
    <row r="10" spans="1:59" ht="15" x14ac:dyDescent="0.2">
      <c r="A10" s="27" t="s">
        <v>26</v>
      </c>
      <c r="B10" s="24"/>
      <c r="C10" s="25">
        <f>'Customer Info'!B8</f>
        <v>0</v>
      </c>
    </row>
    <row r="11" spans="1:59" x14ac:dyDescent="0.2">
      <c r="A11" s="23" t="s">
        <v>100</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x14ac:dyDescent="0.2">
      <c r="A12" s="142"/>
      <c r="B12" s="143"/>
      <c r="C12" s="144"/>
      <c r="D12" s="144"/>
      <c r="E12" s="144"/>
      <c r="F12" s="144"/>
      <c r="G12" s="144"/>
      <c r="H12" s="144"/>
      <c r="I12" s="144"/>
      <c r="J12" s="144"/>
      <c r="K12" s="144"/>
      <c r="L12" s="144"/>
      <c r="M12" s="144"/>
      <c r="N12" s="144"/>
      <c r="O12" s="144"/>
      <c r="P12" s="14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59" ht="15" x14ac:dyDescent="0.2">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
      <c r="A14" s="78"/>
      <c r="B14" s="78"/>
      <c r="C14" s="78"/>
      <c r="D14" s="78"/>
      <c r="E14" s="78"/>
      <c r="F14" s="78"/>
      <c r="G14" s="139" t="s">
        <v>15</v>
      </c>
      <c r="H14" s="139"/>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
      <c r="A17" s="153" t="s">
        <v>52</v>
      </c>
      <c r="B17" s="78"/>
      <c r="D17" s="154">
        <f>IF('Customer Info'!B21+'Customer Info'!B22-'Customer Info'!B23&lt;0,0,'Customer Info'!B21+'Customer Info'!B22-'Customer Info'!B23)</f>
        <v>1000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
      <c r="A18" s="153"/>
      <c r="B18" s="78"/>
      <c r="C18" s="154"/>
      <c r="D18" s="153"/>
      <c r="E18" s="78"/>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x14ac:dyDescent="0.2">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31</v>
      </c>
      <c r="B23" s="78"/>
      <c r="C23" s="78"/>
      <c r="D23" s="78"/>
      <c r="E23" s="78"/>
      <c r="F23" s="78"/>
      <c r="G23" s="357" t="s">
        <v>68</v>
      </c>
      <c r="H23" s="358"/>
      <c r="I23" s="358"/>
      <c r="J23" s="359"/>
      <c r="K23" s="159"/>
      <c r="L23" s="354" t="s">
        <v>69</v>
      </c>
      <c r="M23" s="355"/>
      <c r="N23" s="355"/>
      <c r="O23" s="356"/>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x14ac:dyDescent="0.2">
      <c r="A24" s="78"/>
      <c r="B24" s="78"/>
      <c r="C24" s="78"/>
      <c r="D24" s="78"/>
      <c r="E24" s="78"/>
      <c r="F24" s="78"/>
      <c r="G24" s="115" t="s">
        <v>65</v>
      </c>
      <c r="H24" s="115" t="s">
        <v>66</v>
      </c>
      <c r="I24" s="115" t="s">
        <v>67</v>
      </c>
      <c r="J24" s="115" t="s">
        <v>34</v>
      </c>
      <c r="K24" s="78"/>
      <c r="L24" s="146" t="s">
        <v>65</v>
      </c>
      <c r="M24" s="146" t="s">
        <v>66</v>
      </c>
      <c r="N24" s="146" t="s">
        <v>67</v>
      </c>
      <c r="O24" s="146" t="s">
        <v>34</v>
      </c>
      <c r="P24" s="161" t="s">
        <v>57</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
      <c r="A26" s="78" t="s">
        <v>178</v>
      </c>
      <c r="B26" s="78"/>
      <c r="C26" s="78"/>
      <c r="D26" s="1">
        <f>MAX($D$17,0)</f>
        <v>1000</v>
      </c>
      <c r="E26" s="101" t="s">
        <v>41</v>
      </c>
      <c r="F26" s="106" t="s">
        <v>8</v>
      </c>
      <c r="G26" s="247"/>
      <c r="H26" s="163"/>
      <c r="I26" s="165">
        <v>2.6312499999999999E-2</v>
      </c>
      <c r="J26" s="103">
        <f>SUM(G26:I26)</f>
        <v>2.6312499999999999E-2</v>
      </c>
      <c r="K26" s="108" t="s">
        <v>92</v>
      </c>
      <c r="L26" s="105"/>
      <c r="M26" s="105"/>
      <c r="N26" s="105">
        <f>ROUND($D26*I26,2)</f>
        <v>26.31</v>
      </c>
      <c r="O26" s="250">
        <f>SUM(L26:N26)</f>
        <v>26.31</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x14ac:dyDescent="0.2">
      <c r="A27" s="166" t="s">
        <v>50</v>
      </c>
      <c r="B27" s="166"/>
      <c r="C27" s="166"/>
      <c r="D27" s="167"/>
      <c r="E27" s="167"/>
      <c r="F27" s="166"/>
      <c r="G27" s="167"/>
      <c r="H27" s="167"/>
      <c r="I27" s="167"/>
      <c r="J27" s="167"/>
      <c r="K27" s="168"/>
      <c r="L27" s="169"/>
      <c r="M27" s="169"/>
      <c r="N27" s="169">
        <f>SUM(N25:N26)</f>
        <v>36.31</v>
      </c>
      <c r="O27" s="169">
        <f>SUM(O25:O26)</f>
        <v>36.31</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x14ac:dyDescent="0.2">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x14ac:dyDescent="0.2">
      <c r="A29" s="148" t="s">
        <v>70</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79</v>
      </c>
      <c r="B31" s="176"/>
      <c r="C31" s="176"/>
      <c r="D31" s="100">
        <f>IF($D$17&lt;0,0,IF($D$17&gt;833000,833000,$D$17))</f>
        <v>1000</v>
      </c>
      <c r="E31" s="101" t="s">
        <v>41</v>
      </c>
      <c r="F31" s="102" t="s">
        <v>8</v>
      </c>
      <c r="G31" s="103"/>
      <c r="H31" s="103"/>
      <c r="I31" s="103">
        <f>'Rider Rates'!$B$4</f>
        <v>5.9216E-3</v>
      </c>
      <c r="J31" s="103">
        <f t="shared" ref="J31:J49" si="0">SUM(G31:I31)</f>
        <v>5.9216E-3</v>
      </c>
      <c r="K31" s="104" t="s">
        <v>42</v>
      </c>
      <c r="L31" s="105"/>
      <c r="M31" s="105"/>
      <c r="N31" s="105">
        <f t="shared" ref="N31:N37" si="1">ROUND(D31*I31,2)</f>
        <v>5.92</v>
      </c>
      <c r="O31" s="250">
        <f t="shared" ref="O31:O53" si="2">SUM(L31:N31)</f>
        <v>5.92</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99" t="s">
        <v>80</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99" t="s">
        <v>97</v>
      </c>
      <c r="B33" s="78"/>
      <c r="C33" s="78"/>
      <c r="D33" s="100">
        <f>IF($D$17&lt;0,0,IF($D$17&gt;2000,2000,$D$17))</f>
        <v>1000</v>
      </c>
      <c r="E33" s="101" t="s">
        <v>41</v>
      </c>
      <c r="F33" s="102" t="s">
        <v>8</v>
      </c>
      <c r="G33" s="103"/>
      <c r="H33" s="103"/>
      <c r="I33" s="177">
        <f>'Rider Rates'!$B$8</f>
        <v>4.6499999999999996E-3</v>
      </c>
      <c r="J33" s="177">
        <f t="shared" si="0"/>
        <v>4.6499999999999996E-3</v>
      </c>
      <c r="K33" s="104" t="s">
        <v>42</v>
      </c>
      <c r="L33" s="105"/>
      <c r="M33" s="105"/>
      <c r="N33" s="105">
        <f t="shared" si="1"/>
        <v>4.6500000000000004</v>
      </c>
      <c r="O33" s="105">
        <f t="shared" si="2"/>
        <v>4.6500000000000004</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99" t="s">
        <v>98</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99" t="s">
        <v>99</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99" t="s">
        <v>114</v>
      </c>
      <c r="B36" s="78"/>
      <c r="C36" s="78"/>
      <c r="D36" s="195">
        <f>$N$27</f>
        <v>36.31</v>
      </c>
      <c r="E36" s="101" t="s">
        <v>122</v>
      </c>
      <c r="F36" s="102" t="s">
        <v>8</v>
      </c>
      <c r="G36" s="103"/>
      <c r="H36" s="103"/>
      <c r="I36" s="178">
        <f>'Rider Rates'!$B$12</f>
        <v>0</v>
      </c>
      <c r="J36" s="178">
        <f t="shared" si="0"/>
        <v>0</v>
      </c>
      <c r="K36" s="104"/>
      <c r="L36" s="105"/>
      <c r="M36" s="105"/>
      <c r="N36" s="105">
        <f t="shared" si="1"/>
        <v>0</v>
      </c>
      <c r="O36" s="105">
        <f t="shared" si="2"/>
        <v>0</v>
      </c>
      <c r="P36" s="245">
        <f>'Rider Rates'!$D$12</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160</v>
      </c>
      <c r="B37" s="78"/>
      <c r="C37" s="78"/>
      <c r="D37" s="100">
        <f>IF($D$17&lt;0,0,$D$17)</f>
        <v>1000</v>
      </c>
      <c r="E37" s="101" t="s">
        <v>41</v>
      </c>
      <c r="F37" s="102" t="s">
        <v>8</v>
      </c>
      <c r="G37" s="103"/>
      <c r="H37" s="103"/>
      <c r="I37" s="103">
        <f>'Rider Rates'!B15</f>
        <v>0</v>
      </c>
      <c r="J37" s="103">
        <f>SUM(G37:I37)</f>
        <v>0</v>
      </c>
      <c r="K37" s="104" t="s">
        <v>42</v>
      </c>
      <c r="L37" s="105"/>
      <c r="M37" s="105"/>
      <c r="N37" s="105">
        <f t="shared" si="1"/>
        <v>0</v>
      </c>
      <c r="O37" s="105">
        <f t="shared" ref="O37:O43" si="3">SUM(L37:N37)</f>
        <v>0</v>
      </c>
      <c r="P37" s="245">
        <f>'Rider Rates'!$D$15</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41" t="s">
        <v>239</v>
      </c>
      <c r="B38" s="78"/>
      <c r="C38" s="78"/>
      <c r="D38" s="195">
        <f>$N$27</f>
        <v>36.31</v>
      </c>
      <c r="E38" s="101" t="s">
        <v>122</v>
      </c>
      <c r="F38" s="102" t="s">
        <v>8</v>
      </c>
      <c r="G38" s="103"/>
      <c r="H38" s="103"/>
      <c r="I38" s="178">
        <f>'Rider Rates'!$B$18</f>
        <v>0</v>
      </c>
      <c r="J38" s="178">
        <f>SUM(G38:I38)</f>
        <v>0</v>
      </c>
      <c r="K38" s="104"/>
      <c r="L38" s="105"/>
      <c r="M38" s="105"/>
      <c r="N38" s="105">
        <f>ROUND($D$38*'Rider Rates'!$B$18,2)+ROUND($D$38*'Rider Rates'!$E$18,2)</f>
        <v>0</v>
      </c>
      <c r="O38" s="105">
        <f t="shared" si="3"/>
        <v>0</v>
      </c>
      <c r="P38" s="245">
        <f>MAX('Rider Rates'!$D$18,'Rider Rates'!$F$18)</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10" t="s">
        <v>187</v>
      </c>
      <c r="B39" s="78"/>
      <c r="C39" s="78"/>
      <c r="D39" s="100">
        <f>'Customer Info'!$B$21+'Customer Info'!$B$22-'Customer Info'!$B$23</f>
        <v>1000</v>
      </c>
      <c r="E39" s="101" t="s">
        <v>41</v>
      </c>
      <c r="F39" s="102" t="s">
        <v>8</v>
      </c>
      <c r="G39" s="103">
        <f>'Rider Rates'!$B$21</f>
        <v>0.10589</v>
      </c>
      <c r="H39" s="103"/>
      <c r="I39" s="103"/>
      <c r="J39" s="237">
        <f>SUM(G39:H39)</f>
        <v>0.10589</v>
      </c>
      <c r="K39" s="104" t="s">
        <v>42</v>
      </c>
      <c r="L39" s="105">
        <f>ROUND(D39*G39,2)</f>
        <v>105.89</v>
      </c>
      <c r="M39" s="105"/>
      <c r="N39" s="105"/>
      <c r="O39" s="105">
        <f t="shared" si="3"/>
        <v>105.89</v>
      </c>
      <c r="P39" s="245">
        <f>'Rider Rates'!$D$21</f>
        <v>45078</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210" t="s">
        <v>162</v>
      </c>
      <c r="B40" s="78"/>
      <c r="C40" s="78"/>
      <c r="D40" s="100">
        <f>'Customer Info'!$B$21+'Customer Info'!$B$22-'Customer Info'!$B$23</f>
        <v>1000</v>
      </c>
      <c r="E40" s="101" t="s">
        <v>41</v>
      </c>
      <c r="F40" s="102" t="s">
        <v>8</v>
      </c>
      <c r="G40" s="103">
        <f>'Rider Rates'!$B$28</f>
        <v>3.8800000000000002E-3</v>
      </c>
      <c r="H40" s="103"/>
      <c r="I40" s="103"/>
      <c r="J40" s="237">
        <f>SUM(G40:H40)</f>
        <v>3.8800000000000002E-3</v>
      </c>
      <c r="K40" s="104" t="s">
        <v>42</v>
      </c>
      <c r="L40" s="239">
        <f>ROUND($D$40*$G$40,2)</f>
        <v>3.88</v>
      </c>
      <c r="M40" s="105"/>
      <c r="N40" s="105"/>
      <c r="O40" s="105">
        <f>SUM(L40:N40)</f>
        <v>3.88</v>
      </c>
      <c r="P40" s="245">
        <f>'Rider Rates'!$D$28</f>
        <v>45078</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194</v>
      </c>
      <c r="B41" s="78"/>
      <c r="C41" s="78"/>
      <c r="D41" s="100">
        <f>'Customer Info'!$B$21+'Customer Info'!$B$22-'Customer Info'!$B$23</f>
        <v>1000</v>
      </c>
      <c r="E41" s="101" t="s">
        <v>41</v>
      </c>
      <c r="F41" s="102" t="s">
        <v>8</v>
      </c>
      <c r="G41" s="103">
        <f>'Rider Rates'!$B$42</f>
        <v>-4.8640000000000001E-4</v>
      </c>
      <c r="H41" s="103"/>
      <c r="I41" s="103"/>
      <c r="J41" s="237">
        <f>SUM(G41:H41)</f>
        <v>-4.8640000000000001E-4</v>
      </c>
      <c r="K41" s="104" t="s">
        <v>42</v>
      </c>
      <c r="L41" s="105">
        <f>ROUND(D41*G41,2)</f>
        <v>-0.49</v>
      </c>
      <c r="M41" s="105"/>
      <c r="N41" s="105"/>
      <c r="O41" s="105">
        <f t="shared" si="3"/>
        <v>-0.49</v>
      </c>
      <c r="P41" s="245">
        <f>'Rider Rates'!$D$42</f>
        <v>45383</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41" t="s">
        <v>212</v>
      </c>
      <c r="B42" s="78"/>
      <c r="C42" s="78"/>
      <c r="D42" s="100"/>
      <c r="E42" s="101" t="s">
        <v>115</v>
      </c>
      <c r="F42" s="102"/>
      <c r="G42" s="103"/>
      <c r="H42" s="103"/>
      <c r="I42" s="103">
        <f>'Rider Rates'!D45</f>
        <v>1.47</v>
      </c>
      <c r="J42" s="237">
        <f>SUM(G42:I42)</f>
        <v>1.47</v>
      </c>
      <c r="K42" s="104"/>
      <c r="L42" s="105"/>
      <c r="M42" s="105"/>
      <c r="N42" s="105">
        <f>J42</f>
        <v>1.47</v>
      </c>
      <c r="O42" s="105">
        <f>SUM(L42:N42)</f>
        <v>1.47</v>
      </c>
      <c r="P42" s="245">
        <f>'Rider Rates'!E45</f>
        <v>45292</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10" t="s">
        <v>190</v>
      </c>
      <c r="B43" s="78"/>
      <c r="C43" s="78"/>
      <c r="D43" s="100">
        <f>IF($D$17&lt;0,0,$D$17)</f>
        <v>1000</v>
      </c>
      <c r="E43" s="113" t="s">
        <v>41</v>
      </c>
      <c r="F43" s="102" t="s">
        <v>8</v>
      </c>
      <c r="G43" s="103"/>
      <c r="H43" s="103">
        <f>'Rider Rates'!$B$52</f>
        <v>4.3837099999999997E-2</v>
      </c>
      <c r="I43" s="103"/>
      <c r="J43" s="103">
        <f>SUM(G43:I43)</f>
        <v>4.3837099999999997E-2</v>
      </c>
      <c r="K43" s="104" t="s">
        <v>42</v>
      </c>
      <c r="L43" s="105"/>
      <c r="M43" s="105">
        <f>ROUND(D43*H43,2)</f>
        <v>43.84</v>
      </c>
      <c r="N43" s="205"/>
      <c r="O43" s="105">
        <f t="shared" si="3"/>
        <v>43.84</v>
      </c>
      <c r="P43" s="245">
        <f>'Rider Rates'!$D$52</f>
        <v>45383</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99" t="s">
        <v>96</v>
      </c>
      <c r="B44" s="78"/>
      <c r="C44" s="78"/>
      <c r="D44" s="100">
        <f>IF('Customer Info'!C34=TRUE,0,IF($D$17&lt;0,0,$D$17))</f>
        <v>1000</v>
      </c>
      <c r="E44" s="101" t="s">
        <v>41</v>
      </c>
      <c r="F44" s="102" t="s">
        <v>8</v>
      </c>
      <c r="G44" s="103"/>
      <c r="H44" s="103"/>
      <c r="I44" s="103">
        <f>'Rider Rates'!$B$64+'Rider Rates'!$C$64</f>
        <v>0</v>
      </c>
      <c r="J44" s="103">
        <f t="shared" si="0"/>
        <v>0</v>
      </c>
      <c r="K44" s="104" t="s">
        <v>42</v>
      </c>
      <c r="L44" s="105"/>
      <c r="M44" s="105"/>
      <c r="N44" s="105">
        <f>ROUND($D$44*'Rider Rates'!$B$64,2)+ROUND($D$44*'Rider Rates'!$C$64,2)</f>
        <v>0</v>
      </c>
      <c r="O44" s="250">
        <f t="shared" si="2"/>
        <v>0</v>
      </c>
      <c r="P44" s="245">
        <f>'Rider Rates'!$D$64</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99" t="s">
        <v>81</v>
      </c>
      <c r="B45" s="78"/>
      <c r="C45" s="78"/>
      <c r="D45" s="195">
        <f>$N$27</f>
        <v>36.31</v>
      </c>
      <c r="E45" s="101" t="s">
        <v>122</v>
      </c>
      <c r="F45" s="102" t="s">
        <v>8</v>
      </c>
      <c r="G45" s="111"/>
      <c r="H45" s="112"/>
      <c r="I45" s="120">
        <f>'Rider Rates'!$B$80</f>
        <v>2.9347000000000002E-2</v>
      </c>
      <c r="J45" s="120">
        <f>SUM(G45:I45)</f>
        <v>2.9347000000000002E-2</v>
      </c>
      <c r="K45" s="104"/>
      <c r="L45" s="105"/>
      <c r="M45" s="105"/>
      <c r="N45" s="105">
        <f>ROUND(D45*I45,2)</f>
        <v>1.07</v>
      </c>
      <c r="O45" s="105">
        <f t="shared" si="2"/>
        <v>1.07</v>
      </c>
      <c r="P45" s="245">
        <f>'Rider Rates'!$D$80</f>
        <v>45383</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82</v>
      </c>
      <c r="B46" s="78"/>
      <c r="C46" s="78"/>
      <c r="D46" s="195">
        <f>$N$27</f>
        <v>36.31</v>
      </c>
      <c r="E46" s="101" t="s">
        <v>122</v>
      </c>
      <c r="F46" s="102" t="s">
        <v>8</v>
      </c>
      <c r="G46" s="114"/>
      <c r="H46" s="115"/>
      <c r="I46" s="120">
        <f>'Rider Rates'!$B$82</f>
        <v>6.6985699999999995E-2</v>
      </c>
      <c r="J46" s="120">
        <f t="shared" si="0"/>
        <v>6.6985699999999995E-2</v>
      </c>
      <c r="K46" s="104"/>
      <c r="L46" s="105"/>
      <c r="M46" s="105"/>
      <c r="N46" s="105">
        <f>ROUND(D46*I46,2)</f>
        <v>2.4300000000000002</v>
      </c>
      <c r="O46" s="105">
        <f t="shared" si="2"/>
        <v>2.4300000000000002</v>
      </c>
      <c r="P46" s="245">
        <f>'Rider Rates'!$D$82</f>
        <v>45167</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208</v>
      </c>
      <c r="B47" s="78"/>
      <c r="C47" s="78"/>
      <c r="D47" s="195"/>
      <c r="E47" s="113" t="s">
        <v>115</v>
      </c>
      <c r="F47" s="106"/>
      <c r="G47" s="114"/>
      <c r="H47" s="115"/>
      <c r="I47" s="196">
        <f>'Rider Rates'!$B$85</f>
        <v>1.95</v>
      </c>
      <c r="J47" s="196">
        <f>SUM(G47:I47)</f>
        <v>1.95</v>
      </c>
      <c r="K47" s="104"/>
      <c r="L47" s="105"/>
      <c r="M47" s="105"/>
      <c r="N47" s="105">
        <f>I47</f>
        <v>1.95</v>
      </c>
      <c r="O47" s="250">
        <f>SUM(L47:N47)</f>
        <v>1.95</v>
      </c>
      <c r="P47" s="245">
        <f>'Rider Rates'!$D$85</f>
        <v>45259</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41" t="s">
        <v>241</v>
      </c>
      <c r="B48" s="78"/>
      <c r="C48" s="78"/>
      <c r="D48" s="100">
        <f>IF($D$17&lt;0,0,$D$17)</f>
        <v>1000</v>
      </c>
      <c r="E48" s="101" t="s">
        <v>41</v>
      </c>
      <c r="F48" s="102" t="s">
        <v>8</v>
      </c>
      <c r="G48" s="103"/>
      <c r="H48" s="103"/>
      <c r="I48" s="103"/>
      <c r="J48" s="103">
        <f>'Rider Rates'!$B$89</f>
        <v>0</v>
      </c>
      <c r="K48" s="104" t="s">
        <v>42</v>
      </c>
      <c r="L48" s="105"/>
      <c r="M48" s="105"/>
      <c r="N48" s="105"/>
      <c r="O48" s="105">
        <f>ROUND($D48*('Rider Rates'!B$89),2)</f>
        <v>0</v>
      </c>
      <c r="P48" s="245">
        <f>'Rider Rates'!$D$89</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99" t="s">
        <v>157</v>
      </c>
      <c r="B49" s="78"/>
      <c r="C49" s="78"/>
      <c r="D49" s="195">
        <f>$N$27</f>
        <v>36.31</v>
      </c>
      <c r="E49" s="101" t="s">
        <v>122</v>
      </c>
      <c r="F49" s="102" t="s">
        <v>8</v>
      </c>
      <c r="G49" s="114"/>
      <c r="H49" s="115"/>
      <c r="I49" s="120">
        <f>'Rider Rates'!$B$100</f>
        <v>0.21398439999999999</v>
      </c>
      <c r="J49" s="238">
        <f t="shared" si="0"/>
        <v>0.21398439999999999</v>
      </c>
      <c r="K49" s="104"/>
      <c r="L49" s="105"/>
      <c r="M49" s="105"/>
      <c r="N49" s="105">
        <f>ROUND(D49*I49,2)</f>
        <v>7.77</v>
      </c>
      <c r="O49" s="105">
        <f t="shared" si="2"/>
        <v>7.77</v>
      </c>
      <c r="P49" s="245">
        <f>'Rider Rates'!$D$100</f>
        <v>45351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10" t="s">
        <v>211</v>
      </c>
      <c r="B50" s="78"/>
      <c r="C50" s="78"/>
      <c r="D50" s="195"/>
      <c r="E50" s="113" t="s">
        <v>115</v>
      </c>
      <c r="F50" s="106"/>
      <c r="G50" s="114"/>
      <c r="H50" s="115"/>
      <c r="I50" s="196">
        <f>'Rider Rates'!$B$103</f>
        <v>0</v>
      </c>
      <c r="J50" s="196">
        <f>SUM(G50:I50)</f>
        <v>0</v>
      </c>
      <c r="K50" s="104"/>
      <c r="L50" s="105"/>
      <c r="M50" s="105"/>
      <c r="N50" s="105">
        <f>I50</f>
        <v>0</v>
      </c>
      <c r="O50" s="105">
        <f>SUM(L50:N50)</f>
        <v>0</v>
      </c>
      <c r="P50" s="245">
        <f>'Rider Rates'!$D$103</f>
        <v>44894</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10" t="s">
        <v>219</v>
      </c>
      <c r="B51" s="78"/>
      <c r="C51" s="78"/>
      <c r="D51" s="195"/>
      <c r="E51" s="113" t="s">
        <v>115</v>
      </c>
      <c r="F51" s="106"/>
      <c r="G51" s="114"/>
      <c r="H51" s="115"/>
      <c r="I51" s="258">
        <f>'Rider Rates'!B116</f>
        <v>1.26</v>
      </c>
      <c r="J51" s="259">
        <f>SUM(G51:I51)</f>
        <v>1.26</v>
      </c>
      <c r="K51" s="104"/>
      <c r="L51" s="105"/>
      <c r="M51" s="105"/>
      <c r="N51" s="260">
        <f>I51</f>
        <v>1.26</v>
      </c>
      <c r="O51" s="105">
        <f>SUM(L51:N51)</f>
        <v>1.26</v>
      </c>
      <c r="P51" s="245">
        <f>'Rider Rates'!D116</f>
        <v>45226</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99" t="s">
        <v>158</v>
      </c>
      <c r="B52" s="78"/>
      <c r="C52" s="78"/>
      <c r="D52" s="100">
        <f>'Customer Info'!$B$21+'Customer Info'!$B$22-'Customer Info'!$B$23</f>
        <v>1000</v>
      </c>
      <c r="E52" s="101" t="s">
        <v>41</v>
      </c>
      <c r="F52" s="102" t="s">
        <v>8</v>
      </c>
      <c r="G52" s="103">
        <f>'Rider Rates'!$B$107</f>
        <v>3.8972999999999998E-3</v>
      </c>
      <c r="H52" s="103"/>
      <c r="I52" s="103"/>
      <c r="J52" s="237">
        <f>SUM(G52:H52)</f>
        <v>3.8972999999999998E-3</v>
      </c>
      <c r="K52" s="104" t="s">
        <v>42</v>
      </c>
      <c r="L52" s="105">
        <f>ROUND(D52*G52,2)</f>
        <v>3.9</v>
      </c>
      <c r="M52" s="105"/>
      <c r="N52" s="105"/>
      <c r="O52" s="105">
        <f t="shared" si="2"/>
        <v>3.9</v>
      </c>
      <c r="P52" s="245">
        <f>'Rider Rates'!$D$107</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210" t="s">
        <v>210</v>
      </c>
      <c r="B53" s="78"/>
      <c r="C53" s="78"/>
      <c r="D53" s="100">
        <f>IF($D$17&lt;1,0,$D$17)</f>
        <v>1000</v>
      </c>
      <c r="E53" s="101" t="s">
        <v>41</v>
      </c>
      <c r="F53" s="249" t="s">
        <v>8</v>
      </c>
      <c r="G53" s="103"/>
      <c r="H53" s="103"/>
      <c r="I53" s="103">
        <f>'Rider Rates'!$B$112</f>
        <v>-2.3000000000000001E-4</v>
      </c>
      <c r="J53" s="237">
        <f>SUM(G53:I53)</f>
        <v>-2.3000000000000001E-4</v>
      </c>
      <c r="K53" s="104" t="s">
        <v>42</v>
      </c>
      <c r="L53" s="105"/>
      <c r="M53" s="105"/>
      <c r="N53" s="105">
        <f>D53*J53</f>
        <v>-0.23</v>
      </c>
      <c r="O53" s="105">
        <f t="shared" si="2"/>
        <v>-0.23</v>
      </c>
      <c r="P53" s="245">
        <f>'Rider Rates'!D112</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41" t="s">
        <v>232</v>
      </c>
      <c r="B54" s="78"/>
      <c r="C54" s="78"/>
      <c r="D54" s="100"/>
      <c r="E54" s="101" t="s">
        <v>115</v>
      </c>
      <c r="F54" s="102" t="s">
        <v>8</v>
      </c>
      <c r="G54" s="263"/>
      <c r="H54" s="263"/>
      <c r="I54" s="263">
        <f>'Rider Rates'!$B$120</f>
        <v>0.1</v>
      </c>
      <c r="J54" s="263">
        <f>SUM(G54:I54)</f>
        <v>0.1</v>
      </c>
      <c r="K54" s="104"/>
      <c r="L54" s="209"/>
      <c r="M54" s="209"/>
      <c r="N54" s="209">
        <f>J54</f>
        <v>0.1</v>
      </c>
      <c r="O54" s="209">
        <f>SUM(L54:N54)</f>
        <v>0.1</v>
      </c>
      <c r="P54" s="264">
        <f>'Rider Rates'!E120</f>
        <v>44927</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244</v>
      </c>
      <c r="B55" s="78"/>
      <c r="C55" s="78"/>
      <c r="D55" s="100">
        <f>D17</f>
        <v>1000</v>
      </c>
      <c r="E55" s="101" t="s">
        <v>41</v>
      </c>
      <c r="F55" s="249" t="s">
        <v>8</v>
      </c>
      <c r="G55" s="103"/>
      <c r="H55" s="103"/>
      <c r="I55" s="103">
        <f>'Rider Rates'!B125</f>
        <v>0</v>
      </c>
      <c r="J55" s="237">
        <f>SUM(G55:I55)</f>
        <v>0</v>
      </c>
      <c r="K55" s="104" t="s">
        <v>42</v>
      </c>
      <c r="L55" s="105"/>
      <c r="M55" s="105"/>
      <c r="N55" s="105">
        <f>D55*J55</f>
        <v>0</v>
      </c>
      <c r="O55" s="105">
        <f t="shared" ref="O55" si="4">SUM(L55:N55)</f>
        <v>0</v>
      </c>
      <c r="P55" s="245">
        <f>'Rider Rates'!D125</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41" t="s">
        <v>243</v>
      </c>
      <c r="B56" s="78"/>
      <c r="C56" s="78"/>
      <c r="D56" s="100"/>
      <c r="E56" s="101" t="s">
        <v>115</v>
      </c>
      <c r="F56" s="102" t="s">
        <v>8</v>
      </c>
      <c r="G56" s="263"/>
      <c r="H56" s="263"/>
      <c r="I56" s="263">
        <f>'Rider Rates'!$B$132</f>
        <v>0</v>
      </c>
      <c r="J56" s="263">
        <f>SUM(G56:I56)</f>
        <v>0</v>
      </c>
      <c r="K56" s="104"/>
      <c r="L56" s="209"/>
      <c r="M56" s="209"/>
      <c r="N56" s="209">
        <f>J56</f>
        <v>0</v>
      </c>
      <c r="O56" s="209">
        <f>SUM(L56:N56)</f>
        <v>0</v>
      </c>
      <c r="P56" s="264">
        <f>'Rider Rates'!D132</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41" t="s">
        <v>245</v>
      </c>
      <c r="B57" s="78"/>
      <c r="C57" s="78"/>
      <c r="D57" s="100"/>
      <c r="E57" s="101"/>
      <c r="F57" s="102"/>
      <c r="G57" s="263"/>
      <c r="H57" s="263"/>
      <c r="I57" s="263"/>
      <c r="J57" s="263"/>
      <c r="K57" s="104"/>
      <c r="L57" s="209"/>
      <c r="M57" s="209"/>
      <c r="N57" s="209"/>
      <c r="O57" s="209"/>
      <c r="P57" s="2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179" t="s">
        <v>71</v>
      </c>
      <c r="B58" s="148"/>
      <c r="C58" s="148"/>
      <c r="D58" s="180"/>
      <c r="E58" s="181"/>
      <c r="F58" s="182"/>
      <c r="G58" s="182"/>
      <c r="H58" s="182"/>
      <c r="I58" s="182"/>
      <c r="J58" s="182"/>
      <c r="K58" s="183"/>
      <c r="L58" s="169">
        <f>SUM(L31:L57)</f>
        <v>113.18</v>
      </c>
      <c r="M58" s="169">
        <f t="shared" ref="M58:O58" si="5">SUM(M31:M57)</f>
        <v>43.84</v>
      </c>
      <c r="N58" s="169">
        <f t="shared" si="5"/>
        <v>26.390000000000004</v>
      </c>
      <c r="O58" s="169">
        <f t="shared" si="5"/>
        <v>183.41000000000003</v>
      </c>
      <c r="P58" s="184"/>
      <c r="Q58" s="10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78"/>
      <c r="B59" s="78"/>
      <c r="C59" s="78"/>
      <c r="D59" s="100"/>
      <c r="E59" s="113"/>
      <c r="F59" s="106"/>
      <c r="G59" s="106"/>
      <c r="H59" s="106"/>
      <c r="I59" s="106"/>
      <c r="J59" s="107"/>
      <c r="K59" s="104"/>
      <c r="L59" s="106"/>
      <c r="M59" s="106"/>
      <c r="N59" s="106"/>
      <c r="O59" s="106"/>
      <c r="P59" s="164"/>
      <c r="Q59" s="10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185" t="s">
        <v>94</v>
      </c>
      <c r="B60" s="170"/>
      <c r="C60" s="170"/>
      <c r="D60" s="170"/>
      <c r="E60" s="170"/>
      <c r="F60" s="170"/>
      <c r="G60" s="170"/>
      <c r="H60" s="170"/>
      <c r="I60" s="170"/>
      <c r="J60" s="170"/>
      <c r="K60" s="170"/>
      <c r="L60" s="186">
        <f>L27+L58</f>
        <v>113.18</v>
      </c>
      <c r="M60" s="186">
        <f>M27+M58</f>
        <v>43.84</v>
      </c>
      <c r="N60" s="186">
        <f>N27+N58</f>
        <v>62.7</v>
      </c>
      <c r="O60" s="187">
        <f>O27+O58</f>
        <v>219.72000000000003</v>
      </c>
      <c r="P60" s="187"/>
      <c r="Q60" s="10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78"/>
      <c r="B61" s="78"/>
      <c r="C61" s="78"/>
      <c r="D61" s="78"/>
      <c r="E61" s="78"/>
      <c r="F61" s="78"/>
      <c r="G61" s="78"/>
      <c r="H61" s="78"/>
      <c r="I61" s="78"/>
      <c r="J61" s="78"/>
      <c r="K61" s="78"/>
      <c r="L61" s="78"/>
      <c r="M61" s="78"/>
      <c r="N61" s="151"/>
      <c r="O61" s="151"/>
      <c r="P61" s="151"/>
      <c r="Q61" s="16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78"/>
      <c r="B62" s="78"/>
      <c r="C62" s="78"/>
      <c r="D62" s="78"/>
      <c r="E62" s="78"/>
      <c r="F62" s="78"/>
      <c r="G62" s="78"/>
      <c r="H62" s="78"/>
      <c r="I62" s="78"/>
      <c r="J62" s="78"/>
      <c r="K62" s="78"/>
      <c r="L62" s="78"/>
      <c r="M62" s="78"/>
      <c r="N62" s="151"/>
      <c r="O62" s="151"/>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x14ac:dyDescent="0.2">
      <c r="A63" s="166" t="s">
        <v>93</v>
      </c>
      <c r="B63" s="78"/>
      <c r="C63" s="78"/>
      <c r="D63" s="78"/>
      <c r="E63" s="78"/>
      <c r="F63" s="78"/>
      <c r="G63" s="78"/>
      <c r="H63" s="78"/>
      <c r="I63" s="78"/>
      <c r="J63" s="78"/>
      <c r="K63" s="78"/>
      <c r="L63" s="78"/>
      <c r="M63" s="78"/>
      <c r="N63" s="78"/>
      <c r="O63" s="109">
        <f>IF(D17&lt;0,MIN(O25,O60),O25)</f>
        <v>10</v>
      </c>
      <c r="P63" s="151"/>
      <c r="Q63" s="166"/>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x14ac:dyDescent="0.2">
      <c r="A64" s="166" t="s">
        <v>15</v>
      </c>
      <c r="B64" s="166"/>
      <c r="C64" s="166"/>
      <c r="D64" s="166"/>
      <c r="E64" s="166"/>
      <c r="F64" s="166"/>
      <c r="G64" s="166"/>
      <c r="H64" s="166"/>
      <c r="I64" s="78"/>
      <c r="J64" s="78"/>
      <c r="K64" s="78"/>
      <c r="L64" s="78"/>
      <c r="M64" s="78"/>
      <c r="N64" s="151"/>
      <c r="O64" s="151"/>
      <c r="P64" s="151"/>
      <c r="Q64" s="78"/>
      <c r="R64" s="107"/>
      <c r="S64" s="108"/>
      <c r="T64" s="109"/>
      <c r="U64" s="78"/>
      <c r="V64" s="110"/>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x14ac:dyDescent="0.2">
      <c r="A65" s="148" t="s">
        <v>117</v>
      </c>
      <c r="B65" s="151"/>
      <c r="C65" s="151"/>
      <c r="D65" s="151"/>
      <c r="E65" s="151"/>
      <c r="F65" s="151"/>
      <c r="G65" s="151"/>
      <c r="H65" s="151"/>
      <c r="I65" s="151"/>
      <c r="J65" s="151"/>
      <c r="K65" s="151"/>
      <c r="L65" s="151"/>
      <c r="M65" s="151"/>
      <c r="N65" s="151"/>
      <c r="O65" s="190">
        <f>IF($D$17&lt;0,O60,IF(O60&gt;O63,O60,O63))</f>
        <v>219.72000000000003</v>
      </c>
      <c r="P65" s="160"/>
      <c r="Q65" s="78"/>
      <c r="R65" s="107"/>
      <c r="S65" s="108"/>
      <c r="T65" s="109"/>
      <c r="U65" s="78"/>
      <c r="V65" s="110"/>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x14ac:dyDescent="0.2">
      <c r="A66" s="148"/>
      <c r="B66" s="151"/>
      <c r="C66" s="151"/>
      <c r="D66" s="151"/>
      <c r="E66" s="151"/>
      <c r="F66" s="151"/>
      <c r="G66" s="151"/>
      <c r="H66" s="151"/>
      <c r="I66" s="151"/>
      <c r="J66" s="151"/>
      <c r="K66" s="151"/>
      <c r="L66" s="151"/>
      <c r="M66" s="151"/>
      <c r="N66" s="151"/>
      <c r="O66" s="138"/>
      <c r="P66" s="160"/>
      <c r="Q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row>
    <row r="67" spans="1:236" x14ac:dyDescent="0.2">
      <c r="A67" s="148"/>
      <c r="B67" s="166"/>
      <c r="C67" s="166"/>
      <c r="D67" s="166"/>
      <c r="E67" s="166"/>
      <c r="F67" s="166"/>
      <c r="G67" s="166"/>
      <c r="H67" s="166"/>
      <c r="I67" s="166" t="s">
        <v>121</v>
      </c>
      <c r="J67" s="166"/>
      <c r="K67" s="166"/>
      <c r="L67" s="191"/>
      <c r="M67" s="191"/>
      <c r="N67" s="191"/>
      <c r="O67" s="191">
        <f>ROUND(IF($D$17&lt;1,0,O60/($D$17*100)*10000),2)</f>
        <v>21.97</v>
      </c>
      <c r="P67" s="37" t="s">
        <v>87</v>
      </c>
      <c r="Q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row>
    <row r="68" spans="1:236" x14ac:dyDescent="0.2">
      <c r="A68" s="37"/>
      <c r="B68" s="78"/>
      <c r="C68" s="78"/>
      <c r="D68" s="78"/>
      <c r="E68" s="78"/>
      <c r="F68" s="78"/>
      <c r="G68" s="78"/>
      <c r="H68" s="192"/>
      <c r="I68" s="242" t="s">
        <v>191</v>
      </c>
      <c r="J68" s="78"/>
      <c r="K68" s="78"/>
      <c r="L68" s="78"/>
      <c r="M68" s="78"/>
      <c r="N68" s="78"/>
      <c r="O68" s="243">
        <f>ROUND(IF($D$17&lt;1,0,(L60)/($D$17*100)*10000),2)</f>
        <v>11.32</v>
      </c>
      <c r="P68" s="25" t="s">
        <v>87</v>
      </c>
      <c r="Q68" s="78"/>
      <c r="AE68" s="78"/>
      <c r="AF68" s="78"/>
      <c r="AG68" s="78"/>
      <c r="AH68" s="78"/>
      <c r="AI68" s="78"/>
      <c r="AJ68" s="78"/>
      <c r="AK68" s="78"/>
      <c r="AL68" s="78"/>
      <c r="AM68" s="78"/>
      <c r="AN68" s="78"/>
      <c r="AO68" s="78"/>
      <c r="AP68" s="78"/>
      <c r="AQ68" s="78"/>
      <c r="AR68" s="78"/>
      <c r="AS68" s="78"/>
      <c r="AT68" s="78"/>
      <c r="HE68" s="78"/>
      <c r="HF68" s="78"/>
      <c r="HG68" s="78"/>
      <c r="HH68" s="78"/>
      <c r="HI68" s="78"/>
      <c r="HJ68" s="78"/>
      <c r="HK68" s="78"/>
      <c r="HL68" s="78"/>
      <c r="HM68" s="78"/>
      <c r="HN68" s="78"/>
    </row>
    <row r="69" spans="1:236" x14ac:dyDescent="0.2">
      <c r="A69" s="99"/>
      <c r="B69" s="78"/>
      <c r="C69" s="78"/>
      <c r="D69" s="100"/>
      <c r="E69" s="101"/>
      <c r="F69" s="106"/>
      <c r="G69" s="133"/>
      <c r="H69" s="56"/>
      <c r="I69" s="133"/>
      <c r="J69" s="25"/>
      <c r="K69" s="25"/>
      <c r="L69" s="134"/>
      <c r="M69" s="134"/>
      <c r="N69" s="134"/>
      <c r="O69" s="135"/>
      <c r="Q69" s="80"/>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row>
    <row r="70" spans="1:236" x14ac:dyDescent="0.2">
      <c r="A70" s="99"/>
      <c r="B70" s="78"/>
      <c r="C70" s="78"/>
      <c r="D70" s="100"/>
      <c r="E70" s="113"/>
      <c r="F70" s="106"/>
      <c r="Q70" s="80"/>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row>
    <row r="71" spans="1:236" x14ac:dyDescent="0.2">
      <c r="A71" s="78"/>
      <c r="D71" s="1"/>
      <c r="E71" s="35"/>
      <c r="F71" s="106"/>
      <c r="Q71" s="80"/>
    </row>
    <row r="72" spans="1:236" x14ac:dyDescent="0.2">
      <c r="A72" s="96"/>
      <c r="D72" s="1"/>
      <c r="E72" s="35"/>
      <c r="F72" s="4"/>
      <c r="Q72" s="36"/>
    </row>
    <row r="73" spans="1:236" x14ac:dyDescent="0.2">
      <c r="A73" s="96"/>
      <c r="D73" s="1"/>
      <c r="E73" s="35"/>
      <c r="F73" s="4"/>
      <c r="Q73" s="36"/>
    </row>
    <row r="74" spans="1:236" x14ac:dyDescent="0.2">
      <c r="A74" s="41"/>
      <c r="B74" s="77"/>
      <c r="C74" s="77"/>
      <c r="D74" s="77"/>
      <c r="E74" s="77"/>
      <c r="F74" s="77"/>
    </row>
    <row r="75" spans="1:236" x14ac:dyDescent="0.2">
      <c r="B75" s="37"/>
      <c r="C75" s="37"/>
      <c r="D75" s="37"/>
      <c r="E75" s="37"/>
      <c r="F75" s="37"/>
      <c r="P75" s="37"/>
      <c r="Q75" s="37"/>
    </row>
    <row r="76" spans="1:236" x14ac:dyDescent="0.2">
      <c r="B76" s="37"/>
      <c r="C76" s="37"/>
      <c r="D76" s="37"/>
      <c r="E76" s="37"/>
      <c r="F76" s="37"/>
      <c r="P76" s="25"/>
      <c r="Q76" s="25"/>
    </row>
    <row r="79" spans="1:236" x14ac:dyDescent="0.2">
      <c r="A79" s="350"/>
    </row>
    <row r="80" spans="1:23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sheetData>
  <sheetProtection algorithmName="SHA-512" hashValue="MeqG1P5h6gTFWmkQucUYfRlnsQgxsNExMPrp4fXvkceLMKbeLOnQhUhmmcY3XYnKyj/lWNJx1ClL6UdXGopkfA==" saltValue="eWbSARHhjMZ5tbCVN5QWHA==" spinCount="100000" sheet="1" objects="1" scenarios="1"/>
  <mergeCells count="8">
    <mergeCell ref="A79:A93"/>
    <mergeCell ref="A7:K7"/>
    <mergeCell ref="A1:P1"/>
    <mergeCell ref="A4:P4"/>
    <mergeCell ref="L23:O23"/>
    <mergeCell ref="G23:J23"/>
    <mergeCell ref="B6:O6"/>
    <mergeCell ref="A2:P3"/>
  </mergeCells>
  <phoneticPr fontId="0" type="noConversion"/>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21521" r:id="rId5" name="Button 17">
              <controlPr defaultSize="0" print="0" autoFill="0" autoPict="0" macro="[0]!Info">
                <anchor moveWithCells="1">
                  <from>
                    <xdr:col>16</xdr:col>
                    <xdr:colOff>581025</xdr:colOff>
                    <xdr:row>86</xdr:row>
                    <xdr:rowOff>57150</xdr:rowOff>
                  </from>
                  <to>
                    <xdr:col>30</xdr:col>
                    <xdr:colOff>238125</xdr:colOff>
                    <xdr:row>87</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IB67"/>
  <sheetViews>
    <sheetView showGridLines="0" topLeftCell="A8" zoomScale="80" zoomScaleNormal="80" workbookViewId="0">
      <selection activeCell="A33" sqref="A33:XFD33"/>
    </sheetView>
  </sheetViews>
  <sheetFormatPr defaultRowHeight="12.75" x14ac:dyDescent="0.2"/>
  <cols>
    <col min="1" max="1" width="39" customWidth="1"/>
    <col min="2" max="2" width="2.140625" customWidth="1"/>
    <col min="3" max="3" width="13" customWidth="1"/>
    <col min="4" max="4" width="15.28515625" customWidth="1"/>
    <col min="5" max="5" width="10.42578125" customWidth="1"/>
    <col min="6" max="6" width="5.5703125" customWidth="1"/>
    <col min="7" max="8" width="13.28515625" customWidth="1"/>
    <col min="9" max="9" width="14.5703125" customWidth="1"/>
    <col min="10" max="10" width="13.28515625" customWidth="1"/>
    <col min="11" max="11" width="5.5703125" bestFit="1" customWidth="1"/>
    <col min="12" max="12" width="15.140625" customWidth="1"/>
    <col min="13" max="13" width="17.28515625" bestFit="1" customWidth="1"/>
    <col min="14" max="14" width="17.7109375" customWidth="1"/>
    <col min="15" max="15" width="18.7109375" customWidth="1"/>
    <col min="16" max="16" width="15" customWidth="1"/>
    <col min="17" max="17" width="12.85546875" bestFit="1" customWidth="1"/>
    <col min="18" max="18" width="10.57031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c r="Q1" s="203"/>
    </row>
    <row r="2" spans="1:30" ht="20.25" x14ac:dyDescent="0.3">
      <c r="A2" s="368" t="s">
        <v>247</v>
      </c>
      <c r="B2" s="368"/>
      <c r="C2" s="368"/>
      <c r="D2" s="368"/>
      <c r="E2" s="368"/>
      <c r="F2" s="368"/>
      <c r="G2" s="368"/>
      <c r="H2" s="368"/>
      <c r="I2" s="368"/>
      <c r="J2" s="368"/>
      <c r="K2" s="368"/>
      <c r="L2" s="368"/>
      <c r="M2" s="368"/>
      <c r="N2" s="368"/>
      <c r="O2" s="368"/>
      <c r="P2" s="368"/>
      <c r="Q2" s="197"/>
    </row>
    <row r="3" spans="1:30" ht="18" x14ac:dyDescent="0.25">
      <c r="A3" s="353" t="s">
        <v>95</v>
      </c>
      <c r="B3" s="353"/>
      <c r="C3" s="353"/>
      <c r="D3" s="353"/>
      <c r="E3" s="353"/>
      <c r="F3" s="353"/>
      <c r="G3" s="353"/>
      <c r="H3" s="353"/>
      <c r="I3" s="353"/>
      <c r="J3" s="353"/>
      <c r="K3" s="353"/>
      <c r="L3" s="353"/>
      <c r="M3" s="353"/>
      <c r="N3" s="353"/>
      <c r="O3" s="353"/>
      <c r="P3" s="353"/>
      <c r="Q3" s="198"/>
    </row>
    <row r="4" spans="1:30" ht="15.75" x14ac:dyDescent="0.25">
      <c r="A4" s="353"/>
      <c r="B4" s="353"/>
      <c r="C4" s="353"/>
      <c r="D4" s="353"/>
      <c r="E4" s="353"/>
      <c r="F4" s="353"/>
      <c r="G4" s="353"/>
      <c r="H4" s="353"/>
      <c r="I4" s="353"/>
      <c r="J4" s="353"/>
      <c r="K4" s="353"/>
      <c r="L4" s="353"/>
      <c r="M4" s="353"/>
      <c r="N4" s="353"/>
      <c r="O4" s="353"/>
      <c r="P4" s="353"/>
      <c r="Q4" s="199"/>
    </row>
    <row r="5" spans="1:30" x14ac:dyDescent="0.2">
      <c r="A5" s="76">
        <f ca="1">TODAY()</f>
        <v>45371</v>
      </c>
      <c r="B5" s="360" t="s">
        <v>249</v>
      </c>
      <c r="C5" s="360"/>
      <c r="D5" s="360"/>
      <c r="E5" s="360"/>
      <c r="F5" s="360"/>
      <c r="G5" s="360"/>
      <c r="H5" s="360"/>
      <c r="I5" s="360"/>
      <c r="J5" s="360"/>
      <c r="K5" s="360"/>
      <c r="L5" s="360"/>
      <c r="M5" s="360"/>
      <c r="N5" s="360"/>
      <c r="O5" s="360"/>
    </row>
    <row r="6" spans="1:30" x14ac:dyDescent="0.2">
      <c r="A6" s="351" t="s">
        <v>15</v>
      </c>
      <c r="B6" s="351"/>
      <c r="C6" s="351"/>
      <c r="D6" s="351"/>
      <c r="E6" s="351"/>
      <c r="F6" s="351"/>
      <c r="G6" s="351"/>
      <c r="H6" s="351"/>
      <c r="I6" s="351"/>
      <c r="J6" s="351"/>
      <c r="K6" s="351"/>
    </row>
    <row r="7" spans="1:30" x14ac:dyDescent="0.2">
      <c r="C7" s="18"/>
      <c r="D7" s="18"/>
      <c r="E7" s="18"/>
      <c r="F7" s="18"/>
      <c r="G7" s="18"/>
      <c r="H7" s="18"/>
      <c r="I7" s="18"/>
      <c r="J7" s="18"/>
      <c r="K7" s="18"/>
    </row>
    <row r="8" spans="1:30" ht="15" x14ac:dyDescent="0.2">
      <c r="A8" s="23" t="s">
        <v>2</v>
      </c>
      <c r="B8" s="24"/>
      <c r="C8" s="25">
        <f>'Customer Info'!B7</f>
        <v>0</v>
      </c>
      <c r="I8" s="26"/>
    </row>
    <row r="9" spans="1:30" ht="15" x14ac:dyDescent="0.2">
      <c r="A9" s="27" t="s">
        <v>26</v>
      </c>
      <c r="B9" s="24"/>
      <c r="C9" s="25">
        <f>'Customer Info'!B8</f>
        <v>0</v>
      </c>
    </row>
    <row r="10" spans="1:30" x14ac:dyDescent="0.2">
      <c r="A10" s="23" t="s">
        <v>3</v>
      </c>
      <c r="B10" s="200">
        <f>'Customer Info'!B9</f>
        <v>4</v>
      </c>
      <c r="C10" s="194" t="str">
        <f>LOOKUP(B10,S11:AD11,S12:AD12)</f>
        <v>April</v>
      </c>
      <c r="D10" s="133">
        <f>'Customer Info'!C9</f>
        <v>2024</v>
      </c>
    </row>
    <row r="11" spans="1:30" x14ac:dyDescent="0.2">
      <c r="A11" s="366"/>
      <c r="B11" s="366"/>
      <c r="C11" s="366"/>
      <c r="D11" s="366"/>
      <c r="E11" s="366"/>
      <c r="F11" s="366"/>
      <c r="G11" s="366"/>
      <c r="H11" s="366"/>
      <c r="I11" s="366"/>
      <c r="J11" s="94"/>
      <c r="K11" s="94"/>
      <c r="L11" s="94"/>
      <c r="M11" s="94"/>
      <c r="N11" s="94"/>
      <c r="O11" s="94"/>
      <c r="P11" s="94"/>
      <c r="S11">
        <v>1</v>
      </c>
      <c r="T11">
        <v>2</v>
      </c>
      <c r="U11">
        <v>3</v>
      </c>
      <c r="V11">
        <v>4</v>
      </c>
      <c r="W11">
        <v>5</v>
      </c>
      <c r="X11">
        <v>6</v>
      </c>
      <c r="Y11">
        <v>7</v>
      </c>
      <c r="Z11">
        <v>8</v>
      </c>
      <c r="AA11">
        <v>9</v>
      </c>
      <c r="AB11">
        <v>10</v>
      </c>
      <c r="AC11">
        <v>11</v>
      </c>
      <c r="AD11">
        <v>12</v>
      </c>
    </row>
    <row r="12" spans="1:30" x14ac:dyDescent="0.2">
      <c r="A12" s="97" t="s">
        <v>27</v>
      </c>
      <c r="B12" s="18"/>
      <c r="C12" s="18"/>
      <c r="D12" s="18"/>
      <c r="E12" s="18"/>
      <c r="F12" s="18"/>
      <c r="G12" s="18"/>
      <c r="H12" s="18"/>
      <c r="I12" s="1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18"/>
      <c r="B13" s="18"/>
      <c r="C13" s="18"/>
      <c r="D13" s="18"/>
      <c r="E13" s="18"/>
      <c r="F13" s="18"/>
      <c r="G13" s="18"/>
      <c r="H13" s="18"/>
      <c r="I13" s="18"/>
      <c r="R13" s="78" t="s">
        <v>118</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
      <c r="A14" s="31" t="s">
        <v>43</v>
      </c>
      <c r="B14" s="31"/>
      <c r="C14" s="32">
        <f>IF('Customer Info'!B21+'Customer Info'!B22-'Customer Info'!B23&lt;0,0,'Customer Info'!B21+'Customer Info'!B22-'Customer Info'!B23)</f>
        <v>1000</v>
      </c>
      <c r="D14" s="31" t="s">
        <v>41</v>
      </c>
      <c r="E14" s="31"/>
      <c r="F14" s="33"/>
      <c r="G14" s="31"/>
      <c r="H14" s="31"/>
      <c r="I14" s="31"/>
      <c r="R14" s="78" t="s">
        <v>119</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
      <c r="A15" s="31" t="s">
        <v>85</v>
      </c>
      <c r="B15" s="31"/>
      <c r="C15" s="212">
        <f>MAX('Customer Info'!B18,'Customer Info'!B19)</f>
        <v>0</v>
      </c>
      <c r="D15" s="31" t="s">
        <v>45</v>
      </c>
      <c r="E15" s="31"/>
      <c r="F15" s="33"/>
      <c r="G15" s="31"/>
      <c r="H15" s="31"/>
      <c r="I15" s="31"/>
      <c r="R15" s="78" t="s">
        <v>123</v>
      </c>
      <c r="S15" s="193">
        <v>1.8274700000000001E-2</v>
      </c>
      <c r="T15" s="193">
        <v>1.8274700000000001E-2</v>
      </c>
      <c r="U15" s="193">
        <v>1.8274700000000001E-2</v>
      </c>
      <c r="V15" s="193">
        <v>1.8274700000000001E-2</v>
      </c>
      <c r="W15" s="193">
        <v>1.8274700000000001E-2</v>
      </c>
      <c r="X15" s="193">
        <v>1.8274700000000001E-2</v>
      </c>
      <c r="Y15" s="193">
        <v>1.8274700000000001E-2</v>
      </c>
      <c r="Z15" s="193">
        <v>1.8274700000000001E-2</v>
      </c>
      <c r="AA15" s="193">
        <v>1.8274700000000001E-2</v>
      </c>
      <c r="AB15" s="193">
        <v>1.8274700000000001E-2</v>
      </c>
      <c r="AC15" s="193">
        <v>1.8274700000000001E-2</v>
      </c>
      <c r="AD15" s="193">
        <v>1.8274700000000001E-2</v>
      </c>
    </row>
    <row r="16" spans="1:30" x14ac:dyDescent="0.2">
      <c r="A16" s="31"/>
      <c r="B16" s="31"/>
      <c r="C16" s="33"/>
      <c r="D16" s="33"/>
      <c r="E16" s="33"/>
      <c r="F16" s="33"/>
      <c r="G16" s="23"/>
      <c r="H16" s="31"/>
      <c r="I16" s="31"/>
      <c r="R16" t="s">
        <v>164</v>
      </c>
      <c r="S16" s="222" t="e">
        <f>'Rider Rates'!#REF!</f>
        <v>#REF!</v>
      </c>
      <c r="T16" s="222" t="e">
        <f>'Rider Rates'!#REF!</f>
        <v>#REF!</v>
      </c>
      <c r="U16" s="222" t="e">
        <f>'Rider Rates'!#REF!</f>
        <v>#REF!</v>
      </c>
      <c r="V16" s="222" t="e">
        <f>'Rider Rates'!#REF!</f>
        <v>#REF!</v>
      </c>
      <c r="W16" s="222" t="e">
        <f>'Rider Rates'!#REF!</f>
        <v>#REF!</v>
      </c>
      <c r="X16" s="222" t="e">
        <f>'Rider Rates'!#REF!</f>
        <v>#REF!</v>
      </c>
      <c r="Y16" s="222" t="e">
        <f>'Rider Rates'!#REF!</f>
        <v>#REF!</v>
      </c>
      <c r="Z16" s="222" t="e">
        <f>'Rider Rates'!#REF!</f>
        <v>#REF!</v>
      </c>
      <c r="AA16" s="222" t="e">
        <f>'Rider Rates'!#REF!</f>
        <v>#REF!</v>
      </c>
      <c r="AB16" s="222" t="e">
        <f>'Rider Rates'!#REF!</f>
        <v>#REF!</v>
      </c>
      <c r="AC16" s="222" t="e">
        <f>'Rider Rates'!#REF!</f>
        <v>#REF!</v>
      </c>
      <c r="AD16" s="222" t="e">
        <f>'Rider Rates'!#REF!</f>
        <v>#REF!</v>
      </c>
    </row>
    <row r="17" spans="1:221" x14ac:dyDescent="0.2">
      <c r="A17" s="28" t="s">
        <v>124</v>
      </c>
      <c r="B17" s="22"/>
      <c r="C17" s="22"/>
      <c r="D17" s="22"/>
      <c r="E17" s="22"/>
      <c r="F17" s="22"/>
      <c r="G17" s="362" t="s">
        <v>68</v>
      </c>
      <c r="H17" s="363"/>
      <c r="I17" s="363"/>
      <c r="J17" s="364"/>
      <c r="K17" s="22"/>
      <c r="L17" s="365" t="s">
        <v>69</v>
      </c>
      <c r="M17" s="365"/>
      <c r="N17" s="365"/>
      <c r="O17" s="365"/>
      <c r="R17" t="s">
        <v>165</v>
      </c>
      <c r="S17" s="222" t="e">
        <f>'Rider Rates'!#REF!</f>
        <v>#REF!</v>
      </c>
      <c r="T17" s="222" t="e">
        <f>'Rider Rates'!#REF!</f>
        <v>#REF!</v>
      </c>
      <c r="U17" s="222" t="e">
        <f>'Rider Rates'!#REF!</f>
        <v>#REF!</v>
      </c>
      <c r="V17" s="222" t="e">
        <f>'Rider Rates'!#REF!</f>
        <v>#REF!</v>
      </c>
      <c r="W17" s="222" t="e">
        <f>'Rider Rates'!#REF!</f>
        <v>#REF!</v>
      </c>
      <c r="X17" s="222" t="e">
        <f>'Rider Rates'!#REF!</f>
        <v>#REF!</v>
      </c>
      <c r="Y17" s="222" t="e">
        <f>'Rider Rates'!#REF!</f>
        <v>#REF!</v>
      </c>
      <c r="Z17" s="222" t="e">
        <f>'Rider Rates'!#REF!</f>
        <v>#REF!</v>
      </c>
      <c r="AA17" s="222" t="e">
        <f>'Rider Rates'!#REF!</f>
        <v>#REF!</v>
      </c>
      <c r="AB17" s="222" t="e">
        <f>'Rider Rates'!#REF!</f>
        <v>#REF!</v>
      </c>
      <c r="AC17" s="222" t="e">
        <f>'Rider Rates'!#REF!</f>
        <v>#REF!</v>
      </c>
      <c r="AD17" s="222" t="e">
        <f>'Rider Rates'!#REF!</f>
        <v>#REF!</v>
      </c>
    </row>
    <row r="18" spans="1:221" x14ac:dyDescent="0.2">
      <c r="A18" s="18"/>
      <c r="B18" s="18"/>
      <c r="C18" s="18"/>
      <c r="D18" s="18"/>
      <c r="E18" s="18"/>
      <c r="F18" s="18"/>
      <c r="G18" s="8" t="s">
        <v>65</v>
      </c>
      <c r="H18" s="8" t="s">
        <v>66</v>
      </c>
      <c r="I18" s="8" t="s">
        <v>67</v>
      </c>
      <c r="J18" s="112" t="s">
        <v>34</v>
      </c>
      <c r="K18" s="18"/>
      <c r="L18" s="131" t="s">
        <v>65</v>
      </c>
      <c r="M18" s="131" t="s">
        <v>66</v>
      </c>
      <c r="N18" s="131" t="s">
        <v>67</v>
      </c>
      <c r="O18" s="132" t="s">
        <v>34</v>
      </c>
      <c r="P18" s="43" t="s">
        <v>57</v>
      </c>
      <c r="R18" t="s">
        <v>166</v>
      </c>
      <c r="S18" s="222" t="e">
        <f>'Rider Rates'!#REF!</f>
        <v>#REF!</v>
      </c>
      <c r="T18" s="222" t="e">
        <f>'Rider Rates'!#REF!</f>
        <v>#REF!</v>
      </c>
      <c r="U18" s="222" t="e">
        <f>'Rider Rates'!#REF!</f>
        <v>#REF!</v>
      </c>
      <c r="V18" s="222" t="e">
        <f>'Rider Rates'!#REF!</f>
        <v>#REF!</v>
      </c>
      <c r="W18" s="222" t="e">
        <f>'Rider Rates'!#REF!</f>
        <v>#REF!</v>
      </c>
      <c r="X18" s="222" t="e">
        <f>'Rider Rates'!#REF!</f>
        <v>#REF!</v>
      </c>
      <c r="Y18" s="222" t="e">
        <f>'Rider Rates'!#REF!</f>
        <v>#REF!</v>
      </c>
      <c r="Z18" s="222" t="e">
        <f>'Rider Rates'!#REF!</f>
        <v>#REF!</v>
      </c>
      <c r="AA18" s="222" t="e">
        <f>'Rider Rates'!#REF!</f>
        <v>#REF!</v>
      </c>
      <c r="AB18" s="222" t="e">
        <f>'Rider Rates'!#REF!</f>
        <v>#REF!</v>
      </c>
      <c r="AC18" s="222" t="e">
        <f>'Rider Rates'!#REF!</f>
        <v>#REF!</v>
      </c>
      <c r="AD18" s="222" t="e">
        <f>'Rider Rates'!#REF!</f>
        <v>#REF!</v>
      </c>
    </row>
    <row r="19" spans="1:221" x14ac:dyDescent="0.2">
      <c r="A19" t="s">
        <v>32</v>
      </c>
      <c r="G19" s="83"/>
      <c r="H19" s="83"/>
      <c r="I19" s="125">
        <v>10</v>
      </c>
      <c r="J19" s="125">
        <f>SUM(G19:I19)</f>
        <v>10</v>
      </c>
      <c r="L19" s="125"/>
      <c r="M19" s="125"/>
      <c r="N19" s="125">
        <f>I19</f>
        <v>10</v>
      </c>
      <c r="O19" s="125">
        <f>+SUM(L19:N19)</f>
        <v>10</v>
      </c>
      <c r="P19" s="245">
        <v>44531</v>
      </c>
      <c r="R19" s="3" t="s">
        <v>192</v>
      </c>
      <c r="S19">
        <f>'Rider Rates'!$C$21</f>
        <v>0.10589</v>
      </c>
      <c r="T19">
        <f>'Rider Rates'!$C$21</f>
        <v>0.10589</v>
      </c>
      <c r="U19">
        <f>'Rider Rates'!$C$21</f>
        <v>0.10589</v>
      </c>
      <c r="V19">
        <f>'Rider Rates'!$C$21</f>
        <v>0.10589</v>
      </c>
      <c r="W19">
        <f>'Rider Rates'!$C$21</f>
        <v>0.10589</v>
      </c>
      <c r="X19">
        <f>'Rider Rates'!$B$21</f>
        <v>0.10589</v>
      </c>
      <c r="Y19">
        <f>'Rider Rates'!$B$21</f>
        <v>0.10589</v>
      </c>
      <c r="Z19">
        <f>'Rider Rates'!$B$21</f>
        <v>0.10589</v>
      </c>
      <c r="AA19">
        <f>'Rider Rates'!$B$21</f>
        <v>0.10589</v>
      </c>
      <c r="AB19">
        <f>'Rider Rates'!$C$21</f>
        <v>0.10589</v>
      </c>
      <c r="AC19">
        <f>'Rider Rates'!$C$21</f>
        <v>0.10589</v>
      </c>
      <c r="AD19">
        <f>'Rider Rates'!$C$21</f>
        <v>0.10589</v>
      </c>
    </row>
    <row r="20" spans="1:221" x14ac:dyDescent="0.2">
      <c r="A20" s="18" t="s">
        <v>248</v>
      </c>
      <c r="B20" s="18"/>
      <c r="C20" s="18"/>
      <c r="D20" s="100">
        <f>C15</f>
        <v>0</v>
      </c>
      <c r="E20" s="124" t="s">
        <v>45</v>
      </c>
      <c r="F20" s="20" t="s">
        <v>8</v>
      </c>
      <c r="G20" s="165"/>
      <c r="H20" s="83"/>
      <c r="I20" s="165">
        <v>4.2699999999999996</v>
      </c>
      <c r="J20" s="126">
        <f>SUM(G20:I20)</f>
        <v>4.2699999999999996</v>
      </c>
      <c r="K20" t="s">
        <v>42</v>
      </c>
      <c r="L20" s="125"/>
      <c r="M20" s="125"/>
      <c r="N20" s="125">
        <f>IF($C$14&lt;0,0,ROUND($D20*I20,2))</f>
        <v>0</v>
      </c>
      <c r="O20" s="125">
        <f>+SUM(L20:N20)</f>
        <v>0</v>
      </c>
      <c r="P20" s="245">
        <v>44531</v>
      </c>
      <c r="R20" s="3"/>
    </row>
    <row r="21" spans="1:221" x14ac:dyDescent="0.2">
      <c r="A21" s="96" t="s">
        <v>75</v>
      </c>
      <c r="B21" s="37"/>
      <c r="C21" s="37"/>
      <c r="D21" s="38"/>
      <c r="E21" s="38"/>
      <c r="F21" s="37"/>
      <c r="G21" s="37"/>
      <c r="I21" s="40"/>
      <c r="K21" s="39"/>
      <c r="L21" s="95"/>
      <c r="M21" s="54"/>
      <c r="N21" s="95">
        <f>SUM(N19:N20)</f>
        <v>10</v>
      </c>
      <c r="O21" s="95">
        <f>SUM(O19:O20)</f>
        <v>10</v>
      </c>
      <c r="R21" s="107"/>
      <c r="S21" s="108"/>
      <c r="T21" s="109"/>
      <c r="U21" s="78"/>
      <c r="V21" s="110"/>
      <c r="W21" s="78"/>
      <c r="X21" s="78"/>
      <c r="Y21" s="78"/>
      <c r="Z21" s="78"/>
      <c r="AA21" s="78"/>
      <c r="AB21" s="78"/>
      <c r="AC21" s="78"/>
      <c r="AD21" s="78"/>
    </row>
    <row r="22" spans="1:221" x14ac:dyDescent="0.2">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70</v>
      </c>
      <c r="B23" s="166"/>
      <c r="C23" s="166"/>
      <c r="D23" s="167"/>
      <c r="E23" s="167"/>
      <c r="F23" s="166"/>
      <c r="G23" s="167"/>
      <c r="H23" s="167"/>
      <c r="I23" s="167"/>
      <c r="J23" s="167"/>
      <c r="K23" s="167"/>
      <c r="L23" s="167"/>
      <c r="M23" s="167"/>
      <c r="N23" s="167"/>
      <c r="O23" s="167"/>
      <c r="P23" s="167"/>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
      <c r="A25" s="99" t="s">
        <v>79</v>
      </c>
      <c r="B25" s="176"/>
      <c r="C25" s="176"/>
      <c r="D25" s="100">
        <f>IF($C$14&lt;0,0,IF($C$14&gt;833000,833000,$C$14))</f>
        <v>1000</v>
      </c>
      <c r="E25" s="101" t="s">
        <v>41</v>
      </c>
      <c r="F25" s="102" t="s">
        <v>8</v>
      </c>
      <c r="G25" s="103"/>
      <c r="H25" s="103"/>
      <c r="I25" s="103">
        <f>'Rider Rates'!$B$4</f>
        <v>5.9216E-3</v>
      </c>
      <c r="J25" s="201">
        <f t="shared" ref="J25:J45" si="0">SUM(G25:I25)</f>
        <v>5.9216E-3</v>
      </c>
      <c r="K25" s="104" t="s">
        <v>42</v>
      </c>
      <c r="L25" s="105"/>
      <c r="M25" s="105"/>
      <c r="N25" s="105">
        <f t="shared" ref="N25:N30" si="1">ROUND(D25*I25,2)</f>
        <v>5.92</v>
      </c>
      <c r="O25" s="105">
        <f t="shared" ref="O25:O30" si="2">SUM(L25:N25)</f>
        <v>5.92</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99" t="s">
        <v>80</v>
      </c>
      <c r="B26" s="78"/>
      <c r="C26" s="78"/>
      <c r="D26" s="123">
        <f>IF($C$14&gt;833000,$C$14-833000,0)</f>
        <v>0</v>
      </c>
      <c r="E26" s="101" t="s">
        <v>41</v>
      </c>
      <c r="F26" s="102" t="s">
        <v>8</v>
      </c>
      <c r="G26" s="103"/>
      <c r="H26" s="103"/>
      <c r="I26" s="103">
        <f>'Rider Rates'!$B$5</f>
        <v>1.7560000000000001E-4</v>
      </c>
      <c r="J26" s="201">
        <f t="shared" si="0"/>
        <v>1.7560000000000001E-4</v>
      </c>
      <c r="K26" s="104" t="s">
        <v>42</v>
      </c>
      <c r="L26" s="105"/>
      <c r="M26" s="105"/>
      <c r="N26" s="105">
        <f t="shared" si="1"/>
        <v>0</v>
      </c>
      <c r="O26" s="105">
        <f t="shared" si="2"/>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97</v>
      </c>
      <c r="B27" s="78"/>
      <c r="C27" s="78"/>
      <c r="D27" s="100">
        <f>IF($C$14&lt;0,0,IF($C$14&gt;2000,2000,$C$14))</f>
        <v>1000</v>
      </c>
      <c r="E27" s="101" t="s">
        <v>41</v>
      </c>
      <c r="F27" s="102" t="s">
        <v>8</v>
      </c>
      <c r="G27" s="103"/>
      <c r="H27" s="103"/>
      <c r="I27" s="177">
        <f>'Rider Rates'!$B$8</f>
        <v>4.6499999999999996E-3</v>
      </c>
      <c r="J27" s="177">
        <f t="shared" si="0"/>
        <v>4.6499999999999996E-3</v>
      </c>
      <c r="K27" s="104" t="s">
        <v>42</v>
      </c>
      <c r="L27" s="105"/>
      <c r="M27" s="105"/>
      <c r="N27" s="105">
        <f t="shared" si="1"/>
        <v>4.6500000000000004</v>
      </c>
      <c r="O27" s="105">
        <f t="shared" si="2"/>
        <v>4.6500000000000004</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98</v>
      </c>
      <c r="B28" s="78"/>
      <c r="C28" s="78"/>
      <c r="D28" s="100">
        <f>IF($C$14&lt;=2000,0,IF($C$14=0,0,IF($C$14-2000&gt;13000,13000,$C$14-2000)))</f>
        <v>0</v>
      </c>
      <c r="E28" s="101" t="s">
        <v>41</v>
      </c>
      <c r="F28" s="102" t="s">
        <v>8</v>
      </c>
      <c r="G28" s="103"/>
      <c r="H28" s="103"/>
      <c r="I28" s="177">
        <f>'Rider Rates'!$B$9</f>
        <v>4.1900000000000001E-3</v>
      </c>
      <c r="J28" s="177">
        <f t="shared" si="0"/>
        <v>4.1900000000000001E-3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99</v>
      </c>
      <c r="B29" s="78"/>
      <c r="C29" s="78"/>
      <c r="D29" s="100">
        <f>IF($C$14=0,0,IF($C$14-15000&gt;=0,$C$14-15000,0))</f>
        <v>0</v>
      </c>
      <c r="E29" s="101" t="s">
        <v>41</v>
      </c>
      <c r="F29" s="102" t="s">
        <v>8</v>
      </c>
      <c r="G29" s="103"/>
      <c r="H29" s="103"/>
      <c r="I29" s="177">
        <f>'Rider Rates'!$B$10</f>
        <v>3.63E-3</v>
      </c>
      <c r="J29" s="177">
        <f t="shared" si="0"/>
        <v>3.63E-3</v>
      </c>
      <c r="K29" s="104" t="s">
        <v>42</v>
      </c>
      <c r="L29" s="105"/>
      <c r="M29" s="105"/>
      <c r="N29" s="105">
        <f t="shared" si="1"/>
        <v>0</v>
      </c>
      <c r="O29" s="105">
        <f t="shared" si="2"/>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114</v>
      </c>
      <c r="B30" s="78"/>
      <c r="C30" s="78"/>
      <c r="D30" s="290">
        <f>$N$21</f>
        <v>10</v>
      </c>
      <c r="E30" s="101" t="s">
        <v>122</v>
      </c>
      <c r="F30" s="102" t="s">
        <v>8</v>
      </c>
      <c r="G30" s="103"/>
      <c r="H30" s="103"/>
      <c r="I30" s="178">
        <f>'Rider Rates'!$B$12</f>
        <v>0</v>
      </c>
      <c r="J30" s="178">
        <f t="shared" si="0"/>
        <v>0</v>
      </c>
      <c r="K30" s="104"/>
      <c r="L30" s="105"/>
      <c r="M30" s="105"/>
      <c r="N30" s="105">
        <f t="shared" si="1"/>
        <v>0</v>
      </c>
      <c r="O30" s="105">
        <f t="shared" si="2"/>
        <v>0</v>
      </c>
      <c r="P30" s="245">
        <f>'Rider Rates'!$D$12</f>
        <v>44531</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210" t="s">
        <v>160</v>
      </c>
      <c r="B31" s="78"/>
      <c r="C31" s="78"/>
      <c r="D31" s="100">
        <f>IF($C$14&lt;0,0,$C$14)</f>
        <v>1000</v>
      </c>
      <c r="E31" s="101" t="s">
        <v>41</v>
      </c>
      <c r="F31" s="102" t="s">
        <v>8</v>
      </c>
      <c r="G31" s="103"/>
      <c r="H31" s="103"/>
      <c r="I31" s="103">
        <f>'Rider Rates'!B15</f>
        <v>0</v>
      </c>
      <c r="J31" s="103">
        <f>SUM(G31:I31)</f>
        <v>0</v>
      </c>
      <c r="K31" s="104" t="s">
        <v>42</v>
      </c>
      <c r="L31" s="105"/>
      <c r="M31" s="105"/>
      <c r="N31" s="105">
        <f>ROUND(D31*I31,2)</f>
        <v>0</v>
      </c>
      <c r="O31" s="105">
        <f t="shared" ref="O31:O37" si="3">SUM(L31:N31)</f>
        <v>0</v>
      </c>
      <c r="P31" s="245">
        <f>'Rider Rates'!$D$15</f>
        <v>45383</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41" t="s">
        <v>239</v>
      </c>
      <c r="B32" s="78"/>
      <c r="C32" s="78"/>
      <c r="D32" s="195">
        <f>$N$21</f>
        <v>10</v>
      </c>
      <c r="E32" s="101" t="s">
        <v>122</v>
      </c>
      <c r="F32" s="102" t="s">
        <v>8</v>
      </c>
      <c r="G32" s="103"/>
      <c r="H32" s="103"/>
      <c r="I32" s="178">
        <f>'Rider Rates'!$B$18</f>
        <v>0</v>
      </c>
      <c r="J32" s="178">
        <f>SUM(G32:I32)</f>
        <v>0</v>
      </c>
      <c r="K32" s="104"/>
      <c r="L32" s="105"/>
      <c r="M32" s="105"/>
      <c r="N32" s="105">
        <f>ROUND($D$32*'Rider Rates'!$B$18,2)+ROUND($D$32*'Rider Rates'!$E$18,2)</f>
        <v>0</v>
      </c>
      <c r="O32" s="105">
        <f t="shared" si="3"/>
        <v>0</v>
      </c>
      <c r="P32" s="245">
        <f>MAX('Rider Rates'!$D$18,'Rider Rates'!$F$18)</f>
        <v>44531</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193</v>
      </c>
      <c r="B33" s="78"/>
      <c r="C33" s="78"/>
      <c r="D33" s="100">
        <f>'Customer Info'!$B$21+'Customer Info'!$B$22-'Customer Info'!$B$23</f>
        <v>1000</v>
      </c>
      <c r="E33" s="101" t="s">
        <v>41</v>
      </c>
      <c r="F33" s="102" t="s">
        <v>8</v>
      </c>
      <c r="G33" s="103">
        <f>'Rider Rates'!$B$21</f>
        <v>0.10589</v>
      </c>
      <c r="H33" s="103"/>
      <c r="I33" s="103"/>
      <c r="J33" s="237">
        <f>SUM(G33:H33)</f>
        <v>0.10589</v>
      </c>
      <c r="K33" s="104" t="s">
        <v>42</v>
      </c>
      <c r="L33" s="105">
        <f>ROUND(D33*G33,2)</f>
        <v>105.89</v>
      </c>
      <c r="M33" s="105"/>
      <c r="N33" s="105"/>
      <c r="O33" s="105">
        <f t="shared" si="3"/>
        <v>105.89</v>
      </c>
      <c r="P33" s="245" t="e">
        <f>'Rider Rates'!#REF!</f>
        <v>#REF!</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99" t="s">
        <v>162</v>
      </c>
      <c r="B34" s="78"/>
      <c r="C34" s="78"/>
      <c r="D34" s="100">
        <f>'Customer Info'!$B$21+'Customer Info'!$B$22-'Customer Info'!$B$23</f>
        <v>1000</v>
      </c>
      <c r="E34" s="101" t="s">
        <v>41</v>
      </c>
      <c r="F34" s="102" t="s">
        <v>8</v>
      </c>
      <c r="G34" s="103">
        <f>'Rider Rates'!$B$28</f>
        <v>3.8800000000000002E-3</v>
      </c>
      <c r="H34" s="103"/>
      <c r="I34" s="103"/>
      <c r="J34" s="237">
        <f>SUM(G34:H34)</f>
        <v>3.8800000000000002E-3</v>
      </c>
      <c r="K34" s="104" t="s">
        <v>42</v>
      </c>
      <c r="L34" s="105">
        <f>ROUND(D34*G34,2)</f>
        <v>3.88</v>
      </c>
      <c r="M34" s="105"/>
      <c r="N34" s="105"/>
      <c r="O34" s="105">
        <f t="shared" si="3"/>
        <v>3.88</v>
      </c>
      <c r="P34" s="245" t="e">
        <f>'Rider Rates'!#REF!</f>
        <v>#REF!</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10" t="s">
        <v>194</v>
      </c>
      <c r="B35" s="78"/>
      <c r="C35" s="78"/>
      <c r="D35" s="100">
        <f>'Customer Info'!$B$21+'Customer Info'!$B$22-'Customer Info'!$B$23</f>
        <v>1000</v>
      </c>
      <c r="E35" s="101" t="s">
        <v>41</v>
      </c>
      <c r="F35" s="102" t="s">
        <v>8</v>
      </c>
      <c r="G35" s="103">
        <f>'Rider Rates'!B42</f>
        <v>-4.8640000000000001E-4</v>
      </c>
      <c r="H35" s="103"/>
      <c r="I35" s="103"/>
      <c r="J35" s="237">
        <f>SUM(G35:H35)</f>
        <v>-4.8640000000000001E-4</v>
      </c>
      <c r="K35" s="104" t="s">
        <v>42</v>
      </c>
      <c r="L35" s="105">
        <f>ROUND(D35*G35,2)</f>
        <v>-0.49</v>
      </c>
      <c r="M35" s="105"/>
      <c r="N35" s="105"/>
      <c r="O35" s="105">
        <f>SUM(L35:N35)</f>
        <v>-0.49</v>
      </c>
      <c r="P35" s="245">
        <f>'Rider Rates'!$D$42</f>
        <v>45383</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41" t="s">
        <v>212</v>
      </c>
      <c r="B36" s="78"/>
      <c r="C36" s="78"/>
      <c r="D36" s="100"/>
      <c r="E36" s="101" t="s">
        <v>115</v>
      </c>
      <c r="F36" s="102"/>
      <c r="G36" s="103"/>
      <c r="H36" s="103"/>
      <c r="I36" s="103">
        <f>'Rider Rates'!D45</f>
        <v>1.47</v>
      </c>
      <c r="J36" s="103">
        <f>SUM(G36:I36)</f>
        <v>1.47</v>
      </c>
      <c r="K36" s="104" t="s">
        <v>42</v>
      </c>
      <c r="L36" s="105"/>
      <c r="M36" s="105"/>
      <c r="N36" s="105">
        <f>J36</f>
        <v>1.47</v>
      </c>
      <c r="O36" s="105">
        <f>SUM(L36:N36)</f>
        <v>1.47</v>
      </c>
      <c r="P36" s="245">
        <f>'Rider Rates'!E45</f>
        <v>45292</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190</v>
      </c>
      <c r="B37" s="78"/>
      <c r="C37" s="78"/>
      <c r="D37" s="100">
        <f>IF($C$14&lt;0,0,$C$14)</f>
        <v>1000</v>
      </c>
      <c r="E37" s="113" t="s">
        <v>41</v>
      </c>
      <c r="F37" s="102" t="s">
        <v>8</v>
      </c>
      <c r="G37" s="103"/>
      <c r="H37" s="103">
        <f>'Rider Rates'!$B$52</f>
        <v>4.3837099999999997E-2</v>
      </c>
      <c r="I37" s="103"/>
      <c r="J37" s="103">
        <f>SUM(G37:I37)</f>
        <v>4.3837099999999997E-2</v>
      </c>
      <c r="K37" s="104" t="s">
        <v>42</v>
      </c>
      <c r="L37" s="105"/>
      <c r="M37" s="105">
        <f>ROUND(D37*H37,2)</f>
        <v>43.84</v>
      </c>
      <c r="N37" s="205"/>
      <c r="O37" s="105">
        <f t="shared" si="3"/>
        <v>43.84</v>
      </c>
      <c r="P37" s="245">
        <f>'Rider Rates'!$D$52</f>
        <v>45383</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99" t="s">
        <v>96</v>
      </c>
      <c r="B38" s="78"/>
      <c r="C38" s="78"/>
      <c r="D38" s="100">
        <f>IF('Customer Info'!C34=TRUE,0,IF($C$14&lt;0,0,$C$14))</f>
        <v>1000</v>
      </c>
      <c r="E38" s="101" t="s">
        <v>41</v>
      </c>
      <c r="F38" s="102" t="s">
        <v>8</v>
      </c>
      <c r="G38" s="103"/>
      <c r="H38" s="103"/>
      <c r="I38" s="103">
        <f>'Rider Rates'!$B$64+'Rider Rates'!$C$64</f>
        <v>0</v>
      </c>
      <c r="J38" s="103">
        <f t="shared" si="0"/>
        <v>0</v>
      </c>
      <c r="K38" s="104" t="s">
        <v>42</v>
      </c>
      <c r="L38" s="105"/>
      <c r="M38" s="105"/>
      <c r="N38" s="105">
        <f>ROUND($D$38*'Rider Rates'!$B$64,2)+ROUND($D$38*'Rider Rates'!$C$64,2)</f>
        <v>0</v>
      </c>
      <c r="O38" s="105">
        <f>SUM(L38:N38)</f>
        <v>0</v>
      </c>
      <c r="P38" s="245">
        <f>'Rider Rates'!$D$64</f>
        <v>44531</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81</v>
      </c>
      <c r="B39" s="78"/>
      <c r="C39" s="78"/>
      <c r="D39" s="195">
        <f>$N$21</f>
        <v>10</v>
      </c>
      <c r="E39" s="101" t="s">
        <v>122</v>
      </c>
      <c r="F39" s="102" t="s">
        <v>8</v>
      </c>
      <c r="G39" s="111"/>
      <c r="H39" s="112"/>
      <c r="I39" s="120">
        <f>'Rider Rates'!$B$80</f>
        <v>2.9347000000000002E-2</v>
      </c>
      <c r="J39" s="120">
        <f t="shared" si="0"/>
        <v>2.9347000000000002E-2</v>
      </c>
      <c r="K39" s="104"/>
      <c r="L39" s="105"/>
      <c r="M39" s="105"/>
      <c r="N39" s="105">
        <f>ROUND(D39*I39,2)</f>
        <v>0.28999999999999998</v>
      </c>
      <c r="O39" s="105">
        <f>SUM(L39:N39)</f>
        <v>0.28999999999999998</v>
      </c>
      <c r="P39" s="245">
        <f>'Rider Rates'!$D$80</f>
        <v>45383</v>
      </c>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82</v>
      </c>
      <c r="B40" s="78"/>
      <c r="C40" s="78"/>
      <c r="D40" s="195">
        <f>$N$21</f>
        <v>10</v>
      </c>
      <c r="E40" s="101" t="s">
        <v>122</v>
      </c>
      <c r="F40" s="102" t="s">
        <v>8</v>
      </c>
      <c r="G40" s="114"/>
      <c r="H40" s="115"/>
      <c r="I40" s="120">
        <f>'Rider Rates'!$B$82</f>
        <v>6.6985699999999995E-2</v>
      </c>
      <c r="J40" s="120">
        <f t="shared" si="0"/>
        <v>6.6985699999999995E-2</v>
      </c>
      <c r="K40" s="104"/>
      <c r="L40" s="105"/>
      <c r="M40" s="105"/>
      <c r="N40" s="105">
        <f>ROUND(D40*I40,2)</f>
        <v>0.67</v>
      </c>
      <c r="O40" s="105">
        <f>SUM(L40:N40)</f>
        <v>0.67</v>
      </c>
      <c r="P40" s="245">
        <f>'Rider Rates'!$D$82</f>
        <v>45167</v>
      </c>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208</v>
      </c>
      <c r="B41" s="78"/>
      <c r="C41" s="78"/>
      <c r="D41" s="195"/>
      <c r="E41" s="113" t="s">
        <v>115</v>
      </c>
      <c r="F41" s="106"/>
      <c r="G41" s="114"/>
      <c r="H41" s="115"/>
      <c r="I41" s="196">
        <f>'Rider Rates'!$B$85</f>
        <v>1.95</v>
      </c>
      <c r="J41" s="196">
        <f t="shared" si="0"/>
        <v>1.95</v>
      </c>
      <c r="K41" s="104"/>
      <c r="L41" s="105"/>
      <c r="M41" s="105"/>
      <c r="N41" s="105">
        <f>I41</f>
        <v>1.95</v>
      </c>
      <c r="O41" s="105">
        <f>SUM(L41:N41)</f>
        <v>1.95</v>
      </c>
      <c r="P41" s="245">
        <f>'Rider Rates'!$D$85</f>
        <v>45259</v>
      </c>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241</v>
      </c>
      <c r="B42" s="78"/>
      <c r="C42" s="78"/>
      <c r="D42" s="100">
        <f>IF($C$14&lt;0,0,$C$14)</f>
        <v>1000</v>
      </c>
      <c r="E42" s="101" t="s">
        <v>41</v>
      </c>
      <c r="F42" s="102" t="s">
        <v>8</v>
      </c>
      <c r="G42" s="103"/>
      <c r="H42" s="103"/>
      <c r="I42" s="103"/>
      <c r="J42" s="103">
        <f>'Rider Rates'!$B$89</f>
        <v>0</v>
      </c>
      <c r="K42" s="104" t="s">
        <v>42</v>
      </c>
      <c r="L42" s="105"/>
      <c r="M42" s="105"/>
      <c r="N42" s="105"/>
      <c r="O42" s="105">
        <f>ROUND($D42*('Rider Rates'!B$89),2)</f>
        <v>0</v>
      </c>
      <c r="P42" s="245">
        <f>'Rider Rates'!$D$89</f>
        <v>44531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99" t="s">
        <v>157</v>
      </c>
      <c r="B43" s="78"/>
      <c r="C43" s="78"/>
      <c r="D43" s="195">
        <f>$N$21</f>
        <v>10</v>
      </c>
      <c r="E43" s="101" t="s">
        <v>122</v>
      </c>
      <c r="F43" s="102" t="s">
        <v>8</v>
      </c>
      <c r="G43" s="114"/>
      <c r="H43" s="115"/>
      <c r="I43" s="120">
        <f>'Rider Rates'!$B$100</f>
        <v>0.21398439999999999</v>
      </c>
      <c r="J43" s="120">
        <f t="shared" si="0"/>
        <v>0.21398439999999999</v>
      </c>
      <c r="K43" s="104"/>
      <c r="L43" s="105"/>
      <c r="M43" s="105"/>
      <c r="N43" s="105">
        <f>ROUND(D43*I43,2)</f>
        <v>2.14</v>
      </c>
      <c r="O43" s="105">
        <f t="shared" ref="O43:O48" si="4">SUM(L43:N43)</f>
        <v>2.14</v>
      </c>
      <c r="P43" s="245">
        <f>'Rider Rates'!$D$100</f>
        <v>45351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211</v>
      </c>
      <c r="B44" s="78"/>
      <c r="C44" s="78"/>
      <c r="D44" s="195"/>
      <c r="E44" s="113" t="s">
        <v>115</v>
      </c>
      <c r="F44" s="106"/>
      <c r="G44" s="114"/>
      <c r="H44" s="115"/>
      <c r="I44" s="196">
        <f>'Rider Rates'!$B$103</f>
        <v>0</v>
      </c>
      <c r="J44" s="196">
        <f t="shared" si="0"/>
        <v>0</v>
      </c>
      <c r="K44" s="104"/>
      <c r="L44" s="105"/>
      <c r="M44" s="105"/>
      <c r="N44" s="105">
        <f>I44</f>
        <v>0</v>
      </c>
      <c r="O44" s="105">
        <f t="shared" si="4"/>
        <v>0</v>
      </c>
      <c r="P44" s="245">
        <f>'Rider Rates'!$D$103</f>
        <v>44894</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219</v>
      </c>
      <c r="B45" s="78"/>
      <c r="C45" s="78"/>
      <c r="D45" s="195"/>
      <c r="E45" s="113" t="s">
        <v>115</v>
      </c>
      <c r="F45" s="106"/>
      <c r="G45" s="114"/>
      <c r="H45" s="115"/>
      <c r="I45" s="258">
        <f>'Rider Rates'!B116</f>
        <v>1.26</v>
      </c>
      <c r="J45" s="196">
        <f t="shared" si="0"/>
        <v>1.26</v>
      </c>
      <c r="K45" s="104"/>
      <c r="L45" s="105"/>
      <c r="M45" s="105"/>
      <c r="N45" s="260">
        <f>I45</f>
        <v>1.26</v>
      </c>
      <c r="O45" s="105">
        <f t="shared" si="4"/>
        <v>1.26</v>
      </c>
      <c r="P45" s="245">
        <f>'Rider Rates'!D116</f>
        <v>45226</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158</v>
      </c>
      <c r="B46" s="78"/>
      <c r="C46" s="78"/>
      <c r="D46" s="100">
        <f>'Customer Info'!$B$21+'Customer Info'!$B$22-'Customer Info'!$B$23</f>
        <v>1000</v>
      </c>
      <c r="E46" s="101" t="s">
        <v>41</v>
      </c>
      <c r="F46" s="102" t="s">
        <v>8</v>
      </c>
      <c r="G46" s="103">
        <f>'Rider Rates'!$B$107</f>
        <v>3.8972999999999998E-3</v>
      </c>
      <c r="H46" s="103"/>
      <c r="I46" s="120"/>
      <c r="J46" s="237">
        <f>SUM(G46:H46)</f>
        <v>3.8972999999999998E-3</v>
      </c>
      <c r="K46" s="104" t="s">
        <v>42</v>
      </c>
      <c r="L46" s="105">
        <f>ROUND(D46*G46,2)</f>
        <v>3.9</v>
      </c>
      <c r="M46" s="105"/>
      <c r="N46" s="105"/>
      <c r="O46" s="105">
        <f t="shared" si="4"/>
        <v>3.9</v>
      </c>
      <c r="P46" s="245">
        <f>'Rider Rates'!$D$107</f>
        <v>44531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210</v>
      </c>
      <c r="B47" s="78"/>
      <c r="C47" s="78"/>
      <c r="D47" s="100">
        <f>IF($C$14&lt;1,0,$C$14)</f>
        <v>1000</v>
      </c>
      <c r="E47" s="101" t="s">
        <v>41</v>
      </c>
      <c r="F47" s="249" t="s">
        <v>8</v>
      </c>
      <c r="G47" s="103"/>
      <c r="H47" s="103"/>
      <c r="I47" s="237">
        <f>'Rider Rates'!$B$112</f>
        <v>-2.3000000000000001E-4</v>
      </c>
      <c r="J47" s="237">
        <f>SUM(G47:I47)</f>
        <v>-2.3000000000000001E-4</v>
      </c>
      <c r="K47" s="104" t="s">
        <v>42</v>
      </c>
      <c r="L47" s="105"/>
      <c r="M47" s="105"/>
      <c r="N47" s="105">
        <f>D47*J47</f>
        <v>-0.23</v>
      </c>
      <c r="O47" s="105">
        <f t="shared" si="4"/>
        <v>-0.23</v>
      </c>
      <c r="P47" s="245">
        <f>'Rider Rates'!D112</f>
        <v>44531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41" t="s">
        <v>232</v>
      </c>
      <c r="B48" s="78"/>
      <c r="C48" s="78"/>
      <c r="D48" s="100"/>
      <c r="E48" s="101" t="s">
        <v>115</v>
      </c>
      <c r="F48" s="102" t="s">
        <v>8</v>
      </c>
      <c r="G48" s="263"/>
      <c r="H48" s="263"/>
      <c r="I48" s="263">
        <f>'Rider Rates'!$B$120</f>
        <v>0.1</v>
      </c>
      <c r="J48" s="263">
        <f>SUM(G48:I48)</f>
        <v>0.1</v>
      </c>
      <c r="K48" s="104"/>
      <c r="L48" s="209"/>
      <c r="M48" s="209"/>
      <c r="N48" s="209">
        <f>J48</f>
        <v>0.1</v>
      </c>
      <c r="O48" s="209">
        <f t="shared" si="4"/>
        <v>0.1</v>
      </c>
      <c r="P48" s="264">
        <f>'Rider Rates'!$E$120</f>
        <v>44927</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241" t="s">
        <v>244</v>
      </c>
      <c r="B49" s="78"/>
      <c r="C49" s="78"/>
      <c r="D49" s="100">
        <f>C14</f>
        <v>1000</v>
      </c>
      <c r="E49" s="101" t="s">
        <v>41</v>
      </c>
      <c r="F49" s="249" t="s">
        <v>8</v>
      </c>
      <c r="G49" s="103"/>
      <c r="H49" s="103"/>
      <c r="I49" s="103">
        <f>'Rider Rates'!$B$125</f>
        <v>0</v>
      </c>
      <c r="J49" s="237">
        <f>SUM(G49:I49)</f>
        <v>0</v>
      </c>
      <c r="K49" s="104" t="s">
        <v>42</v>
      </c>
      <c r="L49" s="105"/>
      <c r="M49" s="105"/>
      <c r="N49" s="105">
        <f>D49*J49</f>
        <v>0</v>
      </c>
      <c r="O49" s="105">
        <f>SUM(L49:N49)</f>
        <v>0</v>
      </c>
      <c r="P49" s="245">
        <f>'Rider Rates'!D125</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41" t="s">
        <v>243</v>
      </c>
      <c r="B50" s="78"/>
      <c r="C50" s="78"/>
      <c r="D50" s="100"/>
      <c r="E50" s="101" t="s">
        <v>115</v>
      </c>
      <c r="F50" s="102" t="s">
        <v>8</v>
      </c>
      <c r="G50" s="263"/>
      <c r="H50" s="263"/>
      <c r="I50" s="263">
        <f>'Rider Rates'!$B$132</f>
        <v>0</v>
      </c>
      <c r="J50" s="263">
        <f>SUM(G50:I50)</f>
        <v>0</v>
      </c>
      <c r="K50" s="104"/>
      <c r="L50" s="209"/>
      <c r="M50" s="209"/>
      <c r="N50" s="209">
        <f>J50</f>
        <v>0</v>
      </c>
      <c r="O50" s="209">
        <f>SUM(L50:N50)</f>
        <v>0</v>
      </c>
      <c r="P50" s="264">
        <f>'Rider Rates'!$D$128</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241" t="s">
        <v>245</v>
      </c>
      <c r="B51" s="78"/>
      <c r="C51" s="78"/>
      <c r="D51" s="100"/>
      <c r="E51" s="101"/>
      <c r="F51" s="102"/>
      <c r="G51" s="263"/>
      <c r="H51" s="263"/>
      <c r="I51" s="263"/>
      <c r="J51" s="263"/>
      <c r="K51" s="104"/>
      <c r="L51" s="209"/>
      <c r="M51" s="209"/>
      <c r="N51" s="209"/>
      <c r="O51" s="209"/>
      <c r="P51" s="264"/>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179" t="s">
        <v>71</v>
      </c>
      <c r="B52" s="148"/>
      <c r="C52" s="148"/>
      <c r="D52" s="180"/>
      <c r="E52" s="181"/>
      <c r="F52" s="182"/>
      <c r="G52" s="182"/>
      <c r="H52" s="182"/>
      <c r="I52" s="182"/>
      <c r="J52" s="182"/>
      <c r="K52" s="183"/>
      <c r="L52" s="169">
        <f>SUM(L25:L51)</f>
        <v>113.18</v>
      </c>
      <c r="M52" s="169">
        <f t="shared" ref="M52:O52" si="5">SUM(M25:M51)</f>
        <v>43.84</v>
      </c>
      <c r="N52" s="169">
        <f t="shared" si="5"/>
        <v>18.220000000000002</v>
      </c>
      <c r="O52" s="169">
        <f t="shared" si="5"/>
        <v>175.23999999999998</v>
      </c>
      <c r="P52" s="184"/>
      <c r="Q52" s="106"/>
      <c r="R52" s="166"/>
      <c r="S52" s="166"/>
      <c r="T52" s="189"/>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78"/>
      <c r="B53" s="78"/>
      <c r="C53" s="78"/>
      <c r="D53" s="100"/>
      <c r="E53" s="113"/>
      <c r="F53" s="106"/>
      <c r="G53" s="106"/>
      <c r="H53" s="106"/>
      <c r="I53" s="106"/>
      <c r="J53" s="107"/>
      <c r="K53" s="104"/>
      <c r="L53" s="106"/>
      <c r="M53" s="106"/>
      <c r="N53" s="106"/>
      <c r="O53" s="106"/>
      <c r="P53" s="164"/>
      <c r="Q53" s="106"/>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170"/>
      <c r="B54" s="170"/>
      <c r="C54" s="170"/>
      <c r="D54" s="170"/>
      <c r="E54" s="170"/>
      <c r="F54" s="170"/>
      <c r="G54" s="170"/>
      <c r="H54" s="170"/>
      <c r="I54" s="170"/>
      <c r="J54" s="170"/>
      <c r="K54" s="170"/>
      <c r="L54" s="186">
        <f>L21+L52</f>
        <v>113.18</v>
      </c>
      <c r="M54" s="186">
        <f>M21+M52</f>
        <v>43.84</v>
      </c>
      <c r="N54" s="186">
        <f>N21+N52</f>
        <v>28.220000000000002</v>
      </c>
      <c r="O54" s="187">
        <f>O21+O52</f>
        <v>185.23999999999998</v>
      </c>
      <c r="P54" s="187"/>
      <c r="Q54" s="106"/>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78"/>
      <c r="B55" s="78"/>
      <c r="C55" s="78"/>
      <c r="D55" s="78"/>
      <c r="E55" s="78"/>
      <c r="F55" s="78"/>
      <c r="G55" s="78"/>
      <c r="H55" s="78"/>
      <c r="I55" s="78"/>
      <c r="J55" s="78"/>
      <c r="K55" s="78"/>
      <c r="L55" s="78"/>
      <c r="M55" s="78"/>
      <c r="N55" s="151"/>
      <c r="O55" s="151"/>
      <c r="P55" s="151"/>
      <c r="Q55" s="16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166" t="s">
        <v>93</v>
      </c>
      <c r="B56" s="78"/>
      <c r="C56" s="78"/>
      <c r="D56" s="78"/>
      <c r="E56" s="78"/>
      <c r="F56" s="78"/>
      <c r="G56" s="78"/>
      <c r="H56" s="78"/>
      <c r="I56" s="78"/>
      <c r="J56" s="78"/>
      <c r="K56" s="78"/>
      <c r="L56" s="78"/>
      <c r="M56" s="78"/>
      <c r="N56" s="78"/>
      <c r="O56" s="109">
        <f>IF($C$14&lt;=0,MIN(O19,O54), O19)</f>
        <v>10</v>
      </c>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78"/>
      <c r="B57" s="166"/>
      <c r="C57" s="166"/>
      <c r="D57" s="166"/>
      <c r="E57" s="166"/>
      <c r="F57" s="166"/>
      <c r="G57" s="166"/>
      <c r="H57" s="166"/>
      <c r="I57" s="78"/>
      <c r="J57" s="78"/>
      <c r="K57" s="78"/>
      <c r="L57" s="78"/>
      <c r="M57" s="78"/>
      <c r="N57" s="151"/>
      <c r="O57" s="151"/>
      <c r="P57" s="151"/>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48" t="s">
        <v>117</v>
      </c>
      <c r="B58" s="151"/>
      <c r="C58" s="151"/>
      <c r="D58" s="151"/>
      <c r="E58" s="151"/>
      <c r="F58" s="151"/>
      <c r="G58" s="151"/>
      <c r="H58" s="151"/>
      <c r="I58" s="151"/>
      <c r="J58" s="151"/>
      <c r="K58" s="151"/>
      <c r="L58" s="151"/>
      <c r="M58" s="151"/>
      <c r="N58" s="151"/>
      <c r="O58" s="190">
        <f>IF($C$14&lt;0,O54,IF(O54&gt;O56,O54,I53))</f>
        <v>185.23999999999998</v>
      </c>
      <c r="P58" s="160"/>
      <c r="Q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78"/>
      <c r="B59" s="151"/>
      <c r="C59" s="151"/>
      <c r="D59" s="151"/>
      <c r="E59" s="151"/>
      <c r="F59" s="151"/>
      <c r="G59" s="151"/>
      <c r="H59" s="151"/>
      <c r="I59" s="151"/>
      <c r="J59" s="151"/>
      <c r="K59" s="151"/>
      <c r="L59" s="151"/>
      <c r="M59" s="151"/>
      <c r="N59" s="151"/>
      <c r="O59" s="138"/>
      <c r="P59" s="160"/>
      <c r="Q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78"/>
      <c r="B60" s="166"/>
      <c r="C60" s="166"/>
      <c r="D60" s="166"/>
      <c r="E60" s="166"/>
      <c r="F60" s="166"/>
      <c r="G60" s="166"/>
      <c r="H60" s="166"/>
      <c r="I60" s="166" t="s">
        <v>121</v>
      </c>
      <c r="J60" s="166"/>
      <c r="K60" s="166"/>
      <c r="L60" s="191"/>
      <c r="M60" s="191"/>
      <c r="N60" s="191"/>
      <c r="O60" s="191">
        <f>ROUND(IF($C$14&lt;1,0,O54/($C$14*100)*10000),2)</f>
        <v>18.52</v>
      </c>
      <c r="P60" s="37" t="s">
        <v>87</v>
      </c>
      <c r="Q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row>
    <row r="61" spans="1:236" x14ac:dyDescent="0.2">
      <c r="A61" s="78"/>
      <c r="B61" s="78"/>
      <c r="C61" s="78"/>
      <c r="D61" s="78"/>
      <c r="E61" s="78"/>
      <c r="F61" s="78"/>
      <c r="G61" s="78"/>
      <c r="H61" s="192"/>
      <c r="I61" s="242" t="s">
        <v>191</v>
      </c>
      <c r="J61" s="78"/>
      <c r="K61" s="78"/>
      <c r="L61" s="78"/>
      <c r="M61" s="78"/>
      <c r="N61" s="78"/>
      <c r="O61" s="243">
        <f>ROUND(IF($C$14&lt;1,0,(L54)/($C$14*100)*10000),2)</f>
        <v>11.32</v>
      </c>
      <c r="P61" s="25" t="s">
        <v>87</v>
      </c>
      <c r="Q61" s="78"/>
      <c r="AE61" s="78"/>
      <c r="AF61" s="78"/>
      <c r="AG61" s="78"/>
      <c r="AH61" s="78"/>
      <c r="AI61" s="78"/>
      <c r="AJ61" s="78"/>
      <c r="AK61" s="78"/>
      <c r="AL61" s="78"/>
      <c r="AM61" s="78"/>
      <c r="AN61" s="78"/>
      <c r="AO61" s="78"/>
      <c r="AP61" s="78"/>
      <c r="AQ61" s="78"/>
      <c r="AR61" s="78"/>
      <c r="AS61" s="78"/>
      <c r="AT61" s="78"/>
      <c r="HE61" s="78"/>
      <c r="HF61" s="78"/>
      <c r="HG61" s="78"/>
      <c r="HH61" s="78"/>
      <c r="HI61" s="78"/>
      <c r="HJ61" s="78"/>
      <c r="HK61" s="78"/>
      <c r="HL61" s="78"/>
      <c r="HM61" s="78"/>
      <c r="HN61" s="78"/>
    </row>
    <row r="62" spans="1:236" x14ac:dyDescent="0.2">
      <c r="A62" s="78"/>
    </row>
    <row r="63" spans="1:236" x14ac:dyDescent="0.2">
      <c r="A63" s="78"/>
    </row>
    <row r="64" spans="1:236" x14ac:dyDescent="0.2">
      <c r="A64" s="78"/>
    </row>
    <row r="65" spans="1:1" x14ac:dyDescent="0.2">
      <c r="A65" s="78"/>
    </row>
    <row r="66" spans="1:1" x14ac:dyDescent="0.2">
      <c r="A66" s="78"/>
    </row>
    <row r="67" spans="1:1" x14ac:dyDescent="0.2">
      <c r="A67" s="78"/>
    </row>
  </sheetData>
  <sheetProtection algorithmName="SHA-512" hashValue="0Y7ZGDC153O9jI5viM6EB3KRkOinZd6txbHoHwurB5+OcqZaHYp3SnTlGaxT1gFiR+NT+NSOB/7TmvZzqL99eA==" saltValue="+zNlRFobQTG5PJm+ktSe2w==" spinCount="100000" sheet="1" objects="1" scenarios="1"/>
  <mergeCells count="9">
    <mergeCell ref="G17:J17"/>
    <mergeCell ref="L17:O17"/>
    <mergeCell ref="A11:I11"/>
    <mergeCell ref="A1:P1"/>
    <mergeCell ref="A2:P2"/>
    <mergeCell ref="A3:P3"/>
    <mergeCell ref="A4:P4"/>
    <mergeCell ref="B5:O5"/>
    <mergeCell ref="A6:K6"/>
  </mergeCells>
  <phoneticPr fontId="0" type="noConversion"/>
  <printOptions horizontalCentered="1"/>
  <pageMargins left="0" right="0" top="0.5" bottom="0.5" header="0.5" footer="0.5"/>
  <pageSetup scale="57"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47107" r:id="rId5" name="Button 3">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47108" r:id="rId6" name="Button 4">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IB94"/>
  <sheetViews>
    <sheetView showGridLines="0" topLeftCell="A8" zoomScale="80" zoomScaleNormal="80" workbookViewId="0">
      <selection activeCell="P26" sqref="P26"/>
    </sheetView>
  </sheetViews>
  <sheetFormatPr defaultRowHeight="12.75" x14ac:dyDescent="0.2"/>
  <cols>
    <col min="1" max="1" width="39" customWidth="1"/>
    <col min="2" max="2" width="2.5703125" customWidth="1"/>
    <col min="3" max="3" width="13.5703125" customWidth="1"/>
    <col min="4" max="4" width="15.28515625" customWidth="1"/>
    <col min="5" max="5" width="9.7109375" customWidth="1"/>
    <col min="6" max="6" width="2.7109375" customWidth="1"/>
    <col min="7" max="8" width="13.28515625" customWidth="1"/>
    <col min="9" max="9" width="14.5703125" customWidth="1"/>
    <col min="10" max="10" width="13.28515625" customWidth="1"/>
    <col min="11" max="11" width="6.5703125" customWidth="1"/>
    <col min="12" max="12" width="15.140625" customWidth="1"/>
    <col min="13" max="13" width="17.28515625" bestFit="1" customWidth="1"/>
    <col min="14" max="14" width="17.42578125" customWidth="1"/>
    <col min="15" max="15" width="17.28515625" bestFit="1" customWidth="1"/>
    <col min="16" max="16" width="13" customWidth="1"/>
    <col min="17" max="17" width="12.85546875" bestFit="1" customWidth="1"/>
    <col min="18" max="18" width="10.5703125" hidden="1" customWidth="1"/>
    <col min="19" max="19" width="10.28515625" hidden="1" customWidth="1"/>
    <col min="20" max="23" width="10.85546875" hidden="1" customWidth="1"/>
    <col min="24" max="26" width="10.28515625" hidden="1" customWidth="1"/>
    <col min="27" max="27" width="10.5703125" hidden="1" customWidth="1"/>
    <col min="28" max="28" width="10.85546875" hidden="1" customWidth="1"/>
    <col min="29" max="30" width="10" hidden="1" customWidth="1"/>
    <col min="31" max="31" width="9.140625" customWidth="1"/>
    <col min="32" max="32" width="10.28515625" customWidth="1"/>
    <col min="33" max="33" width="10.85546875" customWidth="1"/>
    <col min="34" max="34" width="10.28515625" customWidth="1"/>
  </cols>
  <sheetData>
    <row r="1" spans="1:59" ht="20.25" x14ac:dyDescent="0.3">
      <c r="A1" s="352" t="s">
        <v>120</v>
      </c>
      <c r="B1" s="352"/>
      <c r="C1" s="352"/>
      <c r="D1" s="352"/>
      <c r="E1" s="352"/>
      <c r="F1" s="352"/>
      <c r="G1" s="352"/>
      <c r="H1" s="352"/>
      <c r="I1" s="352"/>
      <c r="J1" s="352"/>
      <c r="K1" s="352"/>
      <c r="L1" s="352"/>
      <c r="M1" s="352"/>
      <c r="N1" s="352"/>
      <c r="O1" s="352"/>
      <c r="P1" s="352"/>
      <c r="Q1" s="197"/>
    </row>
    <row r="2" spans="1:59" ht="20.25" x14ac:dyDescent="0.3">
      <c r="A2" s="352" t="s">
        <v>280</v>
      </c>
      <c r="B2" s="352"/>
      <c r="C2" s="352"/>
      <c r="D2" s="352"/>
      <c r="E2" s="352"/>
      <c r="F2" s="352"/>
      <c r="G2" s="352"/>
      <c r="H2" s="352"/>
      <c r="I2" s="352"/>
      <c r="J2" s="352"/>
      <c r="K2" s="352"/>
      <c r="L2" s="352"/>
      <c r="M2" s="352"/>
      <c r="N2" s="352"/>
      <c r="O2" s="352"/>
      <c r="P2" s="352"/>
    </row>
    <row r="3" spans="1:59" ht="18" x14ac:dyDescent="0.25">
      <c r="A3" s="368" t="s">
        <v>116</v>
      </c>
      <c r="B3" s="368"/>
      <c r="C3" s="368"/>
      <c r="D3" s="368"/>
      <c r="E3" s="368"/>
      <c r="F3" s="368"/>
      <c r="G3" s="368"/>
      <c r="H3" s="368"/>
      <c r="I3" s="368"/>
      <c r="J3" s="368"/>
      <c r="K3" s="368"/>
      <c r="L3" s="368"/>
      <c r="M3" s="368"/>
      <c r="N3" s="368"/>
      <c r="O3" s="368"/>
      <c r="P3" s="368"/>
      <c r="Q3" s="198"/>
    </row>
    <row r="4" spans="1:59"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c r="Q4" s="199"/>
    </row>
    <row r="5" spans="1:59" ht="15" x14ac:dyDescent="0.2">
      <c r="A5" s="75"/>
      <c r="B5" s="75"/>
      <c r="C5" s="75"/>
      <c r="D5" s="75"/>
      <c r="E5" s="75"/>
      <c r="F5" s="75"/>
      <c r="G5" s="75"/>
      <c r="H5" s="75"/>
      <c r="I5" s="75"/>
      <c r="J5" s="75"/>
      <c r="K5" s="75"/>
      <c r="L5" s="75"/>
      <c r="M5" s="75"/>
      <c r="N5" s="75"/>
      <c r="O5" s="75"/>
      <c r="P5" s="75"/>
      <c r="Q5" s="75"/>
    </row>
    <row r="6" spans="1:59" x14ac:dyDescent="0.2">
      <c r="A6" s="76">
        <f ca="1">TODAY()</f>
        <v>45371</v>
      </c>
      <c r="B6" s="360" t="s">
        <v>222</v>
      </c>
      <c r="C6" s="360"/>
      <c r="D6" s="360"/>
      <c r="E6" s="360"/>
      <c r="F6" s="360"/>
      <c r="G6" s="360"/>
      <c r="H6" s="360"/>
      <c r="I6" s="360"/>
      <c r="J6" s="360"/>
      <c r="K6" s="360"/>
      <c r="L6" s="360"/>
      <c r="M6" s="360"/>
      <c r="N6" s="360"/>
      <c r="O6" s="360"/>
    </row>
    <row r="7" spans="1:59" x14ac:dyDescent="0.2">
      <c r="A7" s="351" t="s">
        <v>15</v>
      </c>
      <c r="B7" s="351"/>
      <c r="C7" s="351"/>
      <c r="D7" s="351"/>
      <c r="E7" s="351"/>
      <c r="F7" s="351"/>
      <c r="G7" s="351"/>
      <c r="H7" s="351"/>
      <c r="I7" s="351"/>
      <c r="J7" s="351"/>
      <c r="K7" s="351"/>
    </row>
    <row r="8" spans="1:59" x14ac:dyDescent="0.2">
      <c r="C8" s="18"/>
      <c r="D8" s="18"/>
      <c r="E8" s="18"/>
      <c r="F8" s="18"/>
      <c r="G8" s="18"/>
      <c r="H8" s="18"/>
      <c r="I8" s="18"/>
      <c r="J8" s="18"/>
      <c r="K8" s="18"/>
    </row>
    <row r="9" spans="1:59" ht="15" x14ac:dyDescent="0.2">
      <c r="A9" s="23" t="s">
        <v>2</v>
      </c>
      <c r="B9" s="24"/>
      <c r="C9" s="25">
        <f>'Customer Info'!B7</f>
        <v>0</v>
      </c>
      <c r="I9" s="26"/>
    </row>
    <row r="10" spans="1:59" ht="15" x14ac:dyDescent="0.2">
      <c r="A10" s="27" t="s">
        <v>26</v>
      </c>
      <c r="B10" s="24"/>
      <c r="C10" s="25">
        <f>'Customer Info'!B8</f>
        <v>0</v>
      </c>
    </row>
    <row r="11" spans="1:59" x14ac:dyDescent="0.2">
      <c r="A11" s="23" t="s">
        <v>100</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x14ac:dyDescent="0.2">
      <c r="A12" s="142"/>
      <c r="B12" s="143"/>
      <c r="C12" s="144"/>
      <c r="D12" s="144"/>
      <c r="E12" s="144"/>
      <c r="F12" s="144"/>
      <c r="G12" s="144"/>
      <c r="H12" s="144"/>
      <c r="I12" s="144"/>
      <c r="J12" s="144"/>
      <c r="K12" s="144"/>
      <c r="L12" s="144"/>
      <c r="M12" s="144"/>
      <c r="N12" s="144"/>
      <c r="O12" s="144"/>
      <c r="P12" s="14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59" ht="15" x14ac:dyDescent="0.2">
      <c r="A13" s="148" t="s">
        <v>27</v>
      </c>
      <c r="B13" s="149"/>
      <c r="C13" s="150"/>
      <c r="D13" s="78"/>
      <c r="E13" s="78"/>
      <c r="F13" s="78"/>
      <c r="G13" s="78"/>
      <c r="H13" s="78"/>
      <c r="I13" s="78"/>
      <c r="J13" s="151"/>
      <c r="K13" s="151"/>
      <c r="L13" s="151"/>
      <c r="M13" s="151"/>
      <c r="N13" s="151"/>
      <c r="O13" s="151"/>
      <c r="P13" s="151"/>
      <c r="R13" s="78" t="s">
        <v>176</v>
      </c>
      <c r="S13" s="246" t="e">
        <f>'Rider Rates'!#REF!</f>
        <v>#REF!</v>
      </c>
      <c r="T13" s="246" t="e">
        <f>'Rider Rates'!#REF!</f>
        <v>#REF!</v>
      </c>
      <c r="U13" s="246" t="e">
        <f>'Rider Rates'!#REF!</f>
        <v>#REF!</v>
      </c>
      <c r="V13" s="246" t="e">
        <f>'Rider Rates'!#REF!</f>
        <v>#REF!</v>
      </c>
      <c r="W13" s="246" t="e">
        <f>'Rider Rates'!#REF!</f>
        <v>#REF!</v>
      </c>
      <c r="X13" s="246" t="e">
        <f>'Rider Rates'!#REF!</f>
        <v>#REF!</v>
      </c>
      <c r="Y13" s="246" t="e">
        <f>'Rider Rates'!#REF!</f>
        <v>#REF!</v>
      </c>
      <c r="Z13" s="246" t="e">
        <f>'Rider Rates'!#REF!</f>
        <v>#REF!</v>
      </c>
      <c r="AA13" s="246" t="e">
        <f>'Rider Rates'!#REF!</f>
        <v>#REF!</v>
      </c>
      <c r="AB13" s="246" t="e">
        <f>'Rider Rates'!#REF!</f>
        <v>#REF!</v>
      </c>
      <c r="AC13" s="246" t="e">
        <f>'Rider Rates'!#REF!</f>
        <v>#REF!</v>
      </c>
      <c r="AD13" s="246" t="e">
        <f>'Rider Rates'!#REF!</f>
        <v>#REF!</v>
      </c>
      <c r="AE13" s="78"/>
    </row>
    <row r="14" spans="1:59" x14ac:dyDescent="0.2">
      <c r="A14" s="78"/>
      <c r="B14" s="78"/>
      <c r="C14" s="78"/>
      <c r="D14" s="78"/>
      <c r="E14" s="78"/>
      <c r="F14" s="78"/>
      <c r="G14" s="139" t="s">
        <v>15</v>
      </c>
      <c r="H14" s="139"/>
      <c r="I14" s="152" t="s">
        <v>15</v>
      </c>
      <c r="J14" s="151"/>
      <c r="K14" s="151"/>
      <c r="L14" s="151"/>
      <c r="M14" s="151"/>
      <c r="N14" s="151"/>
      <c r="O14" s="151"/>
      <c r="P14" s="151"/>
      <c r="Q14" s="78"/>
      <c r="R14" s="78" t="s">
        <v>177</v>
      </c>
      <c r="S14" s="246" t="e">
        <f>'Rider Rates'!#REF!</f>
        <v>#REF!</v>
      </c>
      <c r="T14" s="246" t="e">
        <f>'Rider Rates'!#REF!</f>
        <v>#REF!</v>
      </c>
      <c r="U14" s="246" t="e">
        <f>'Rider Rates'!#REF!</f>
        <v>#REF!</v>
      </c>
      <c r="V14" s="246" t="e">
        <f>'Rider Rates'!#REF!</f>
        <v>#REF!</v>
      </c>
      <c r="W14" s="246" t="e">
        <f>'Rider Rates'!#REF!</f>
        <v>#REF!</v>
      </c>
      <c r="X14" s="246" t="e">
        <f>'Rider Rates'!#REF!</f>
        <v>#REF!</v>
      </c>
      <c r="Y14" s="246" t="e">
        <f>'Rider Rates'!#REF!</f>
        <v>#REF!</v>
      </c>
      <c r="Z14" s="246" t="e">
        <f>'Rider Rates'!#REF!</f>
        <v>#REF!</v>
      </c>
      <c r="AA14" s="246" t="e">
        <f>'Rider Rates'!#REF!</f>
        <v>#REF!</v>
      </c>
      <c r="AB14" s="246" t="e">
        <f>'Rider Rates'!#REF!</f>
        <v>#REF!</v>
      </c>
      <c r="AC14" s="246" t="e">
        <f>'Rider Rates'!#REF!</f>
        <v>#REF!</v>
      </c>
      <c r="AD14" s="246" t="e">
        <f>'Rider Rates'!#REF!</f>
        <v>#REF!</v>
      </c>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
      <c r="A15" s="78"/>
      <c r="B15" s="78"/>
      <c r="C15" s="78"/>
      <c r="D15" s="78"/>
      <c r="E15" s="78"/>
      <c r="F15" s="78"/>
      <c r="G15" s="78"/>
      <c r="H15" s="78"/>
      <c r="I15" s="78"/>
      <c r="J15" s="151"/>
      <c r="K15" s="151"/>
      <c r="L15" s="151"/>
      <c r="M15" s="151"/>
      <c r="N15" s="151"/>
      <c r="O15" s="151"/>
      <c r="P15" s="151"/>
      <c r="Q15" s="78"/>
      <c r="R15" s="210" t="s">
        <v>188</v>
      </c>
      <c r="S15" s="78">
        <f>'Rider Rates'!$C$21</f>
        <v>0.10589</v>
      </c>
      <c r="T15" s="78">
        <f>'Rider Rates'!$C$21</f>
        <v>0.10589</v>
      </c>
      <c r="U15" s="78">
        <f>'Rider Rates'!$C$21</f>
        <v>0.10589</v>
      </c>
      <c r="V15" s="78">
        <f>'Rider Rates'!$C$21</f>
        <v>0.10589</v>
      </c>
      <c r="W15" s="78">
        <f>'Rider Rates'!$C$21</f>
        <v>0.10589</v>
      </c>
      <c r="X15" s="78">
        <f>'Rider Rates'!$B$21</f>
        <v>0.10589</v>
      </c>
      <c r="Y15" s="78">
        <f>'Rider Rates'!$B$21</f>
        <v>0.10589</v>
      </c>
      <c r="Z15" s="78">
        <f>'Rider Rates'!$B$21</f>
        <v>0.10589</v>
      </c>
      <c r="AA15" s="78">
        <f>'Rider Rates'!$B$21</f>
        <v>0.10589</v>
      </c>
      <c r="AB15" s="78">
        <f>'Rider Rates'!$C$21</f>
        <v>0.10589</v>
      </c>
      <c r="AC15" s="78">
        <f>'Rider Rates'!$C$21</f>
        <v>0.10589</v>
      </c>
      <c r="AD15" s="78">
        <f>'Rider Rates'!$C$21</f>
        <v>0.10589</v>
      </c>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
      <c r="A17" s="153" t="s">
        <v>52</v>
      </c>
      <c r="B17" s="78"/>
      <c r="D17" s="154">
        <f>IF('Customer Info'!B21+'Customer Info'!B22-'Customer Info'!B23&lt;0,0,'Customer Info'!B21+'Customer Info'!B22-'Customer Info'!B23)</f>
        <v>1000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
      <c r="A18" s="153" t="s">
        <v>223</v>
      </c>
      <c r="B18" s="78"/>
      <c r="C18" s="154"/>
      <c r="D18" s="261">
        <f>'Customer Info'!B21</f>
        <v>1000</v>
      </c>
      <c r="E18" s="78" t="s">
        <v>41</v>
      </c>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
      <c r="A19" s="153" t="s">
        <v>224</v>
      </c>
      <c r="B19" s="78"/>
      <c r="C19" s="154"/>
      <c r="D19" s="261">
        <f>'Customer Info'!B22</f>
        <v>0</v>
      </c>
      <c r="E19" s="78" t="s">
        <v>41</v>
      </c>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x14ac:dyDescent="0.2">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31</v>
      </c>
      <c r="B23" s="78"/>
      <c r="C23" s="78"/>
      <c r="D23" s="78"/>
      <c r="E23" s="78"/>
      <c r="F23" s="78"/>
      <c r="G23" s="357" t="s">
        <v>68</v>
      </c>
      <c r="H23" s="358"/>
      <c r="I23" s="358"/>
      <c r="J23" s="359"/>
      <c r="K23" s="159"/>
      <c r="L23" s="354" t="s">
        <v>69</v>
      </c>
      <c r="M23" s="355"/>
      <c r="N23" s="355"/>
      <c r="O23" s="356"/>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x14ac:dyDescent="0.2">
      <c r="A24" s="78"/>
      <c r="B24" s="78"/>
      <c r="C24" s="78"/>
      <c r="D24" s="78"/>
      <c r="E24" s="78"/>
      <c r="F24" s="78"/>
      <c r="G24" s="115" t="s">
        <v>65</v>
      </c>
      <c r="H24" s="115" t="s">
        <v>66</v>
      </c>
      <c r="I24" s="115" t="s">
        <v>67</v>
      </c>
      <c r="J24" s="115" t="s">
        <v>34</v>
      </c>
      <c r="K24" s="78"/>
      <c r="L24" s="146" t="s">
        <v>65</v>
      </c>
      <c r="M24" s="146" t="s">
        <v>66</v>
      </c>
      <c r="N24" s="146" t="s">
        <v>67</v>
      </c>
      <c r="O24" s="146" t="s">
        <v>34</v>
      </c>
      <c r="P24" s="161" t="s">
        <v>57</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
      <c r="A26" s="78" t="s">
        <v>178</v>
      </c>
      <c r="B26" s="78"/>
      <c r="C26" s="78"/>
      <c r="D26" s="1">
        <f>MAX($D$17,0)</f>
        <v>1000</v>
      </c>
      <c r="E26" s="101" t="s">
        <v>41</v>
      </c>
      <c r="F26" s="106" t="s">
        <v>8</v>
      </c>
      <c r="G26" s="247"/>
      <c r="H26" s="163"/>
      <c r="I26" s="165">
        <v>2.6312499999999999E-2</v>
      </c>
      <c r="J26" s="103">
        <f>SUM(G26:I26)</f>
        <v>2.6312499999999999E-2</v>
      </c>
      <c r="K26" s="108" t="s">
        <v>92</v>
      </c>
      <c r="L26" s="105"/>
      <c r="M26" s="105"/>
      <c r="N26" s="105">
        <f>ROUND($D26*I26,2)</f>
        <v>26.31</v>
      </c>
      <c r="O26" s="250">
        <f>SUM(L26:N26)</f>
        <v>26.31</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x14ac:dyDescent="0.2">
      <c r="A27" s="166" t="s">
        <v>50</v>
      </c>
      <c r="B27" s="166"/>
      <c r="C27" s="166"/>
      <c r="D27" s="167"/>
      <c r="E27" s="167"/>
      <c r="F27" s="166"/>
      <c r="G27" s="167"/>
      <c r="H27" s="167"/>
      <c r="I27" s="167"/>
      <c r="J27" s="167"/>
      <c r="K27" s="168"/>
      <c r="L27" s="169"/>
      <c r="M27" s="169"/>
      <c r="N27" s="169">
        <f>SUM(N25:N26)</f>
        <v>36.31</v>
      </c>
      <c r="O27" s="169">
        <f>SUM(O25:O26)</f>
        <v>36.31</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x14ac:dyDescent="0.2">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x14ac:dyDescent="0.2">
      <c r="A29" s="148" t="s">
        <v>70</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79</v>
      </c>
      <c r="B31" s="176"/>
      <c r="C31" s="176"/>
      <c r="D31" s="100">
        <f>IF($D$17&lt;0,0,IF($D$17&gt;833000,833000,$D$17))</f>
        <v>1000</v>
      </c>
      <c r="E31" s="101" t="s">
        <v>41</v>
      </c>
      <c r="F31" s="102" t="s">
        <v>8</v>
      </c>
      <c r="G31" s="103"/>
      <c r="H31" s="103"/>
      <c r="I31" s="103">
        <f>'Rider Rates'!$B$4</f>
        <v>5.9216E-3</v>
      </c>
      <c r="J31" s="103">
        <f t="shared" ref="J31:J38" si="0">SUM(G31:I31)</f>
        <v>5.9216E-3</v>
      </c>
      <c r="K31" s="104" t="s">
        <v>42</v>
      </c>
      <c r="L31" s="105"/>
      <c r="M31" s="105"/>
      <c r="N31" s="105">
        <f t="shared" ref="N31:N37" si="1">ROUND(D31*I31,2)</f>
        <v>5.92</v>
      </c>
      <c r="O31" s="250">
        <f t="shared" ref="O31:O54" si="2">SUM(L31:N31)</f>
        <v>5.92</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99" t="s">
        <v>80</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99" t="s">
        <v>97</v>
      </c>
      <c r="B33" s="78"/>
      <c r="C33" s="78"/>
      <c r="D33" s="100">
        <f>IF($D$17&lt;0,0,IF($D$17&gt;2000,2000,$D$17))</f>
        <v>1000</v>
      </c>
      <c r="E33" s="101" t="s">
        <v>41</v>
      </c>
      <c r="F33" s="102" t="s">
        <v>8</v>
      </c>
      <c r="G33" s="103"/>
      <c r="H33" s="103"/>
      <c r="I33" s="177">
        <f>'Rider Rates'!$B$8</f>
        <v>4.6499999999999996E-3</v>
      </c>
      <c r="J33" s="177">
        <f t="shared" si="0"/>
        <v>4.6499999999999996E-3</v>
      </c>
      <c r="K33" s="104" t="s">
        <v>42</v>
      </c>
      <c r="L33" s="105"/>
      <c r="M33" s="105"/>
      <c r="N33" s="105">
        <f t="shared" si="1"/>
        <v>4.6500000000000004</v>
      </c>
      <c r="O33" s="105">
        <f t="shared" si="2"/>
        <v>4.6500000000000004</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99" t="s">
        <v>98</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99" t="s">
        <v>99</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99" t="s">
        <v>114</v>
      </c>
      <c r="B36" s="78"/>
      <c r="C36" s="78"/>
      <c r="D36" s="290">
        <f>$N$27</f>
        <v>36.31</v>
      </c>
      <c r="E36" s="101" t="s">
        <v>122</v>
      </c>
      <c r="F36" s="102" t="s">
        <v>8</v>
      </c>
      <c r="G36" s="103"/>
      <c r="H36" s="103"/>
      <c r="I36" s="178">
        <f>'Rider Rates'!$B$12</f>
        <v>0</v>
      </c>
      <c r="J36" s="178">
        <f t="shared" si="0"/>
        <v>0</v>
      </c>
      <c r="K36" s="104"/>
      <c r="L36" s="105"/>
      <c r="M36" s="105"/>
      <c r="N36" s="105">
        <f t="shared" si="1"/>
        <v>0</v>
      </c>
      <c r="O36" s="105">
        <f t="shared" si="2"/>
        <v>0</v>
      </c>
      <c r="P36" s="245">
        <f>'Rider Rates'!$D$12</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160</v>
      </c>
      <c r="B37" s="78"/>
      <c r="C37" s="78"/>
      <c r="D37" s="100">
        <f>IF($D$17&lt;0,0,$D$17)</f>
        <v>1000</v>
      </c>
      <c r="E37" s="101" t="s">
        <v>41</v>
      </c>
      <c r="F37" s="102" t="s">
        <v>8</v>
      </c>
      <c r="G37" s="103"/>
      <c r="H37" s="103"/>
      <c r="I37" s="103">
        <f>'Rider Rates'!$B$15</f>
        <v>0</v>
      </c>
      <c r="J37" s="103">
        <f t="shared" si="0"/>
        <v>0</v>
      </c>
      <c r="K37" s="104" t="s">
        <v>42</v>
      </c>
      <c r="L37" s="105"/>
      <c r="M37" s="105"/>
      <c r="N37" s="105">
        <f t="shared" si="1"/>
        <v>0</v>
      </c>
      <c r="O37" s="105">
        <f t="shared" si="2"/>
        <v>0</v>
      </c>
      <c r="P37" s="245">
        <f>'Rider Rates'!$D$15</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10" t="s">
        <v>239</v>
      </c>
      <c r="B38" s="78"/>
      <c r="C38" s="78"/>
      <c r="D38" s="195">
        <f>$N$27</f>
        <v>36.31</v>
      </c>
      <c r="E38" s="101" t="s">
        <v>122</v>
      </c>
      <c r="F38" s="102" t="s">
        <v>8</v>
      </c>
      <c r="G38" s="103"/>
      <c r="H38" s="103"/>
      <c r="I38" s="178">
        <f>'Rider Rates'!$B$18+'Rider Rates'!$E$18</f>
        <v>0</v>
      </c>
      <c r="J38" s="178">
        <f t="shared" si="0"/>
        <v>0</v>
      </c>
      <c r="K38" s="104"/>
      <c r="L38" s="105"/>
      <c r="M38" s="105"/>
      <c r="N38" s="105">
        <f>ROUND($D$38*'Rider Rates'!$B$18,2)+ROUND($D$38*'Rider Rates'!$E$18,2)</f>
        <v>0</v>
      </c>
      <c r="O38" s="105">
        <f t="shared" si="2"/>
        <v>0</v>
      </c>
      <c r="P38" s="245">
        <f>MAX('Rider Rates'!$D$18,'Rider Rates'!$F$18)</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10" t="s">
        <v>187</v>
      </c>
      <c r="B39" s="78"/>
      <c r="C39" s="78"/>
      <c r="D39" s="100">
        <f>'Customer Info'!$B$21+'Customer Info'!$B$22</f>
        <v>1000</v>
      </c>
      <c r="E39" s="101" t="s">
        <v>41</v>
      </c>
      <c r="F39" s="102" t="s">
        <v>8</v>
      </c>
      <c r="G39" s="103">
        <f>'Rider Rates'!B21</f>
        <v>0.10589</v>
      </c>
      <c r="H39" s="103"/>
      <c r="I39" s="103"/>
      <c r="J39" s="237">
        <f>SUM(G39:H39)</f>
        <v>0.10589</v>
      </c>
      <c r="K39" s="104" t="s">
        <v>42</v>
      </c>
      <c r="L39" s="105">
        <f>ROUND(D39*G39,2)</f>
        <v>105.89</v>
      </c>
      <c r="M39" s="105"/>
      <c r="N39" s="105"/>
      <c r="O39" s="105">
        <f t="shared" si="2"/>
        <v>105.89</v>
      </c>
      <c r="P39" s="245">
        <f>'Rider Rates'!$D$21</f>
        <v>45078</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210" t="s">
        <v>163</v>
      </c>
      <c r="B40" s="78"/>
      <c r="C40" s="78"/>
      <c r="D40" s="100">
        <f>D18</f>
        <v>1000</v>
      </c>
      <c r="E40" s="101" t="s">
        <v>41</v>
      </c>
      <c r="F40" s="102" t="s">
        <v>8</v>
      </c>
      <c r="G40" s="103">
        <f>'Rider Rates'!B31</f>
        <v>3.2414200000000004E-2</v>
      </c>
      <c r="H40" s="103"/>
      <c r="I40" s="103"/>
      <c r="J40" s="237">
        <f>SUM(G40:H40)</f>
        <v>3.2414200000000004E-2</v>
      </c>
      <c r="K40" s="104" t="s">
        <v>42</v>
      </c>
      <c r="L40" s="239">
        <f>ROUND($D$40*$G$40,2)</f>
        <v>32.409999999999997</v>
      </c>
      <c r="M40" s="105"/>
      <c r="N40" s="105"/>
      <c r="O40" s="105">
        <f>SUM(L40:N40)</f>
        <v>32.409999999999997</v>
      </c>
      <c r="P40" s="245">
        <f>'Rider Rates'!D31</f>
        <v>45078</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221</v>
      </c>
      <c r="B41" s="78"/>
      <c r="C41" s="78"/>
      <c r="D41" s="100">
        <f>D19</f>
        <v>0</v>
      </c>
      <c r="E41" s="101" t="s">
        <v>41</v>
      </c>
      <c r="F41" s="102" t="s">
        <v>8</v>
      </c>
      <c r="G41" s="103">
        <f>'Rider Rates'!B32</f>
        <v>0</v>
      </c>
      <c r="H41" s="103"/>
      <c r="I41" s="103"/>
      <c r="J41" s="237">
        <f>SUM(G41:H41)</f>
        <v>0</v>
      </c>
      <c r="K41" s="104"/>
      <c r="L41" s="239">
        <f>D41*G41</f>
        <v>0</v>
      </c>
      <c r="M41" s="105"/>
      <c r="N41" s="105"/>
      <c r="O41" s="105">
        <f>SUM(L41:N41)</f>
        <v>0</v>
      </c>
      <c r="P41" s="245">
        <f>'Rider Rates'!D32</f>
        <v>45078</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194</v>
      </c>
      <c r="B42" s="78"/>
      <c r="C42" s="78"/>
      <c r="D42" s="100">
        <f>'Customer Info'!$B$21+'Customer Info'!$B$22</f>
        <v>1000</v>
      </c>
      <c r="E42" s="101" t="s">
        <v>41</v>
      </c>
      <c r="F42" s="102" t="s">
        <v>8</v>
      </c>
      <c r="G42" s="103">
        <f>'Rider Rates'!$B$42</f>
        <v>-4.8640000000000001E-4</v>
      </c>
      <c r="H42" s="103"/>
      <c r="I42" s="103"/>
      <c r="J42" s="237">
        <f>SUM(G42:H42)</f>
        <v>-4.8640000000000001E-4</v>
      </c>
      <c r="K42" s="104" t="s">
        <v>42</v>
      </c>
      <c r="L42" s="105">
        <f>ROUND(D42*G42,2)</f>
        <v>-0.49</v>
      </c>
      <c r="M42" s="105"/>
      <c r="N42" s="105"/>
      <c r="O42" s="105">
        <f t="shared" si="2"/>
        <v>-0.49</v>
      </c>
      <c r="P42" s="245">
        <f>'Rider Rates'!$D$42</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41" t="s">
        <v>212</v>
      </c>
      <c r="B43" s="78"/>
      <c r="C43" s="78"/>
      <c r="D43" s="100"/>
      <c r="E43" s="101" t="s">
        <v>115</v>
      </c>
      <c r="F43" s="102"/>
      <c r="G43" s="103"/>
      <c r="H43" s="103"/>
      <c r="I43" s="103">
        <f>'Rider Rates'!D45</f>
        <v>1.47</v>
      </c>
      <c r="J43" s="237">
        <f t="shared" ref="J43:J48" si="3">SUM(G43:I43)</f>
        <v>1.47</v>
      </c>
      <c r="K43" s="104"/>
      <c r="L43" s="105"/>
      <c r="M43" s="105"/>
      <c r="N43" s="105">
        <f>J43</f>
        <v>1.47</v>
      </c>
      <c r="O43" s="105">
        <f>SUM(L43:N43)</f>
        <v>1.47</v>
      </c>
      <c r="P43" s="245">
        <f>'Rider Rates'!E45</f>
        <v>45292</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190</v>
      </c>
      <c r="B44" s="78"/>
      <c r="C44" s="78"/>
      <c r="D44" s="100">
        <f>IF($D$17&lt;0,0,$D$17)</f>
        <v>1000</v>
      </c>
      <c r="E44" s="113" t="s">
        <v>41</v>
      </c>
      <c r="F44" s="102" t="s">
        <v>8</v>
      </c>
      <c r="G44" s="103"/>
      <c r="H44" s="103">
        <f>'Rider Rates'!$B$52</f>
        <v>4.3837099999999997E-2</v>
      </c>
      <c r="I44" s="103"/>
      <c r="J44" s="103">
        <f t="shared" si="3"/>
        <v>4.3837099999999997E-2</v>
      </c>
      <c r="K44" s="104" t="s">
        <v>42</v>
      </c>
      <c r="L44" s="105"/>
      <c r="M44" s="105">
        <f>ROUND(D44*H44,2)</f>
        <v>43.84</v>
      </c>
      <c r="N44" s="205"/>
      <c r="O44" s="105">
        <f t="shared" si="2"/>
        <v>43.84</v>
      </c>
      <c r="P44" s="245">
        <f>'Rider Rates'!$D$52</f>
        <v>45383</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99" t="s">
        <v>96</v>
      </c>
      <c r="B45" s="78"/>
      <c r="C45" s="78"/>
      <c r="D45" s="100">
        <f>IF('Customer Info'!C34=TRUE,0,IF($D$17&lt;0,0,$D$17))</f>
        <v>1000</v>
      </c>
      <c r="E45" s="101" t="s">
        <v>41</v>
      </c>
      <c r="F45" s="102" t="s">
        <v>8</v>
      </c>
      <c r="G45" s="103"/>
      <c r="H45" s="103"/>
      <c r="I45" s="103">
        <f>'Rider Rates'!$B$64+'Rider Rates'!$C$64</f>
        <v>0</v>
      </c>
      <c r="J45" s="103">
        <f t="shared" si="3"/>
        <v>0</v>
      </c>
      <c r="K45" s="104" t="s">
        <v>42</v>
      </c>
      <c r="L45" s="105"/>
      <c r="M45" s="105"/>
      <c r="N45" s="105">
        <f>ROUND($D$45*'Rider Rates'!$B$64,2)+ROUND($D$45*'Rider Rates'!$C$64,2)</f>
        <v>0</v>
      </c>
      <c r="O45" s="250">
        <f t="shared" si="2"/>
        <v>0</v>
      </c>
      <c r="P45" s="245">
        <f>'Rider Rates'!$D$64</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81</v>
      </c>
      <c r="B46" s="78"/>
      <c r="C46" s="78"/>
      <c r="D46" s="195">
        <f>$N$27</f>
        <v>36.31</v>
      </c>
      <c r="E46" s="101" t="s">
        <v>122</v>
      </c>
      <c r="F46" s="102" t="s">
        <v>8</v>
      </c>
      <c r="G46" s="111"/>
      <c r="H46" s="112"/>
      <c r="I46" s="120">
        <f>'Rider Rates'!$B$80</f>
        <v>2.9347000000000002E-2</v>
      </c>
      <c r="J46" s="120">
        <f t="shared" si="3"/>
        <v>2.9347000000000002E-2</v>
      </c>
      <c r="K46" s="104"/>
      <c r="L46" s="105"/>
      <c r="M46" s="105"/>
      <c r="N46" s="105">
        <f>ROUND(D46*I46,2)</f>
        <v>1.07</v>
      </c>
      <c r="O46" s="105">
        <f t="shared" si="2"/>
        <v>1.07</v>
      </c>
      <c r="P46" s="245">
        <f>'Rider Rates'!$D$80</f>
        <v>45383</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99" t="s">
        <v>82</v>
      </c>
      <c r="B47" s="78"/>
      <c r="C47" s="78"/>
      <c r="D47" s="195">
        <f>$N$27</f>
        <v>36.31</v>
      </c>
      <c r="E47" s="101" t="s">
        <v>122</v>
      </c>
      <c r="F47" s="102" t="s">
        <v>8</v>
      </c>
      <c r="G47" s="114"/>
      <c r="H47" s="115"/>
      <c r="I47" s="120">
        <f>'Rider Rates'!$B$82</f>
        <v>6.6985699999999995E-2</v>
      </c>
      <c r="J47" s="120">
        <f t="shared" si="3"/>
        <v>6.6985699999999995E-2</v>
      </c>
      <c r="K47" s="104"/>
      <c r="L47" s="105"/>
      <c r="M47" s="105"/>
      <c r="N47" s="105">
        <f>ROUND(D47*I47,2)</f>
        <v>2.4300000000000002</v>
      </c>
      <c r="O47" s="105">
        <f t="shared" si="2"/>
        <v>2.4300000000000002</v>
      </c>
      <c r="P47" s="245">
        <f>'Rider Rates'!$D$82</f>
        <v>45167</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208</v>
      </c>
      <c r="B48" s="78"/>
      <c r="C48" s="78"/>
      <c r="D48" s="195"/>
      <c r="E48" s="113" t="s">
        <v>115</v>
      </c>
      <c r="F48" s="106"/>
      <c r="G48" s="114"/>
      <c r="H48" s="115"/>
      <c r="I48" s="196">
        <f>'Rider Rates'!$B$85</f>
        <v>1.95</v>
      </c>
      <c r="J48" s="196">
        <f t="shared" si="3"/>
        <v>1.95</v>
      </c>
      <c r="K48" s="104"/>
      <c r="L48" s="105"/>
      <c r="M48" s="105"/>
      <c r="N48" s="105">
        <f>I48</f>
        <v>1.95</v>
      </c>
      <c r="O48" s="250">
        <f>SUM(L48:N48)</f>
        <v>1.95</v>
      </c>
      <c r="P48" s="245">
        <f>'Rider Rates'!$D$85</f>
        <v>45259</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10" t="s">
        <v>241</v>
      </c>
      <c r="B49" s="78"/>
      <c r="C49" s="78"/>
      <c r="D49" s="100">
        <f>IF($D$17&lt;0,0,$D$17)</f>
        <v>1000</v>
      </c>
      <c r="E49" s="101" t="s">
        <v>41</v>
      </c>
      <c r="F49" s="102" t="s">
        <v>8</v>
      </c>
      <c r="G49" s="103"/>
      <c r="H49" s="103"/>
      <c r="I49" s="103"/>
      <c r="J49" s="103">
        <f>'Rider Rates'!$B$89</f>
        <v>0</v>
      </c>
      <c r="K49" s="104" t="s">
        <v>42</v>
      </c>
      <c r="L49" s="105"/>
      <c r="M49" s="105"/>
      <c r="N49" s="105"/>
      <c r="O49" s="105">
        <f>ROUND($D49*('Rider Rates'!B$89),2)</f>
        <v>0</v>
      </c>
      <c r="P49" s="245">
        <f>'Rider Rates'!$D$89</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99" t="s">
        <v>157</v>
      </c>
      <c r="B50" s="78"/>
      <c r="C50" s="78"/>
      <c r="D50" s="195">
        <f>$N$27</f>
        <v>36.31</v>
      </c>
      <c r="E50" s="101" t="s">
        <v>122</v>
      </c>
      <c r="F50" s="102" t="s">
        <v>8</v>
      </c>
      <c r="G50" s="114"/>
      <c r="H50" s="115"/>
      <c r="I50" s="120">
        <f>'Rider Rates'!$B$100</f>
        <v>0.21398439999999999</v>
      </c>
      <c r="J50" s="238">
        <f>SUM(G50:I50)</f>
        <v>0.21398439999999999</v>
      </c>
      <c r="K50" s="104"/>
      <c r="L50" s="105"/>
      <c r="M50" s="105"/>
      <c r="N50" s="105">
        <f>ROUND(D50*I50,2)</f>
        <v>7.77</v>
      </c>
      <c r="O50" s="105">
        <f t="shared" si="2"/>
        <v>7.77</v>
      </c>
      <c r="P50" s="245">
        <f>'Rider Rates'!$D$100</f>
        <v>45351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10" t="s">
        <v>211</v>
      </c>
      <c r="B51" s="78"/>
      <c r="C51" s="78"/>
      <c r="D51" s="195"/>
      <c r="E51" s="113" t="s">
        <v>115</v>
      </c>
      <c r="F51" s="106"/>
      <c r="G51" s="114"/>
      <c r="H51" s="115"/>
      <c r="I51" s="196">
        <f>'Rider Rates'!$B$103</f>
        <v>0</v>
      </c>
      <c r="J51" s="196">
        <f>SUM(G51:I51)</f>
        <v>0</v>
      </c>
      <c r="K51" s="104"/>
      <c r="L51" s="105"/>
      <c r="M51" s="105"/>
      <c r="N51" s="105">
        <f>I51</f>
        <v>0</v>
      </c>
      <c r="O51" s="105">
        <f>SUM(L51:N51)</f>
        <v>0</v>
      </c>
      <c r="P51" s="245">
        <f>'Rider Rates'!$D$103</f>
        <v>44894</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10" t="s">
        <v>219</v>
      </c>
      <c r="B52" s="78"/>
      <c r="C52" s="78"/>
      <c r="D52" s="195"/>
      <c r="E52" s="113" t="s">
        <v>115</v>
      </c>
      <c r="F52" s="106"/>
      <c r="G52" s="114"/>
      <c r="H52" s="115"/>
      <c r="I52" s="258">
        <f>'Rider Rates'!B116</f>
        <v>1.26</v>
      </c>
      <c r="J52" s="259">
        <f>SUM(G52:I52)</f>
        <v>1.26</v>
      </c>
      <c r="K52" s="104"/>
      <c r="L52" s="105"/>
      <c r="M52" s="105"/>
      <c r="N52" s="260">
        <f>I52</f>
        <v>1.26</v>
      </c>
      <c r="O52" s="105">
        <f>SUM(L52:N52)</f>
        <v>1.26</v>
      </c>
      <c r="P52" s="245">
        <f>'Rider Rates'!D116</f>
        <v>45226</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99" t="s">
        <v>158</v>
      </c>
      <c r="B53" s="78"/>
      <c r="C53" s="78"/>
      <c r="D53" s="100">
        <f>'Customer Info'!$B$21+'Customer Info'!$B$22</f>
        <v>1000</v>
      </c>
      <c r="E53" s="101" t="s">
        <v>41</v>
      </c>
      <c r="F53" s="102" t="s">
        <v>8</v>
      </c>
      <c r="G53" s="103">
        <f>'Rider Rates'!$B$107</f>
        <v>3.8972999999999998E-3</v>
      </c>
      <c r="H53" s="103"/>
      <c r="I53" s="103"/>
      <c r="J53" s="237">
        <f>SUM(G53:H53)</f>
        <v>3.8972999999999998E-3</v>
      </c>
      <c r="K53" s="104" t="s">
        <v>42</v>
      </c>
      <c r="L53" s="105">
        <f>ROUND(D53*G53,2)</f>
        <v>3.9</v>
      </c>
      <c r="M53" s="105"/>
      <c r="N53" s="105"/>
      <c r="O53" s="105">
        <f t="shared" si="2"/>
        <v>3.9</v>
      </c>
      <c r="P53" s="245">
        <f>'Rider Rates'!$D$107</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10" t="s">
        <v>210</v>
      </c>
      <c r="B54" s="78"/>
      <c r="C54" s="78"/>
      <c r="D54" s="100">
        <f>IF($D$17&lt;1,0,$D$17)</f>
        <v>1000</v>
      </c>
      <c r="E54" s="101" t="s">
        <v>41</v>
      </c>
      <c r="F54" s="249" t="s">
        <v>8</v>
      </c>
      <c r="G54" s="103"/>
      <c r="H54" s="103"/>
      <c r="I54" s="103">
        <f>'Rider Rates'!$B$112</f>
        <v>-2.3000000000000001E-4</v>
      </c>
      <c r="J54" s="237">
        <f>SUM(G54:I54)</f>
        <v>-2.3000000000000001E-4</v>
      </c>
      <c r="K54" s="104" t="s">
        <v>42</v>
      </c>
      <c r="L54" s="105"/>
      <c r="M54" s="105"/>
      <c r="N54" s="105">
        <f>D54*J54</f>
        <v>-0.23</v>
      </c>
      <c r="O54" s="105">
        <f t="shared" si="2"/>
        <v>-0.23</v>
      </c>
      <c r="P54" s="245">
        <f>'Rider Rates'!D112</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232</v>
      </c>
      <c r="B55" s="78"/>
      <c r="C55" s="78"/>
      <c r="D55" s="100"/>
      <c r="E55" s="101" t="s">
        <v>115</v>
      </c>
      <c r="F55" s="102" t="s">
        <v>8</v>
      </c>
      <c r="G55" s="263"/>
      <c r="H55" s="263"/>
      <c r="I55" s="263">
        <f>'Rider Rates'!$B$120</f>
        <v>0.1</v>
      </c>
      <c r="J55" s="263">
        <f>SUM(G55:I55)</f>
        <v>0.1</v>
      </c>
      <c r="K55" s="104"/>
      <c r="L55" s="209"/>
      <c r="M55" s="209"/>
      <c r="N55" s="209">
        <f>J55</f>
        <v>0.1</v>
      </c>
      <c r="O55" s="209">
        <f>SUM(L55:N55)</f>
        <v>0.1</v>
      </c>
      <c r="P55" s="264">
        <f>'Rider Rates'!$E$120</f>
        <v>44927</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41" t="s">
        <v>244</v>
      </c>
      <c r="B56" s="78"/>
      <c r="C56" s="78"/>
      <c r="D56" s="100">
        <f>C19</f>
        <v>0</v>
      </c>
      <c r="E56" s="101" t="s">
        <v>41</v>
      </c>
      <c r="F56" s="249" t="s">
        <v>8</v>
      </c>
      <c r="G56" s="103"/>
      <c r="H56" s="103"/>
      <c r="I56" s="103">
        <f>'Rider Rates'!$B$125</f>
        <v>0</v>
      </c>
      <c r="J56" s="237">
        <f>SUM(G56:I56)</f>
        <v>0</v>
      </c>
      <c r="K56" s="104" t="s">
        <v>42</v>
      </c>
      <c r="L56" s="105"/>
      <c r="M56" s="105"/>
      <c r="N56" s="105">
        <f>D56*J56</f>
        <v>0</v>
      </c>
      <c r="O56" s="105">
        <f>SUM(L56:N56)</f>
        <v>0</v>
      </c>
      <c r="P56" s="245">
        <f>'Rider Rates'!D130</f>
        <v>0</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41" t="s">
        <v>243</v>
      </c>
      <c r="B57" s="78"/>
      <c r="C57" s="78"/>
      <c r="D57" s="100"/>
      <c r="E57" s="101" t="s">
        <v>115</v>
      </c>
      <c r="F57" s="102" t="s">
        <v>8</v>
      </c>
      <c r="G57" s="263"/>
      <c r="H57" s="263"/>
      <c r="I57" s="263">
        <f>'Rider Rates'!$B$132</f>
        <v>0</v>
      </c>
      <c r="J57" s="263">
        <f>SUM(G57:I57)</f>
        <v>0</v>
      </c>
      <c r="K57" s="104"/>
      <c r="L57" s="209"/>
      <c r="M57" s="209"/>
      <c r="N57" s="209">
        <f>J57</f>
        <v>0</v>
      </c>
      <c r="O57" s="209">
        <f>SUM(L57:N57)</f>
        <v>0</v>
      </c>
      <c r="P57" s="264">
        <f>'Rider Rates'!$D$128</f>
        <v>44531</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241" t="s">
        <v>245</v>
      </c>
      <c r="B58" s="78"/>
      <c r="C58" s="78"/>
      <c r="D58" s="100"/>
      <c r="E58" s="101"/>
      <c r="F58" s="102"/>
      <c r="G58" s="263"/>
      <c r="H58" s="263"/>
      <c r="I58" s="263"/>
      <c r="J58" s="263"/>
      <c r="K58" s="104"/>
      <c r="L58" s="209"/>
      <c r="M58" s="209"/>
      <c r="N58" s="209"/>
      <c r="O58" s="209"/>
      <c r="P58" s="264"/>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179" t="s">
        <v>71</v>
      </c>
      <c r="B59" s="148"/>
      <c r="C59" s="148"/>
      <c r="D59" s="180"/>
      <c r="E59" s="181"/>
      <c r="F59" s="182"/>
      <c r="G59" s="182"/>
      <c r="H59" s="182"/>
      <c r="I59" s="182"/>
      <c r="J59" s="182"/>
      <c r="K59" s="183"/>
      <c r="L59" s="169">
        <f>SUM(L31:L58)</f>
        <v>141.71</v>
      </c>
      <c r="M59" s="169">
        <f t="shared" ref="M59:O59" si="4">SUM(M31:M58)</f>
        <v>43.84</v>
      </c>
      <c r="N59" s="169">
        <f t="shared" si="4"/>
        <v>26.390000000000004</v>
      </c>
      <c r="O59" s="169">
        <f t="shared" si="4"/>
        <v>211.94</v>
      </c>
      <c r="P59" s="184"/>
      <c r="Q59" s="10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78"/>
      <c r="B60" s="78"/>
      <c r="C60" s="78"/>
      <c r="D60" s="100"/>
      <c r="E60" s="113"/>
      <c r="F60" s="106"/>
      <c r="G60" s="106"/>
      <c r="H60" s="106"/>
      <c r="I60" s="106"/>
      <c r="J60" s="107"/>
      <c r="K60" s="104"/>
      <c r="L60" s="106"/>
      <c r="M60" s="106"/>
      <c r="N60" s="106"/>
      <c r="O60" s="106"/>
      <c r="P60" s="164"/>
      <c r="Q60" s="10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185" t="s">
        <v>94</v>
      </c>
      <c r="B61" s="170"/>
      <c r="C61" s="170"/>
      <c r="D61" s="170"/>
      <c r="E61" s="170"/>
      <c r="F61" s="170"/>
      <c r="G61" s="170"/>
      <c r="H61" s="170"/>
      <c r="I61" s="170"/>
      <c r="J61" s="170"/>
      <c r="K61" s="170"/>
      <c r="L61" s="186">
        <f>L27+L59</f>
        <v>141.71</v>
      </c>
      <c r="M61" s="186">
        <f>M27+M59</f>
        <v>43.84</v>
      </c>
      <c r="N61" s="186">
        <f>N27+N59</f>
        <v>62.7</v>
      </c>
      <c r="O61" s="187">
        <f>O27+O59</f>
        <v>248.25</v>
      </c>
      <c r="P61" s="187"/>
      <c r="Q61" s="10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78"/>
      <c r="B62" s="78"/>
      <c r="C62" s="78"/>
      <c r="D62" s="78"/>
      <c r="E62" s="78"/>
      <c r="F62" s="78"/>
      <c r="G62" s="78"/>
      <c r="H62" s="78"/>
      <c r="I62" s="78"/>
      <c r="J62" s="78"/>
      <c r="K62" s="78"/>
      <c r="L62" s="78"/>
      <c r="M62" s="78"/>
      <c r="N62" s="151"/>
      <c r="O62" s="151"/>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x14ac:dyDescent="0.2">
      <c r="A63" s="78"/>
      <c r="B63" s="78"/>
      <c r="C63" s="78"/>
      <c r="D63" s="78"/>
      <c r="E63" s="78"/>
      <c r="F63" s="78"/>
      <c r="G63" s="78"/>
      <c r="H63" s="78"/>
      <c r="I63" s="78"/>
      <c r="J63" s="78"/>
      <c r="K63" s="78"/>
      <c r="L63" s="78"/>
      <c r="M63" s="78"/>
      <c r="N63" s="151"/>
      <c r="O63" s="151"/>
      <c r="P63" s="151"/>
      <c r="Q63" s="166"/>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x14ac:dyDescent="0.2">
      <c r="A64" s="166" t="s">
        <v>93</v>
      </c>
      <c r="B64" s="78"/>
      <c r="C64" s="78"/>
      <c r="D64" s="78"/>
      <c r="E64" s="78"/>
      <c r="F64" s="78"/>
      <c r="G64" s="78"/>
      <c r="H64" s="78"/>
      <c r="I64" s="78"/>
      <c r="J64" s="78"/>
      <c r="K64" s="78"/>
      <c r="L64" s="78"/>
      <c r="M64" s="78"/>
      <c r="N64" s="78"/>
      <c r="O64" s="109">
        <f>IF(D17&lt;0,MIN(O25,O61),O25)</f>
        <v>10</v>
      </c>
      <c r="P64" s="151"/>
      <c r="Q64" s="166"/>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x14ac:dyDescent="0.2">
      <c r="A65" s="166" t="s">
        <v>15</v>
      </c>
      <c r="B65" s="166"/>
      <c r="C65" s="166"/>
      <c r="D65" s="166"/>
      <c r="E65" s="166"/>
      <c r="F65" s="166"/>
      <c r="G65" s="166"/>
      <c r="H65" s="166"/>
      <c r="I65" s="78"/>
      <c r="J65" s="78"/>
      <c r="K65" s="78"/>
      <c r="L65" s="78"/>
      <c r="M65" s="78"/>
      <c r="N65" s="151"/>
      <c r="O65" s="151"/>
      <c r="P65" s="151"/>
      <c r="Q65" s="78"/>
      <c r="R65" s="107"/>
      <c r="S65" s="108"/>
      <c r="T65" s="109"/>
      <c r="U65" s="78"/>
      <c r="V65" s="110"/>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x14ac:dyDescent="0.2">
      <c r="A66" s="148" t="s">
        <v>117</v>
      </c>
      <c r="B66" s="151"/>
      <c r="C66" s="151"/>
      <c r="D66" s="151"/>
      <c r="E66" s="151"/>
      <c r="F66" s="151"/>
      <c r="G66" s="151"/>
      <c r="H66" s="151"/>
      <c r="I66" s="151"/>
      <c r="J66" s="151"/>
      <c r="K66" s="151"/>
      <c r="L66" s="151"/>
      <c r="M66" s="151"/>
      <c r="N66" s="151"/>
      <c r="O66" s="190">
        <f>IF($D$17&lt;0,O61,IF(O61&gt;O64,O61,O64))</f>
        <v>248.25</v>
      </c>
      <c r="P66" s="160"/>
      <c r="Q66" s="78"/>
      <c r="R66" s="107"/>
      <c r="S66" s="108"/>
      <c r="T66" s="109"/>
      <c r="U66" s="78"/>
      <c r="V66" s="110"/>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row>
    <row r="67" spans="1:236" x14ac:dyDescent="0.2">
      <c r="A67" s="148"/>
      <c r="B67" s="151"/>
      <c r="C67" s="151"/>
      <c r="D67" s="151"/>
      <c r="E67" s="151"/>
      <c r="F67" s="151"/>
      <c r="G67" s="151"/>
      <c r="H67" s="151"/>
      <c r="I67" s="151"/>
      <c r="J67" s="151"/>
      <c r="K67" s="151"/>
      <c r="L67" s="151"/>
      <c r="M67" s="151"/>
      <c r="N67" s="151"/>
      <c r="O67" s="138"/>
      <c r="P67" s="160"/>
      <c r="Q67" s="78"/>
      <c r="AE67" s="291"/>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row>
    <row r="68" spans="1:236" x14ac:dyDescent="0.2">
      <c r="A68" s="148"/>
      <c r="B68" s="166"/>
      <c r="C68" s="166"/>
      <c r="D68" s="166"/>
      <c r="E68" s="166"/>
      <c r="F68" s="166"/>
      <c r="G68" s="166"/>
      <c r="H68" s="166"/>
      <c r="I68" s="166" t="s">
        <v>121</v>
      </c>
      <c r="J68" s="166"/>
      <c r="K68" s="166"/>
      <c r="L68" s="191"/>
      <c r="M68" s="191"/>
      <c r="N68" s="191"/>
      <c r="O68" s="191">
        <f>ROUND(IF($D$17&lt;1,0,O61/($D$17*100)*10000),2)</f>
        <v>24.83</v>
      </c>
      <c r="P68" s="37" t="s">
        <v>87</v>
      </c>
      <c r="Q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row>
    <row r="69" spans="1:236" x14ac:dyDescent="0.2">
      <c r="A69" s="37"/>
      <c r="B69" s="78"/>
      <c r="C69" s="78"/>
      <c r="D69" s="78"/>
      <c r="E69" s="78"/>
      <c r="F69" s="78"/>
      <c r="G69" s="78"/>
      <c r="H69" s="192"/>
      <c r="I69" s="242" t="s">
        <v>191</v>
      </c>
      <c r="J69" s="78"/>
      <c r="K69" s="78"/>
      <c r="L69" s="78"/>
      <c r="M69" s="78"/>
      <c r="N69" s="78"/>
      <c r="O69" s="243">
        <f>ROUND(IF($D$17&lt;1,0,(L61)/($D$17*100)*10000),2)</f>
        <v>14.17</v>
      </c>
      <c r="P69" s="25" t="s">
        <v>87</v>
      </c>
      <c r="Q69" s="78"/>
      <c r="AE69" s="78"/>
      <c r="AF69" s="78"/>
      <c r="AG69" s="78"/>
      <c r="AH69" s="78"/>
      <c r="AI69" s="78"/>
      <c r="AJ69" s="78"/>
      <c r="AK69" s="78"/>
      <c r="AL69" s="78"/>
      <c r="AM69" s="78"/>
      <c r="AN69" s="78"/>
      <c r="AO69" s="78"/>
      <c r="AP69" s="78"/>
      <c r="AQ69" s="78"/>
      <c r="AR69" s="78"/>
      <c r="AS69" s="78"/>
      <c r="AT69" s="78"/>
      <c r="HE69" s="78"/>
      <c r="HF69" s="78"/>
      <c r="HG69" s="78"/>
      <c r="HH69" s="78"/>
      <c r="HI69" s="78"/>
      <c r="HJ69" s="78"/>
      <c r="HK69" s="78"/>
      <c r="HL69" s="78"/>
      <c r="HM69" s="78"/>
      <c r="HN69" s="78"/>
    </row>
    <row r="70" spans="1:236" x14ac:dyDescent="0.2">
      <c r="A70" s="99"/>
      <c r="B70" s="78"/>
      <c r="C70" s="78"/>
      <c r="D70" s="100"/>
      <c r="E70" s="101"/>
      <c r="F70" s="106"/>
      <c r="G70" s="133"/>
      <c r="H70" s="56"/>
      <c r="I70" s="133"/>
      <c r="J70" s="25"/>
      <c r="K70" s="25"/>
      <c r="L70" s="134"/>
      <c r="M70" s="134"/>
      <c r="N70" s="134"/>
      <c r="O70" s="135"/>
      <c r="Q70" s="80"/>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row>
    <row r="71" spans="1:236" x14ac:dyDescent="0.2">
      <c r="A71" s="99"/>
      <c r="B71" s="78"/>
      <c r="C71" s="78"/>
      <c r="D71" s="100"/>
      <c r="E71" s="113"/>
      <c r="F71" s="106"/>
      <c r="Q71" s="80"/>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row>
    <row r="72" spans="1:236" x14ac:dyDescent="0.2">
      <c r="A72" s="78"/>
      <c r="D72" s="1"/>
      <c r="E72" s="35"/>
      <c r="F72" s="106"/>
      <c r="Q72" s="80"/>
    </row>
    <row r="73" spans="1:236" x14ac:dyDescent="0.2">
      <c r="A73" s="96"/>
      <c r="D73" s="1"/>
      <c r="E73" s="35"/>
      <c r="F73" s="4"/>
      <c r="Q73" s="36"/>
    </row>
    <row r="74" spans="1:236" x14ac:dyDescent="0.2">
      <c r="A74" s="96"/>
      <c r="D74" s="1"/>
      <c r="E74" s="35"/>
      <c r="F74" s="4"/>
      <c r="Q74" s="36"/>
    </row>
    <row r="75" spans="1:236" x14ac:dyDescent="0.2">
      <c r="A75" s="41"/>
      <c r="B75" s="77"/>
      <c r="C75" s="77"/>
      <c r="D75" s="77"/>
      <c r="E75" s="77"/>
      <c r="F75" s="77"/>
    </row>
    <row r="76" spans="1:236" x14ac:dyDescent="0.2">
      <c r="B76" s="37"/>
      <c r="C76" s="37"/>
      <c r="D76" s="37"/>
      <c r="E76" s="37"/>
      <c r="F76" s="37"/>
      <c r="P76" s="37"/>
      <c r="Q76" s="37"/>
    </row>
    <row r="77" spans="1:236" x14ac:dyDescent="0.2">
      <c r="B77" s="37"/>
      <c r="C77" s="37"/>
      <c r="D77" s="37"/>
      <c r="E77" s="37"/>
      <c r="F77" s="37"/>
      <c r="P77" s="25"/>
      <c r="Q77" s="25"/>
    </row>
    <row r="80" spans="1:23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row r="94" spans="1:1" x14ac:dyDescent="0.2">
      <c r="A94" s="350"/>
    </row>
  </sheetData>
  <sheetProtection algorithmName="SHA-512" hashValue="q5EjSAhwYhASucrVmReEfULLDkDXqb2sCmnwCHCVPdDsVptXkQSUh27dpZn+LTFcvRwjZEhicv+dPLuodNEeHw==" saltValue="0FWLPecinKFu910YTmEJsQ==" spinCount="100000" sheet="1" objects="1" scenarios="1"/>
  <mergeCells count="9">
    <mergeCell ref="G23:J23"/>
    <mergeCell ref="L23:O23"/>
    <mergeCell ref="A80:A94"/>
    <mergeCell ref="A1:P1"/>
    <mergeCell ref="A2:P2"/>
    <mergeCell ref="A3:P3"/>
    <mergeCell ref="A4:P4"/>
    <mergeCell ref="B6:O6"/>
    <mergeCell ref="A7:K7"/>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4753"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74754" r:id="rId5" name="Button 2">
              <controlPr defaultSize="0" print="0" autoFill="0" autoPict="0" macro="[0]!Info">
                <anchor moveWithCells="1">
                  <from>
                    <xdr:col>16</xdr:col>
                    <xdr:colOff>581025</xdr:colOff>
                    <xdr:row>87</xdr:row>
                    <xdr:rowOff>57150</xdr:rowOff>
                  </from>
                  <to>
                    <xdr:col>30</xdr:col>
                    <xdr:colOff>238125</xdr:colOff>
                    <xdr:row>88</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5"/>
  <dimension ref="A1:HM70"/>
  <sheetViews>
    <sheetView showGridLines="0" topLeftCell="A5" zoomScale="80" zoomScaleNormal="80" workbookViewId="0">
      <selection activeCell="H38" sqref="H38"/>
    </sheetView>
  </sheetViews>
  <sheetFormatPr defaultRowHeight="12.75" x14ac:dyDescent="0.2"/>
  <cols>
    <col min="1" max="1" width="37.5703125" customWidth="1"/>
    <col min="2" max="2" width="2.140625" customWidth="1"/>
    <col min="3" max="3" width="14.5703125" customWidth="1"/>
    <col min="4" max="4" width="15.28515625" customWidth="1"/>
    <col min="5" max="5" width="9.85546875" customWidth="1"/>
    <col min="6" max="6" width="5.5703125" customWidth="1"/>
    <col min="7" max="8" width="13.28515625" customWidth="1"/>
    <col min="9" max="9" width="14.5703125" customWidth="1"/>
    <col min="10" max="10" width="14.85546875" bestFit="1" customWidth="1"/>
    <col min="11" max="11" width="7" customWidth="1"/>
    <col min="12" max="12" width="15.140625" customWidth="1"/>
    <col min="13" max="13" width="17.28515625" bestFit="1" customWidth="1"/>
    <col min="14" max="14" width="16.7109375" customWidth="1"/>
    <col min="15" max="15" width="17.28515625" bestFit="1" customWidth="1"/>
    <col min="16" max="16" width="12.85546875" bestFit="1" customWidth="1"/>
    <col min="18" max="18" width="13.8554687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175</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c r="L5" s="75"/>
      <c r="M5" s="75"/>
      <c r="N5" s="75"/>
      <c r="O5" s="75"/>
      <c r="P5" s="75"/>
    </row>
    <row r="6" spans="1:30" x14ac:dyDescent="0.2">
      <c r="A6" s="76">
        <f ca="1">TODAY()</f>
        <v>45371</v>
      </c>
      <c r="B6" s="206" t="s">
        <v>238</v>
      </c>
      <c r="C6" s="206"/>
      <c r="D6" s="206"/>
      <c r="E6" s="206"/>
      <c r="F6" s="206"/>
      <c r="G6" s="206"/>
      <c r="H6" s="206"/>
      <c r="I6" s="206"/>
      <c r="J6" s="206"/>
      <c r="K6" s="206"/>
      <c r="L6" s="206"/>
      <c r="M6" s="206"/>
      <c r="N6" s="206"/>
      <c r="O6" s="206"/>
    </row>
    <row r="7" spans="1:30" x14ac:dyDescent="0.2">
      <c r="A7" s="351" t="s">
        <v>15</v>
      </c>
      <c r="B7" s="351"/>
      <c r="C7" s="351"/>
      <c r="D7" s="351"/>
      <c r="E7" s="351"/>
      <c r="F7" s="351"/>
      <c r="G7" s="351"/>
      <c r="H7" s="351"/>
      <c r="I7" s="351"/>
      <c r="J7" s="351"/>
      <c r="K7" s="351"/>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4"/>
      <c r="K12" s="94"/>
      <c r="L12" s="94"/>
      <c r="M12" s="94"/>
      <c r="N12" s="94"/>
      <c r="O12" s="94"/>
      <c r="P12" s="9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97" t="s">
        <v>27</v>
      </c>
      <c r="B13" s="18"/>
      <c r="C13" s="18"/>
      <c r="D13" s="18"/>
      <c r="E13" s="18"/>
      <c r="F13" s="18"/>
      <c r="G13" s="18"/>
      <c r="H13" s="18"/>
      <c r="I13" s="18"/>
      <c r="R13" s="78" t="s">
        <v>169</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
      <c r="A14" s="18"/>
      <c r="B14" s="18"/>
      <c r="C14" s="18"/>
      <c r="D14" s="18"/>
      <c r="E14" s="18"/>
      <c r="F14" s="18"/>
      <c r="G14" s="18"/>
      <c r="H14" s="18"/>
      <c r="I14" s="18"/>
      <c r="R14" s="78" t="s">
        <v>170</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
      <c r="A15" s="31" t="s">
        <v>43</v>
      </c>
      <c r="B15" s="31"/>
      <c r="C15" s="32">
        <f>IF('Customer Info'!B21+'Customer Info'!B22-'Customer Info'!B23&lt;0,0,'Customer Info'!B21+'Customer Info'!B22-'Customer Info'!B23)</f>
        <v>1000</v>
      </c>
      <c r="D15" s="31" t="s">
        <v>41</v>
      </c>
      <c r="E15" s="31"/>
      <c r="F15" s="33"/>
      <c r="G15" s="31"/>
      <c r="H15" s="31"/>
      <c r="I15" s="31"/>
      <c r="R15" s="3" t="s">
        <v>188</v>
      </c>
      <c r="S15">
        <f>'Rider Rates'!$C$21</f>
        <v>0.10589</v>
      </c>
      <c r="T15">
        <f>'Rider Rates'!$C$21</f>
        <v>0.10589</v>
      </c>
      <c r="U15">
        <f>'Rider Rates'!$C$21</f>
        <v>0.10589</v>
      </c>
      <c r="V15">
        <f>'Rider Rates'!$C$21</f>
        <v>0.10589</v>
      </c>
      <c r="W15">
        <f>'Rider Rates'!$C$21</f>
        <v>0.10589</v>
      </c>
      <c r="X15">
        <f>'Rider Rates'!$B$21</f>
        <v>0.10589</v>
      </c>
      <c r="Y15">
        <f>'Rider Rates'!$B$21</f>
        <v>0.10589</v>
      </c>
      <c r="Z15">
        <f>'Rider Rates'!$B$21</f>
        <v>0.10589</v>
      </c>
      <c r="AA15">
        <f>'Rider Rates'!$B$21</f>
        <v>0.10589</v>
      </c>
      <c r="AB15">
        <f>'Rider Rates'!$C$21</f>
        <v>0.10589</v>
      </c>
      <c r="AC15">
        <f>'Rider Rates'!$C$21</f>
        <v>0.10589</v>
      </c>
      <c r="AD15">
        <f>'Rider Rates'!$C$21</f>
        <v>0.10589</v>
      </c>
    </row>
    <row r="16" spans="1:30" x14ac:dyDescent="0.2">
      <c r="A16" s="31"/>
      <c r="B16" s="31"/>
      <c r="C16" s="33"/>
      <c r="D16" s="33"/>
      <c r="E16" s="33"/>
      <c r="F16" s="33"/>
      <c r="G16" s="23"/>
      <c r="H16" s="31"/>
      <c r="I16" s="31"/>
    </row>
    <row r="17" spans="1:221" x14ac:dyDescent="0.2">
      <c r="A17" s="28" t="s">
        <v>124</v>
      </c>
      <c r="B17" s="22"/>
      <c r="C17" s="22"/>
      <c r="D17" s="22"/>
      <c r="E17" s="22"/>
      <c r="F17" s="22"/>
      <c r="G17" s="362" t="s">
        <v>68</v>
      </c>
      <c r="H17" s="363"/>
      <c r="I17" s="363"/>
      <c r="J17" s="364"/>
      <c r="K17" s="22"/>
      <c r="L17" s="365" t="s">
        <v>69</v>
      </c>
      <c r="M17" s="365"/>
      <c r="N17" s="365"/>
      <c r="O17" s="365"/>
    </row>
    <row r="18" spans="1:221" x14ac:dyDescent="0.2">
      <c r="A18" s="18"/>
      <c r="B18" s="18"/>
      <c r="C18" s="18"/>
      <c r="D18" s="18"/>
      <c r="E18" s="18"/>
      <c r="F18" s="18"/>
      <c r="G18" s="8" t="s">
        <v>65</v>
      </c>
      <c r="H18" s="8" t="s">
        <v>66</v>
      </c>
      <c r="I18" s="8" t="s">
        <v>67</v>
      </c>
      <c r="J18" s="112" t="s">
        <v>34</v>
      </c>
      <c r="K18" s="18"/>
      <c r="L18" s="131" t="s">
        <v>65</v>
      </c>
      <c r="M18" s="131" t="s">
        <v>66</v>
      </c>
      <c r="N18" s="131" t="s">
        <v>67</v>
      </c>
      <c r="O18" s="132" t="s">
        <v>34</v>
      </c>
      <c r="P18" s="43" t="s">
        <v>57</v>
      </c>
    </row>
    <row r="19" spans="1:221" x14ac:dyDescent="0.2">
      <c r="A19" t="s">
        <v>32</v>
      </c>
      <c r="G19" s="83"/>
      <c r="H19" s="83"/>
      <c r="I19" s="125">
        <v>10</v>
      </c>
      <c r="J19" s="125">
        <f>SUM(G19:I19)</f>
        <v>10</v>
      </c>
      <c r="L19" s="125"/>
      <c r="M19" s="125"/>
      <c r="N19" s="125">
        <f>I19</f>
        <v>10</v>
      </c>
      <c r="O19" s="125">
        <f>+SUM(L19:N19)</f>
        <v>10</v>
      </c>
      <c r="P19" s="245">
        <v>44531</v>
      </c>
    </row>
    <row r="20" spans="1:221" x14ac:dyDescent="0.2">
      <c r="A20" t="s">
        <v>299</v>
      </c>
      <c r="D20" s="1">
        <f>C15</f>
        <v>1000</v>
      </c>
      <c r="E20" s="35" t="s">
        <v>41</v>
      </c>
      <c r="F20" s="4" t="s">
        <v>8</v>
      </c>
      <c r="G20" s="165"/>
      <c r="H20" s="127"/>
      <c r="I20" s="165">
        <v>2.6312499999999999E-2</v>
      </c>
      <c r="J20" s="127">
        <f>SUM(G20:I20)</f>
        <v>2.6312499999999999E-2</v>
      </c>
      <c r="K20" s="36" t="s">
        <v>42</v>
      </c>
      <c r="L20" s="129"/>
      <c r="M20" s="129"/>
      <c r="N20" s="129">
        <f>ROUND($D20*I20,2)</f>
        <v>26.31</v>
      </c>
      <c r="O20" s="125">
        <f>+SUM(L20:N20)</f>
        <v>26.31</v>
      </c>
      <c r="P20" s="245">
        <v>44531</v>
      </c>
    </row>
    <row r="21" spans="1:221" x14ac:dyDescent="0.2">
      <c r="A21" s="96" t="s">
        <v>75</v>
      </c>
      <c r="B21" s="37"/>
      <c r="C21" s="37"/>
      <c r="D21" s="38"/>
      <c r="E21" s="38"/>
      <c r="F21" s="37"/>
      <c r="G21" s="37"/>
      <c r="I21" s="40"/>
      <c r="K21" s="39"/>
      <c r="L21" s="95"/>
      <c r="M21" s="54"/>
      <c r="N21" s="95">
        <f>SUM(N17:N20)</f>
        <v>36.31</v>
      </c>
      <c r="O21" s="95">
        <f>SUM(O19:O20)</f>
        <v>36.31</v>
      </c>
      <c r="R21" s="175"/>
      <c r="S21" s="108"/>
      <c r="T21" s="109"/>
      <c r="U21" s="78"/>
      <c r="V21" s="110"/>
      <c r="W21" s="78"/>
      <c r="X21" s="78"/>
      <c r="Y21" s="78"/>
      <c r="Z21" s="78"/>
      <c r="AA21" s="78"/>
      <c r="AB21" s="78"/>
      <c r="AC21" s="78"/>
      <c r="AD21" s="78"/>
    </row>
    <row r="22" spans="1:221" x14ac:dyDescent="0.2">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70</v>
      </c>
      <c r="B23" s="166"/>
      <c r="C23" s="166"/>
      <c r="D23" s="167"/>
      <c r="E23" s="167"/>
      <c r="F23" s="166"/>
      <c r="G23" s="167"/>
      <c r="H23" s="167"/>
      <c r="I23" s="167"/>
      <c r="J23" s="167"/>
      <c r="K23" s="167"/>
      <c r="L23" s="167"/>
      <c r="M23" s="167"/>
      <c r="N23" s="167"/>
      <c r="O23" s="167"/>
      <c r="P23" s="78"/>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
      <c r="A25" s="99" t="s">
        <v>79</v>
      </c>
      <c r="B25" s="176"/>
      <c r="C25" s="176"/>
      <c r="D25" s="100">
        <f>IF($C$15&lt;0,0,IF($C$15&gt;833000,833000,$C$15))</f>
        <v>1000</v>
      </c>
      <c r="E25" s="101" t="s">
        <v>41</v>
      </c>
      <c r="F25" s="102" t="s">
        <v>8</v>
      </c>
      <c r="G25" s="103"/>
      <c r="H25" s="103"/>
      <c r="I25" s="103">
        <f>'Rider Rates'!$B$4</f>
        <v>5.9216E-3</v>
      </c>
      <c r="J25" s="201">
        <f t="shared" ref="J25:J46" si="0">SUM(G25:I25)</f>
        <v>5.9216E-3</v>
      </c>
      <c r="K25" s="104" t="s">
        <v>42</v>
      </c>
      <c r="L25" s="105"/>
      <c r="M25" s="105"/>
      <c r="N25" s="105">
        <f t="shared" ref="N25:N30" si="1">ROUND(D25*I25,2)</f>
        <v>5.92</v>
      </c>
      <c r="O25" s="105">
        <f t="shared" ref="O25:O47" si="2">SUM(L25:N25)</f>
        <v>5.92</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99" t="s">
        <v>80</v>
      </c>
      <c r="B26" s="78"/>
      <c r="C26" s="78"/>
      <c r="D26" s="123">
        <f>IF($C$15&gt;833000,$C$15-833000,0)</f>
        <v>0</v>
      </c>
      <c r="E26" s="101" t="s">
        <v>41</v>
      </c>
      <c r="F26" s="102" t="s">
        <v>8</v>
      </c>
      <c r="G26" s="103"/>
      <c r="H26" s="103"/>
      <c r="I26" s="103">
        <f>'Rider Rates'!$B$5</f>
        <v>1.7560000000000001E-4</v>
      </c>
      <c r="J26" s="201">
        <f t="shared" si="0"/>
        <v>1.7560000000000001E-4</v>
      </c>
      <c r="K26" s="104" t="s">
        <v>42</v>
      </c>
      <c r="L26" s="105"/>
      <c r="M26" s="105"/>
      <c r="N26" s="105">
        <f t="shared" si="1"/>
        <v>0</v>
      </c>
      <c r="O26" s="105">
        <f t="shared" si="2"/>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97</v>
      </c>
      <c r="B27" s="78"/>
      <c r="C27" s="78"/>
      <c r="D27" s="100">
        <f>IF($C$15&lt;0,0,IF($C$15&gt;2000,2000,$C$15))</f>
        <v>1000</v>
      </c>
      <c r="E27" s="101" t="s">
        <v>41</v>
      </c>
      <c r="F27" s="102" t="s">
        <v>8</v>
      </c>
      <c r="G27" s="103"/>
      <c r="H27" s="103"/>
      <c r="I27" s="177">
        <f>'Rider Rates'!$B$8</f>
        <v>4.6499999999999996E-3</v>
      </c>
      <c r="J27" s="177">
        <f t="shared" si="0"/>
        <v>4.6499999999999996E-3</v>
      </c>
      <c r="K27" s="104" t="s">
        <v>42</v>
      </c>
      <c r="L27" s="105"/>
      <c r="M27" s="105"/>
      <c r="N27" s="105">
        <f t="shared" si="1"/>
        <v>4.6500000000000004</v>
      </c>
      <c r="O27" s="105">
        <f t="shared" si="2"/>
        <v>4.6500000000000004</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98</v>
      </c>
      <c r="B28" s="78"/>
      <c r="C28" s="78"/>
      <c r="D28" s="100">
        <f>IF($C$15&lt;=2000,0,IF($C$15=0,0,IF($C$15-2000&gt;13000,13000,$C$15-2000)))</f>
        <v>0</v>
      </c>
      <c r="E28" s="101" t="s">
        <v>41</v>
      </c>
      <c r="F28" s="102" t="s">
        <v>8</v>
      </c>
      <c r="G28" s="103"/>
      <c r="H28" s="103"/>
      <c r="I28" s="177">
        <f>'Rider Rates'!$B$9</f>
        <v>4.1900000000000001E-3</v>
      </c>
      <c r="J28" s="177">
        <f t="shared" si="0"/>
        <v>4.1900000000000001E-3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99</v>
      </c>
      <c r="B29" s="78"/>
      <c r="C29" s="78"/>
      <c r="D29" s="100">
        <f>IF($C$15=0,0,IF($C$15-15000&gt;=0,$C$15-15000,0))</f>
        <v>0</v>
      </c>
      <c r="E29" s="101" t="s">
        <v>41</v>
      </c>
      <c r="F29" s="102" t="s">
        <v>8</v>
      </c>
      <c r="G29" s="103"/>
      <c r="H29" s="103"/>
      <c r="I29" s="177">
        <f>'Rider Rates'!$B$10</f>
        <v>3.63E-3</v>
      </c>
      <c r="J29" s="177">
        <f t="shared" si="0"/>
        <v>3.63E-3</v>
      </c>
      <c r="K29" s="104" t="s">
        <v>42</v>
      </c>
      <c r="L29" s="105"/>
      <c r="M29" s="105"/>
      <c r="N29" s="105">
        <f t="shared" si="1"/>
        <v>0</v>
      </c>
      <c r="O29" s="105">
        <f t="shared" si="2"/>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114</v>
      </c>
      <c r="B30" s="78"/>
      <c r="C30" s="78"/>
      <c r="D30" s="195">
        <f>$N$21</f>
        <v>36.31</v>
      </c>
      <c r="E30" s="101" t="s">
        <v>122</v>
      </c>
      <c r="F30" s="102" t="s">
        <v>8</v>
      </c>
      <c r="G30" s="103"/>
      <c r="H30" s="103"/>
      <c r="I30" s="178">
        <f>'Rider Rates'!$B$12</f>
        <v>0</v>
      </c>
      <c r="J30" s="178">
        <f t="shared" si="0"/>
        <v>0</v>
      </c>
      <c r="K30" s="104"/>
      <c r="L30" s="105"/>
      <c r="M30" s="105"/>
      <c r="N30" s="105">
        <f t="shared" si="1"/>
        <v>0</v>
      </c>
      <c r="O30" s="105">
        <f t="shared" si="2"/>
        <v>0</v>
      </c>
      <c r="P30" s="245">
        <f>'Rider Rates'!$D$12</f>
        <v>44531</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210" t="s">
        <v>160</v>
      </c>
      <c r="B31" s="78"/>
      <c r="C31" s="78"/>
      <c r="D31" s="100">
        <f>IF($C$15&lt;0,0,$C$15)</f>
        <v>1000</v>
      </c>
      <c r="E31" s="101" t="s">
        <v>41</v>
      </c>
      <c r="F31" s="102" t="s">
        <v>8</v>
      </c>
      <c r="G31" s="103"/>
      <c r="H31" s="103"/>
      <c r="I31" s="103">
        <f>'Rider Rates'!$B$15</f>
        <v>0</v>
      </c>
      <c r="J31" s="103">
        <f>SUM(G31:I31)</f>
        <v>0</v>
      </c>
      <c r="K31" s="104" t="s">
        <v>42</v>
      </c>
      <c r="L31" s="105"/>
      <c r="M31" s="105"/>
      <c r="N31" s="105">
        <f>ROUND(D31*I31,2)</f>
        <v>0</v>
      </c>
      <c r="O31" s="105">
        <f t="shared" ref="O31:O38" si="3">SUM(L31:N31)</f>
        <v>0</v>
      </c>
      <c r="P31" s="245">
        <f>'Rider Rates'!$D$15</f>
        <v>45383</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10" t="s">
        <v>239</v>
      </c>
      <c r="B32" s="78"/>
      <c r="C32" s="78"/>
      <c r="D32" s="195">
        <f>$N$21</f>
        <v>36.31</v>
      </c>
      <c r="E32" s="101" t="s">
        <v>122</v>
      </c>
      <c r="F32" s="102" t="s">
        <v>8</v>
      </c>
      <c r="G32" s="103"/>
      <c r="H32" s="103"/>
      <c r="I32" s="178">
        <f>'Rider Rates'!$B$18+'Rider Rates'!$E$18</f>
        <v>0</v>
      </c>
      <c r="J32" s="178">
        <f>SUM(G32:I32)</f>
        <v>0</v>
      </c>
      <c r="K32" s="104"/>
      <c r="L32" s="105"/>
      <c r="M32" s="105"/>
      <c r="N32" s="105">
        <f>ROUND($D$32*'Rider Rates'!$B$18,2)+ROUND($D$32*'Rider Rates'!$E$18,2)</f>
        <v>0</v>
      </c>
      <c r="O32" s="105">
        <f t="shared" si="3"/>
        <v>0</v>
      </c>
      <c r="P32" s="245">
        <f>MAX('Rider Rates'!$D$18,'Rider Rates'!$F$18)</f>
        <v>44531</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187</v>
      </c>
      <c r="B33" s="78"/>
      <c r="C33" s="78"/>
      <c r="D33" s="100">
        <f>'Customer Info'!$B$21+'Customer Info'!$B$22</f>
        <v>1000</v>
      </c>
      <c r="E33" s="101" t="s">
        <v>41</v>
      </c>
      <c r="F33" s="102" t="s">
        <v>8</v>
      </c>
      <c r="G33" s="103">
        <f>'Rider Rates'!B21</f>
        <v>0.10589</v>
      </c>
      <c r="H33" s="103"/>
      <c r="I33" s="103"/>
      <c r="J33" s="237">
        <f>SUM(G33:H33)</f>
        <v>0.10589</v>
      </c>
      <c r="K33" s="104" t="s">
        <v>42</v>
      </c>
      <c r="L33" s="105">
        <f>ROUND(D33*G33,2)</f>
        <v>105.89</v>
      </c>
      <c r="M33" s="105"/>
      <c r="N33" s="105"/>
      <c r="O33" s="105">
        <f t="shared" si="3"/>
        <v>105.89</v>
      </c>
      <c r="P33" s="245">
        <f>'Rider Rates'!$D$21</f>
        <v>45078</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41" t="s">
        <v>173</v>
      </c>
      <c r="B34" s="78"/>
      <c r="C34" s="78"/>
      <c r="D34" s="100">
        <f>'Customer Info'!B22</f>
        <v>0</v>
      </c>
      <c r="E34" s="101" t="s">
        <v>41</v>
      </c>
      <c r="F34" s="102" t="s">
        <v>8</v>
      </c>
      <c r="G34" s="103">
        <f>'Rider Rates'!B30</f>
        <v>2.3035E-3</v>
      </c>
      <c r="H34" s="103"/>
      <c r="I34" s="103"/>
      <c r="J34" s="237">
        <f>SUM(G34:H34)</f>
        <v>2.3035E-3</v>
      </c>
      <c r="K34" s="104" t="s">
        <v>42</v>
      </c>
      <c r="L34" s="105">
        <f>ROUND(D34*G34,2)</f>
        <v>0</v>
      </c>
      <c r="M34" s="105"/>
      <c r="N34" s="105"/>
      <c r="O34" s="105">
        <f t="shared" si="3"/>
        <v>0</v>
      </c>
      <c r="P34" s="245">
        <f>'Rider Rates'!$D$29</f>
        <v>45078</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41" t="s">
        <v>174</v>
      </c>
      <c r="B35" s="78"/>
      <c r="C35" s="78"/>
      <c r="D35" s="1">
        <f>'Customer Info'!B21</f>
        <v>1000</v>
      </c>
      <c r="E35" s="101" t="s">
        <v>41</v>
      </c>
      <c r="F35" s="102" t="s">
        <v>8</v>
      </c>
      <c r="G35" s="103">
        <f>'Rider Rates'!B29</f>
        <v>6.7145E-3</v>
      </c>
      <c r="H35" s="103"/>
      <c r="I35" s="103"/>
      <c r="J35" s="237">
        <f>SUM(G35:H35)</f>
        <v>6.7145E-3</v>
      </c>
      <c r="K35" s="104" t="s">
        <v>42</v>
      </c>
      <c r="L35" s="105">
        <f>ROUND(D35*G35,2)</f>
        <v>6.71</v>
      </c>
      <c r="M35" s="105"/>
      <c r="N35" s="105"/>
      <c r="O35" s="105">
        <f t="shared" si="3"/>
        <v>6.71</v>
      </c>
      <c r="P35" s="245">
        <f>'Rider Rates'!$D$30</f>
        <v>45078</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194</v>
      </c>
      <c r="B36" s="78"/>
      <c r="C36" s="78"/>
      <c r="D36" s="100">
        <f>'Customer Info'!$B$21+'Customer Info'!$B$22</f>
        <v>1000</v>
      </c>
      <c r="E36" s="101" t="s">
        <v>41</v>
      </c>
      <c r="F36" s="102" t="s">
        <v>8</v>
      </c>
      <c r="G36" s="103">
        <f>'Rider Rates'!B42</f>
        <v>-4.8640000000000001E-4</v>
      </c>
      <c r="H36" s="103"/>
      <c r="I36" s="103"/>
      <c r="J36" s="237">
        <f>SUM(G36:H36)</f>
        <v>-4.8640000000000001E-4</v>
      </c>
      <c r="K36" s="104" t="s">
        <v>42</v>
      </c>
      <c r="L36" s="105">
        <f>ROUND(D36*G36,2)</f>
        <v>-0.49</v>
      </c>
      <c r="M36" s="105"/>
      <c r="N36" s="105"/>
      <c r="O36" s="105">
        <f>SUM(L36:N36)</f>
        <v>-0.49</v>
      </c>
      <c r="P36" s="245">
        <f>'Rider Rates'!$D$42</f>
        <v>45383</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41" t="s">
        <v>212</v>
      </c>
      <c r="B37" s="78"/>
      <c r="C37" s="78"/>
      <c r="D37" s="100"/>
      <c r="E37" s="101" t="s">
        <v>115</v>
      </c>
      <c r="F37" s="102" t="s">
        <v>15</v>
      </c>
      <c r="G37" s="103"/>
      <c r="H37" s="103"/>
      <c r="I37" s="103">
        <f>'Rider Rates'!D45</f>
        <v>1.47</v>
      </c>
      <c r="J37" s="103">
        <f>SUM(G37:I37)</f>
        <v>1.47</v>
      </c>
      <c r="K37" s="104" t="s">
        <v>42</v>
      </c>
      <c r="L37" s="105"/>
      <c r="M37" s="105"/>
      <c r="N37" s="105">
        <f>J37</f>
        <v>1.47</v>
      </c>
      <c r="O37" s="105">
        <f>SUM(L37:N37)</f>
        <v>1.47</v>
      </c>
      <c r="P37" s="245">
        <f>'Rider Rates'!E45</f>
        <v>45292</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10" t="s">
        <v>190</v>
      </c>
      <c r="B38" s="78"/>
      <c r="C38" s="78"/>
      <c r="D38" s="100">
        <f>IF($C$15&lt;0,0,$C$15)</f>
        <v>1000</v>
      </c>
      <c r="E38" s="113" t="s">
        <v>41</v>
      </c>
      <c r="F38" s="102" t="s">
        <v>8</v>
      </c>
      <c r="G38" s="103"/>
      <c r="H38" s="103">
        <f>'Rider Rates'!$B$52</f>
        <v>4.3837099999999997E-2</v>
      </c>
      <c r="I38" s="103"/>
      <c r="J38" s="103">
        <f>SUM(G38:I38)</f>
        <v>4.3837099999999997E-2</v>
      </c>
      <c r="K38" s="104" t="s">
        <v>42</v>
      </c>
      <c r="L38" s="105"/>
      <c r="M38" s="105">
        <f>ROUND(D38*H38,2)</f>
        <v>43.84</v>
      </c>
      <c r="N38" s="205"/>
      <c r="O38" s="105">
        <f t="shared" si="3"/>
        <v>43.84</v>
      </c>
      <c r="P38" s="245">
        <f>'Rider Rates'!$D$52</f>
        <v>45383</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96</v>
      </c>
      <c r="B39" s="78"/>
      <c r="C39" s="78"/>
      <c r="D39" s="100">
        <f>IF('Customer Info'!C34=TRUE,0,IF($C$15&lt;0,0,$C$15))</f>
        <v>1000</v>
      </c>
      <c r="E39" s="101" t="s">
        <v>41</v>
      </c>
      <c r="F39" s="102" t="s">
        <v>8</v>
      </c>
      <c r="G39" s="103"/>
      <c r="H39" s="103"/>
      <c r="I39" s="103">
        <f>'Rider Rates'!$B$64+'Rider Rates'!$C$64</f>
        <v>0</v>
      </c>
      <c r="J39" s="103">
        <f t="shared" si="0"/>
        <v>0</v>
      </c>
      <c r="K39" s="104" t="s">
        <v>42</v>
      </c>
      <c r="L39" s="105"/>
      <c r="M39" s="105"/>
      <c r="N39" s="105">
        <f>ROUND($D$39*'Rider Rates'!$B$64,2)+ROUND($D$39*'Rider Rates'!$C$64,2)</f>
        <v>0</v>
      </c>
      <c r="O39" s="105">
        <f t="shared" si="2"/>
        <v>0</v>
      </c>
      <c r="P39" s="245">
        <f>'Rider Rates'!$D$64</f>
        <v>44531</v>
      </c>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81</v>
      </c>
      <c r="B40" s="78"/>
      <c r="C40" s="78"/>
      <c r="D40" s="195">
        <f>$N$21</f>
        <v>36.31</v>
      </c>
      <c r="E40" s="101" t="s">
        <v>122</v>
      </c>
      <c r="F40" s="102" t="s">
        <v>8</v>
      </c>
      <c r="G40" s="111"/>
      <c r="H40" s="112"/>
      <c r="I40" s="120">
        <f>'Rider Rates'!$B$80</f>
        <v>2.9347000000000002E-2</v>
      </c>
      <c r="J40" s="120">
        <f t="shared" si="0"/>
        <v>2.9347000000000002E-2</v>
      </c>
      <c r="K40" s="104"/>
      <c r="L40" s="105"/>
      <c r="M40" s="105"/>
      <c r="N40" s="105">
        <f>ROUND(D40*I40,2)</f>
        <v>1.07</v>
      </c>
      <c r="O40" s="105">
        <f t="shared" si="2"/>
        <v>1.07</v>
      </c>
      <c r="P40" s="245">
        <f>'Rider Rates'!$D$80</f>
        <v>45383</v>
      </c>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82</v>
      </c>
      <c r="B41" s="78"/>
      <c r="C41" s="78"/>
      <c r="D41" s="195">
        <f>$N$21</f>
        <v>36.31</v>
      </c>
      <c r="E41" s="101" t="s">
        <v>122</v>
      </c>
      <c r="F41" s="102" t="s">
        <v>8</v>
      </c>
      <c r="G41" s="114"/>
      <c r="H41" s="115"/>
      <c r="I41" s="120">
        <f>'Rider Rates'!$B$82</f>
        <v>6.6985699999999995E-2</v>
      </c>
      <c r="J41" s="120">
        <f t="shared" si="0"/>
        <v>6.6985699999999995E-2</v>
      </c>
      <c r="K41" s="104"/>
      <c r="L41" s="105"/>
      <c r="M41" s="105"/>
      <c r="N41" s="105">
        <f>ROUND(D41*I41,2)</f>
        <v>2.4300000000000002</v>
      </c>
      <c r="O41" s="105">
        <f t="shared" si="2"/>
        <v>2.4300000000000002</v>
      </c>
      <c r="P41" s="245">
        <f>'Rider Rates'!$D$82</f>
        <v>45167</v>
      </c>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208</v>
      </c>
      <c r="B42" s="78"/>
      <c r="C42" s="78"/>
      <c r="D42" s="195"/>
      <c r="E42" s="113" t="s">
        <v>115</v>
      </c>
      <c r="F42" s="106"/>
      <c r="G42" s="114"/>
      <c r="H42" s="115"/>
      <c r="I42" s="196">
        <f>'Rider Rates'!$B$85</f>
        <v>1.95</v>
      </c>
      <c r="J42" s="196">
        <f t="shared" si="0"/>
        <v>1.95</v>
      </c>
      <c r="K42" s="104"/>
      <c r="L42" s="105"/>
      <c r="M42" s="105"/>
      <c r="N42" s="105">
        <f>I42</f>
        <v>1.95</v>
      </c>
      <c r="O42" s="105">
        <f t="shared" si="2"/>
        <v>1.95</v>
      </c>
      <c r="P42" s="245">
        <f>'Rider Rates'!$D$85</f>
        <v>45259</v>
      </c>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10" t="s">
        <v>241</v>
      </c>
      <c r="B43" s="78"/>
      <c r="C43" s="78"/>
      <c r="D43" s="100">
        <f>IF($C$15&lt;0,0,$C$15)</f>
        <v>1000</v>
      </c>
      <c r="E43" s="101" t="s">
        <v>41</v>
      </c>
      <c r="F43" s="102" t="s">
        <v>8</v>
      </c>
      <c r="G43" s="103"/>
      <c r="H43" s="103"/>
      <c r="I43" s="103"/>
      <c r="J43" s="103">
        <f>'Rider Rates'!$B$89</f>
        <v>0</v>
      </c>
      <c r="K43" s="104" t="s">
        <v>42</v>
      </c>
      <c r="L43" s="105"/>
      <c r="M43" s="105"/>
      <c r="N43" s="105"/>
      <c r="O43" s="105">
        <f>ROUND($D43*('Rider Rates'!B$89),2)</f>
        <v>0</v>
      </c>
      <c r="P43" s="245">
        <f>'Rider Rates'!$D$89</f>
        <v>44531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99" t="s">
        <v>157</v>
      </c>
      <c r="B44" s="78"/>
      <c r="C44" s="78"/>
      <c r="D44" s="195">
        <f>$N$21</f>
        <v>36.31</v>
      </c>
      <c r="E44" s="101" t="s">
        <v>122</v>
      </c>
      <c r="F44" s="102" t="s">
        <v>8</v>
      </c>
      <c r="G44" s="114"/>
      <c r="H44" s="115"/>
      <c r="I44" s="120">
        <f>'Rider Rates'!$B$100</f>
        <v>0.21398439999999999</v>
      </c>
      <c r="J44" s="120">
        <f t="shared" si="0"/>
        <v>0.21398439999999999</v>
      </c>
      <c r="K44" s="104"/>
      <c r="L44" s="105"/>
      <c r="M44" s="105"/>
      <c r="N44" s="105">
        <f>ROUND(D44*I44,2)</f>
        <v>7.77</v>
      </c>
      <c r="O44" s="105">
        <f t="shared" si="2"/>
        <v>7.77</v>
      </c>
      <c r="P44" s="245">
        <f>'Rider Rates'!$D$100</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211</v>
      </c>
      <c r="B45" s="78"/>
      <c r="C45" s="78"/>
      <c r="D45" s="195"/>
      <c r="E45" s="113" t="s">
        <v>115</v>
      </c>
      <c r="F45" s="106"/>
      <c r="G45" s="114"/>
      <c r="H45" s="115"/>
      <c r="I45" s="196">
        <f>'Rider Rates'!$B$103</f>
        <v>0</v>
      </c>
      <c r="J45" s="196">
        <f t="shared" si="0"/>
        <v>0</v>
      </c>
      <c r="K45" s="104"/>
      <c r="L45" s="105"/>
      <c r="M45" s="105"/>
      <c r="N45" s="105">
        <f>I45</f>
        <v>0</v>
      </c>
      <c r="O45" s="105">
        <f t="shared" si="2"/>
        <v>0</v>
      </c>
      <c r="P45" s="245">
        <f>'Rider Rates'!$D$103</f>
        <v>44894</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210" t="s">
        <v>219</v>
      </c>
      <c r="B46" s="78"/>
      <c r="C46" s="78"/>
      <c r="D46" s="195"/>
      <c r="E46" s="113" t="s">
        <v>115</v>
      </c>
      <c r="F46" s="106"/>
      <c r="G46" s="114"/>
      <c r="H46" s="115"/>
      <c r="I46" s="258">
        <f>'Rider Rates'!B116</f>
        <v>1.26</v>
      </c>
      <c r="J46" s="196">
        <f t="shared" si="0"/>
        <v>1.26</v>
      </c>
      <c r="K46" s="104"/>
      <c r="L46" s="105"/>
      <c r="M46" s="105"/>
      <c r="N46" s="260">
        <f>I46</f>
        <v>1.26</v>
      </c>
      <c r="O46" s="105">
        <f t="shared" si="2"/>
        <v>1.26</v>
      </c>
      <c r="P46" s="245">
        <f>'Rider Rates'!D116</f>
        <v>45226</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99" t="s">
        <v>158</v>
      </c>
      <c r="B47" s="78"/>
      <c r="C47" s="78"/>
      <c r="D47" s="100">
        <f>'Customer Info'!$B$21+'Customer Info'!$B$22</f>
        <v>1000</v>
      </c>
      <c r="E47" s="101" t="s">
        <v>41</v>
      </c>
      <c r="F47" s="102" t="s">
        <v>8</v>
      </c>
      <c r="G47" s="103">
        <f>'Rider Rates'!$B$107</f>
        <v>3.8972999999999998E-3</v>
      </c>
      <c r="H47" s="103"/>
      <c r="I47" s="120"/>
      <c r="J47" s="237">
        <f>SUM(G47:H47)</f>
        <v>3.8972999999999998E-3</v>
      </c>
      <c r="K47" s="104" t="s">
        <v>42</v>
      </c>
      <c r="L47" s="105">
        <f>ROUND(D47*G47,2)</f>
        <v>3.9</v>
      </c>
      <c r="M47" s="105"/>
      <c r="N47" s="105"/>
      <c r="O47" s="105">
        <f t="shared" si="2"/>
        <v>3.9</v>
      </c>
      <c r="P47" s="245">
        <f>'Rider Rates'!$D$107</f>
        <v>44531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210</v>
      </c>
      <c r="B48" s="78"/>
      <c r="C48" s="78"/>
      <c r="D48" s="100">
        <f>IF($C$15&lt;1,0,$C$15)</f>
        <v>1000</v>
      </c>
      <c r="E48" s="101" t="s">
        <v>41</v>
      </c>
      <c r="F48" s="249" t="s">
        <v>8</v>
      </c>
      <c r="G48" s="165"/>
      <c r="H48" s="165"/>
      <c r="I48" s="251">
        <f>'Rider Rates'!B112</f>
        <v>-2.3000000000000001E-4</v>
      </c>
      <c r="J48" s="251">
        <f>SUM(G48:I48)</f>
        <v>-2.3000000000000001E-4</v>
      </c>
      <c r="K48" s="104" t="s">
        <v>42</v>
      </c>
      <c r="L48" s="105"/>
      <c r="M48" s="105"/>
      <c r="N48" s="105">
        <f>D48*J48</f>
        <v>-0.23</v>
      </c>
      <c r="O48" s="105">
        <f>SUM(L48:N48)</f>
        <v>-0.23</v>
      </c>
      <c r="P48" s="245">
        <f>'Rider Rates'!D112</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41" t="s">
        <v>232</v>
      </c>
      <c r="B49" s="78"/>
      <c r="C49" s="78"/>
      <c r="D49" s="100"/>
      <c r="E49" s="101" t="s">
        <v>115</v>
      </c>
      <c r="F49" s="102" t="s">
        <v>8</v>
      </c>
      <c r="G49" s="263"/>
      <c r="H49" s="263"/>
      <c r="I49" s="263">
        <f>'Rider Rates'!$B$120</f>
        <v>0.1</v>
      </c>
      <c r="J49" s="263">
        <f>SUM(G49:I49)</f>
        <v>0.1</v>
      </c>
      <c r="K49" s="104"/>
      <c r="L49" s="209"/>
      <c r="M49" s="209"/>
      <c r="N49" s="209">
        <f>J49</f>
        <v>0.1</v>
      </c>
      <c r="O49" s="209">
        <f>SUM(L49:N49)</f>
        <v>0.1</v>
      </c>
      <c r="P49" s="264">
        <f>'Rider Rates'!$E$120</f>
        <v>44927</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241" t="s">
        <v>244</v>
      </c>
      <c r="B50" s="78"/>
      <c r="C50" s="78"/>
      <c r="D50" s="100">
        <f>C15</f>
        <v>1000</v>
      </c>
      <c r="E50" s="101" t="s">
        <v>41</v>
      </c>
      <c r="F50" s="249" t="s">
        <v>8</v>
      </c>
      <c r="G50" s="103"/>
      <c r="H50" s="103"/>
      <c r="I50" s="103">
        <f>'Rider Rates'!$B$125</f>
        <v>0</v>
      </c>
      <c r="J50" s="237">
        <f>SUM(G50:I50)</f>
        <v>0</v>
      </c>
      <c r="K50" s="104" t="s">
        <v>42</v>
      </c>
      <c r="L50" s="105"/>
      <c r="M50" s="105"/>
      <c r="N50" s="105">
        <f>D50*J50</f>
        <v>0</v>
      </c>
      <c r="O50" s="105">
        <f>SUM(L50:N50)</f>
        <v>0</v>
      </c>
      <c r="P50" s="245">
        <f>'Rider Rates'!D125</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41" t="s">
        <v>243</v>
      </c>
      <c r="B51" s="78"/>
      <c r="C51" s="78"/>
      <c r="D51" s="100"/>
      <c r="E51" s="101" t="s">
        <v>115</v>
      </c>
      <c r="F51" s="102" t="s">
        <v>8</v>
      </c>
      <c r="G51" s="263"/>
      <c r="H51" s="263"/>
      <c r="I51" s="263">
        <f>'Rider Rates'!$B$132</f>
        <v>0</v>
      </c>
      <c r="J51" s="263">
        <f>SUM(G51:I51)</f>
        <v>0</v>
      </c>
      <c r="K51" s="104"/>
      <c r="L51" s="209"/>
      <c r="M51" s="209"/>
      <c r="N51" s="209">
        <f>J51</f>
        <v>0</v>
      </c>
      <c r="O51" s="209">
        <f>SUM(L51:N51)</f>
        <v>0</v>
      </c>
      <c r="P51" s="264">
        <f>'Rider Rates'!$D$128</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41" t="s">
        <v>245</v>
      </c>
      <c r="B52" s="78"/>
      <c r="C52" s="78"/>
      <c r="D52" s="100"/>
      <c r="E52" s="101"/>
      <c r="F52" s="102"/>
      <c r="G52" s="263"/>
      <c r="H52" s="263"/>
      <c r="I52" s="263"/>
      <c r="J52" s="263"/>
      <c r="K52" s="104"/>
      <c r="L52" s="209"/>
      <c r="M52" s="209"/>
      <c r="N52" s="209"/>
      <c r="O52" s="209"/>
      <c r="P52" s="264"/>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179" t="s">
        <v>71</v>
      </c>
      <c r="B53" s="148"/>
      <c r="C53" s="148"/>
      <c r="D53" s="180"/>
      <c r="E53" s="181"/>
      <c r="F53" s="182"/>
      <c r="G53" s="182"/>
      <c r="H53" s="182"/>
      <c r="I53" s="182"/>
      <c r="J53" s="182"/>
      <c r="K53" s="183"/>
      <c r="L53" s="169">
        <f>SUM(L25:L52)</f>
        <v>116.01</v>
      </c>
      <c r="M53" s="169">
        <f t="shared" ref="M53:O53" si="4">SUM(M25:M52)</f>
        <v>43.84</v>
      </c>
      <c r="N53" s="169">
        <f t="shared" si="4"/>
        <v>26.390000000000004</v>
      </c>
      <c r="O53" s="169">
        <f t="shared" si="4"/>
        <v>186.24</v>
      </c>
      <c r="P53" s="184"/>
      <c r="Q53" s="106"/>
      <c r="R53" s="166"/>
      <c r="S53" s="166"/>
      <c r="T53" s="189"/>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78"/>
      <c r="B54" s="78"/>
      <c r="C54" s="78"/>
      <c r="D54" s="100"/>
      <c r="E54" s="113"/>
      <c r="F54" s="106"/>
      <c r="G54" s="106"/>
      <c r="H54" s="106"/>
      <c r="I54" s="106"/>
      <c r="J54" s="107"/>
      <c r="K54" s="104"/>
      <c r="L54" s="106"/>
      <c r="M54" s="106"/>
      <c r="N54" s="106"/>
      <c r="O54" s="106"/>
      <c r="P54" s="164"/>
      <c r="Q54" s="106"/>
      <c r="R54" s="166"/>
      <c r="S54" s="166"/>
      <c r="T54" s="189"/>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170"/>
      <c r="B55" s="170"/>
      <c r="C55" s="170"/>
      <c r="D55" s="170"/>
      <c r="E55" s="170"/>
      <c r="F55" s="170"/>
      <c r="G55" s="170"/>
      <c r="H55" s="170"/>
      <c r="I55" s="170"/>
      <c r="J55" s="170"/>
      <c r="K55" s="170"/>
      <c r="L55" s="186">
        <f>L21+L53</f>
        <v>116.01</v>
      </c>
      <c r="M55" s="186">
        <f>M21+M53</f>
        <v>43.84</v>
      </c>
      <c r="N55" s="186">
        <f>N21+N53</f>
        <v>62.7</v>
      </c>
      <c r="O55" s="187">
        <f>O21+O53</f>
        <v>222.55</v>
      </c>
      <c r="P55" s="187"/>
      <c r="Q55" s="106"/>
      <c r="R55" s="166"/>
      <c r="S55" s="166"/>
      <c r="T55" s="189"/>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04"/>
      <c r="B56" s="78"/>
      <c r="C56" s="78"/>
      <c r="D56" s="78"/>
      <c r="E56" s="78"/>
      <c r="F56" s="78"/>
      <c r="G56" s="78"/>
      <c r="H56" s="78"/>
      <c r="I56" s="78"/>
      <c r="J56" s="78"/>
      <c r="K56" s="78"/>
      <c r="L56" s="78"/>
      <c r="M56" s="78"/>
      <c r="N56" s="151"/>
      <c r="O56" s="151"/>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147"/>
      <c r="B57" s="78"/>
      <c r="C57" s="78"/>
      <c r="D57" s="78"/>
      <c r="E57" s="78"/>
      <c r="F57" s="78"/>
      <c r="G57" s="78"/>
      <c r="H57" s="78"/>
      <c r="I57" s="78"/>
      <c r="J57" s="78"/>
      <c r="K57" s="78"/>
      <c r="L57" s="78"/>
      <c r="M57" s="78"/>
      <c r="N57" s="151"/>
      <c r="O57" s="151"/>
      <c r="P57" s="151"/>
      <c r="Q57" s="166"/>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166" t="s">
        <v>93</v>
      </c>
      <c r="B58" s="78"/>
      <c r="C58" s="78"/>
      <c r="D58" s="166"/>
      <c r="E58" s="78"/>
      <c r="F58" s="78"/>
      <c r="G58" s="78"/>
      <c r="H58" s="78"/>
      <c r="I58" s="78"/>
      <c r="J58" s="78"/>
      <c r="K58" s="78"/>
      <c r="L58" s="78"/>
      <c r="M58" s="78"/>
      <c r="N58" s="78"/>
      <c r="O58" s="109">
        <f>IF($C$15&lt;=0,MIN(O19,O55), O19)</f>
        <v>10</v>
      </c>
      <c r="P58" s="151"/>
      <c r="Q58" s="166"/>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147"/>
      <c r="B59" s="166"/>
      <c r="C59" s="166"/>
      <c r="D59" s="166"/>
      <c r="E59" s="166"/>
      <c r="F59" s="166"/>
      <c r="G59" s="166"/>
      <c r="H59" s="166"/>
      <c r="I59" s="78"/>
      <c r="J59" s="78"/>
      <c r="K59" s="78"/>
      <c r="L59" s="78"/>
      <c r="M59" s="78"/>
      <c r="N59" s="151"/>
      <c r="O59" s="151"/>
      <c r="P59" s="151"/>
      <c r="Q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148" t="s">
        <v>117</v>
      </c>
      <c r="B60" s="151"/>
      <c r="C60" s="151"/>
      <c r="D60" s="151"/>
      <c r="E60" s="151"/>
      <c r="F60" s="151"/>
      <c r="G60" s="151"/>
      <c r="H60" s="151"/>
      <c r="I60" s="151"/>
      <c r="J60" s="151"/>
      <c r="K60" s="151"/>
      <c r="L60" s="151"/>
      <c r="M60" s="151"/>
      <c r="N60" s="151"/>
      <c r="O60" s="190">
        <f>IF($C$15&lt;0,O55,IF(O55&gt;O58,O55,O58))</f>
        <v>222.55</v>
      </c>
      <c r="P60" s="160"/>
      <c r="Q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147"/>
    </row>
    <row r="62" spans="1:221" x14ac:dyDescent="0.2">
      <c r="A62" s="147"/>
      <c r="I62" s="166" t="s">
        <v>121</v>
      </c>
      <c r="J62" s="166"/>
      <c r="K62" s="166"/>
      <c r="L62" s="191"/>
      <c r="M62" s="191"/>
      <c r="N62" s="191"/>
      <c r="O62" s="191">
        <f>ROUND(IF($C$15&lt;1,0,O55/($C$15*100)*10000),2)</f>
        <v>22.26</v>
      </c>
      <c r="P62" s="37" t="s">
        <v>87</v>
      </c>
    </row>
    <row r="63" spans="1:221" x14ac:dyDescent="0.2">
      <c r="A63" s="147"/>
      <c r="I63" s="242" t="s">
        <v>191</v>
      </c>
      <c r="J63" s="78"/>
      <c r="K63" s="78"/>
      <c r="L63" s="78"/>
      <c r="M63" s="78"/>
      <c r="N63" s="78"/>
      <c r="O63" s="243">
        <f>ROUND(IF($C$15&lt;1,0,(L55)/($C$15*100)*10000),2)</f>
        <v>11.6</v>
      </c>
      <c r="P63" s="25" t="s">
        <v>87</v>
      </c>
    </row>
    <row r="64" spans="1:221" x14ac:dyDescent="0.2">
      <c r="A64" s="147"/>
    </row>
    <row r="65" spans="1:1" x14ac:dyDescent="0.2">
      <c r="A65" s="147"/>
    </row>
    <row r="66" spans="1:1" x14ac:dyDescent="0.2">
      <c r="A66" s="147"/>
    </row>
    <row r="67" spans="1:1" x14ac:dyDescent="0.2">
      <c r="A67" s="147"/>
    </row>
    <row r="68" spans="1:1" x14ac:dyDescent="0.2">
      <c r="A68" s="147"/>
    </row>
    <row r="69" spans="1:1" x14ac:dyDescent="0.2">
      <c r="A69" s="147"/>
    </row>
    <row r="70" spans="1:1" x14ac:dyDescent="0.2">
      <c r="A70" s="147"/>
    </row>
  </sheetData>
  <sheetProtection algorithmName="SHA-512" hashValue="0c+ClekTIVu41ORKc3JbJyYWBM1oQDHOyb9FwECe+KvZXw92N9p1OfDJQExkfavUGfykY7hb0beYhbCaQ4aKNw==" saltValue="eEn/mhneM8YrXgdzDcTRoQ==" spinCount="100000" sheet="1" objects="1" scenarios="1"/>
  <mergeCells count="8">
    <mergeCell ref="G17:J17"/>
    <mergeCell ref="L17:O17"/>
    <mergeCell ref="A1:P1"/>
    <mergeCell ref="A2:P2"/>
    <mergeCell ref="A3:P3"/>
    <mergeCell ref="A4:P4"/>
    <mergeCell ref="A7:K7"/>
    <mergeCell ref="A12:I12"/>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Info">
                <anchor moveWithCells="1">
                  <from>
                    <xdr:col>0</xdr:col>
                    <xdr:colOff>66675</xdr:colOff>
                    <xdr:row>0</xdr:row>
                    <xdr:rowOff>76200</xdr:rowOff>
                  </from>
                  <to>
                    <xdr:col>0</xdr:col>
                    <xdr:colOff>581025</xdr:colOff>
                    <xdr:row>1</xdr:row>
                    <xdr:rowOff>76200</xdr:rowOff>
                  </to>
                </anchor>
              </controlPr>
            </control>
          </mc:Choice>
        </mc:AlternateContent>
        <mc:AlternateContent xmlns:mc="http://schemas.openxmlformats.org/markup-compatibility/2006">
          <mc:Choice Requires="x14">
            <control shapeId="72706" r:id="rId5" name="Button 2">
              <controlPr defaultSize="0" print="0" autoFill="0" autoPict="0" macro="[0]!Info">
                <anchor moveWithCells="1">
                  <from>
                    <xdr:col>0</xdr:col>
                    <xdr:colOff>66675</xdr:colOff>
                    <xdr:row>0</xdr:row>
                    <xdr:rowOff>76200</xdr:rowOff>
                  </from>
                  <to>
                    <xdr:col>0</xdr:col>
                    <xdr:colOff>581025</xdr:colOff>
                    <xdr:row>1</xdr:row>
                    <xdr:rowOff>76200</xdr:rowOff>
                  </to>
                </anchor>
              </controlPr>
            </control>
          </mc:Choice>
        </mc:AlternateContent>
        <mc:AlternateContent xmlns:mc="http://schemas.openxmlformats.org/markup-compatibility/2006">
          <mc:Choice Requires="x14">
            <control shapeId="72707" r:id="rId6" name="Button 3">
              <controlPr defaultSize="0" print="0" autoFill="0" autoPict="0" macro="[0]!Info">
                <anchor moveWithCells="1">
                  <from>
                    <xdr:col>0</xdr:col>
                    <xdr:colOff>66675</xdr:colOff>
                    <xdr:row>0</xdr:row>
                    <xdr:rowOff>76200</xdr:rowOff>
                  </from>
                  <to>
                    <xdr:col>0</xdr:col>
                    <xdr:colOff>581025</xdr:colOff>
                    <xdr:row>1</xdr:row>
                    <xdr:rowOff>76200</xdr:rowOff>
                  </to>
                </anchor>
              </controlPr>
            </control>
          </mc:Choice>
        </mc:AlternateContent>
        <mc:AlternateContent xmlns:mc="http://schemas.openxmlformats.org/markup-compatibility/2006">
          <mc:Choice Requires="x14">
            <control shapeId="72708" r:id="rId7" name="Button 4">
              <controlPr defaultSize="0" print="0" autoFill="0" autoPict="0" macro="[0]!Info">
                <anchor moveWithCells="1">
                  <from>
                    <xdr:col>0</xdr:col>
                    <xdr:colOff>66675</xdr:colOff>
                    <xdr:row>0</xdr:row>
                    <xdr:rowOff>76200</xdr:rowOff>
                  </from>
                  <to>
                    <xdr:col>0</xdr:col>
                    <xdr:colOff>581025</xdr:colOff>
                    <xdr:row>1</xdr:row>
                    <xdr:rowOff>76200</xdr:rowOff>
                  </to>
                </anchor>
              </controlPr>
            </control>
          </mc:Choice>
        </mc:AlternateContent>
        <mc:AlternateContent xmlns:mc="http://schemas.openxmlformats.org/markup-compatibility/2006">
          <mc:Choice Requires="x14">
            <control shapeId="72709" r:id="rId8" name="Button 5">
              <controlPr defaultSize="0" print="0" autoFill="0" autoPict="0" macro="[0]!Info">
                <anchor moveWithCells="1">
                  <from>
                    <xdr:col>14</xdr:col>
                    <xdr:colOff>600075</xdr:colOff>
                    <xdr:row>78</xdr:row>
                    <xdr:rowOff>38100</xdr:rowOff>
                  </from>
                  <to>
                    <xdr:col>14</xdr:col>
                    <xdr:colOff>1123950</xdr:colOff>
                    <xdr:row>79</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B94"/>
  <sheetViews>
    <sheetView showGridLines="0" topLeftCell="A18" zoomScale="80" zoomScaleNormal="80" workbookViewId="0">
      <selection activeCell="H44" sqref="H44"/>
    </sheetView>
  </sheetViews>
  <sheetFormatPr defaultRowHeight="12.75" x14ac:dyDescent="0.2"/>
  <cols>
    <col min="1" max="1" width="39" customWidth="1"/>
    <col min="2" max="2" width="2.5703125" customWidth="1"/>
    <col min="3" max="3" width="13.5703125" customWidth="1"/>
    <col min="4" max="4" width="15.28515625" customWidth="1"/>
    <col min="5" max="5" width="9.7109375" customWidth="1"/>
    <col min="6" max="6" width="2.7109375" customWidth="1"/>
    <col min="7" max="8" width="13.28515625" customWidth="1"/>
    <col min="9" max="9" width="14.5703125" customWidth="1"/>
    <col min="10" max="10" width="13.28515625" customWidth="1"/>
    <col min="11" max="11" width="6.5703125" customWidth="1"/>
    <col min="12" max="12" width="15.140625" customWidth="1"/>
    <col min="13" max="13" width="17.28515625" bestFit="1" customWidth="1"/>
    <col min="14" max="14" width="17.42578125" customWidth="1"/>
    <col min="15" max="15" width="17.28515625" bestFit="1" customWidth="1"/>
    <col min="16" max="16" width="13" customWidth="1"/>
    <col min="17" max="17" width="12.85546875" bestFit="1" customWidth="1"/>
    <col min="18" max="18" width="10.5703125" hidden="1" customWidth="1"/>
    <col min="19" max="19" width="10.28515625" hidden="1" customWidth="1"/>
    <col min="20" max="23" width="10.85546875" hidden="1" customWidth="1"/>
    <col min="24" max="26" width="10.28515625" hidden="1" customWidth="1"/>
    <col min="27" max="27" width="10.5703125" hidden="1" customWidth="1"/>
    <col min="28" max="28" width="10.85546875" hidden="1" customWidth="1"/>
    <col min="29" max="30" width="10" hidden="1" customWidth="1"/>
    <col min="31" max="31" width="9.140625" customWidth="1"/>
    <col min="32" max="32" width="10.28515625" customWidth="1"/>
    <col min="33" max="33" width="10.85546875" customWidth="1"/>
    <col min="34" max="34" width="10.28515625" customWidth="1"/>
  </cols>
  <sheetData>
    <row r="1" spans="1:59" ht="20.25" x14ac:dyDescent="0.3">
      <c r="A1" s="352" t="s">
        <v>120</v>
      </c>
      <c r="B1" s="352"/>
      <c r="C1" s="352"/>
      <c r="D1" s="352"/>
      <c r="E1" s="352"/>
      <c r="F1" s="352"/>
      <c r="G1" s="352"/>
      <c r="H1" s="352"/>
      <c r="I1" s="352"/>
      <c r="J1" s="352"/>
      <c r="K1" s="352"/>
      <c r="L1" s="352"/>
      <c r="M1" s="352"/>
      <c r="N1" s="352"/>
      <c r="O1" s="352"/>
      <c r="P1" s="352"/>
      <c r="Q1" s="197"/>
    </row>
    <row r="2" spans="1:59" ht="18" customHeight="1" x14ac:dyDescent="0.2">
      <c r="A2" s="361" t="s">
        <v>283</v>
      </c>
      <c r="B2" s="361"/>
      <c r="C2" s="361"/>
      <c r="D2" s="361"/>
      <c r="E2" s="361"/>
      <c r="F2" s="361"/>
      <c r="G2" s="361"/>
      <c r="H2" s="361"/>
      <c r="I2" s="361"/>
      <c r="J2" s="361"/>
      <c r="K2" s="361"/>
      <c r="L2" s="361"/>
      <c r="M2" s="361"/>
      <c r="N2" s="361"/>
      <c r="O2" s="361"/>
      <c r="P2" s="361"/>
    </row>
    <row r="3" spans="1:59" ht="18" x14ac:dyDescent="0.25">
      <c r="A3" s="361"/>
      <c r="B3" s="361"/>
      <c r="C3" s="361"/>
      <c r="D3" s="361"/>
      <c r="E3" s="361"/>
      <c r="F3" s="361"/>
      <c r="G3" s="361"/>
      <c r="H3" s="361"/>
      <c r="I3" s="361"/>
      <c r="J3" s="361"/>
      <c r="K3" s="361"/>
      <c r="L3" s="361"/>
      <c r="M3" s="361"/>
      <c r="N3" s="361"/>
      <c r="O3" s="361"/>
      <c r="P3" s="361"/>
      <c r="Q3" s="198"/>
    </row>
    <row r="4" spans="1:59"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c r="Q4" s="199"/>
    </row>
    <row r="5" spans="1:59" ht="15" x14ac:dyDescent="0.2">
      <c r="A5" s="75"/>
      <c r="B5" s="75"/>
      <c r="C5" s="75"/>
      <c r="D5" s="75"/>
      <c r="E5" s="75"/>
      <c r="F5" s="75"/>
      <c r="G5" s="75"/>
      <c r="H5" s="75"/>
      <c r="I5" s="75"/>
      <c r="J5" s="75"/>
      <c r="K5" s="75"/>
      <c r="L5" s="75"/>
      <c r="M5" s="75"/>
      <c r="N5" s="75"/>
      <c r="O5" s="75"/>
      <c r="P5" s="75"/>
      <c r="Q5" s="75"/>
    </row>
    <row r="6" spans="1:59" x14ac:dyDescent="0.2">
      <c r="A6" s="277">
        <f ca="1">TODAY()</f>
        <v>45371</v>
      </c>
      <c r="B6" s="360" t="s">
        <v>237</v>
      </c>
      <c r="C6" s="360"/>
      <c r="D6" s="360"/>
      <c r="E6" s="360"/>
      <c r="F6" s="360"/>
      <c r="G6" s="360"/>
      <c r="H6" s="360"/>
      <c r="I6" s="360"/>
      <c r="J6" s="360"/>
      <c r="K6" s="360"/>
      <c r="L6" s="360"/>
      <c r="M6" s="360"/>
      <c r="N6" s="360"/>
      <c r="O6" s="360"/>
    </row>
    <row r="7" spans="1:59" x14ac:dyDescent="0.2">
      <c r="A7" s="351" t="s">
        <v>15</v>
      </c>
      <c r="B7" s="351"/>
      <c r="C7" s="351"/>
      <c r="D7" s="351"/>
      <c r="E7" s="351"/>
      <c r="F7" s="351"/>
      <c r="G7" s="351"/>
      <c r="H7" s="351"/>
      <c r="I7" s="351"/>
      <c r="J7" s="351"/>
      <c r="K7" s="351"/>
    </row>
    <row r="8" spans="1:59" x14ac:dyDescent="0.2">
      <c r="C8" s="18"/>
      <c r="D8" s="18"/>
      <c r="E8" s="18"/>
      <c r="F8" s="18"/>
      <c r="G8" s="18"/>
      <c r="H8" s="18"/>
      <c r="I8" s="18"/>
      <c r="J8" s="18"/>
      <c r="K8" s="18"/>
    </row>
    <row r="9" spans="1:59" ht="15" x14ac:dyDescent="0.2">
      <c r="A9" s="23" t="s">
        <v>2</v>
      </c>
      <c r="B9" s="24"/>
      <c r="C9" s="25">
        <f>'Customer Info'!B7</f>
        <v>0</v>
      </c>
      <c r="I9" s="26"/>
    </row>
    <row r="10" spans="1:59" ht="15" x14ac:dyDescent="0.2">
      <c r="A10" s="27" t="s">
        <v>26</v>
      </c>
      <c r="B10" s="24"/>
      <c r="C10" s="25">
        <f>'Customer Info'!B8</f>
        <v>0</v>
      </c>
    </row>
    <row r="11" spans="1:59" x14ac:dyDescent="0.2">
      <c r="A11" s="23" t="s">
        <v>100</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x14ac:dyDescent="0.2">
      <c r="A12" s="142"/>
      <c r="B12" s="143"/>
      <c r="C12" s="144"/>
      <c r="D12" s="144"/>
      <c r="E12" s="144"/>
      <c r="F12" s="144"/>
      <c r="G12" s="144"/>
      <c r="H12" s="144"/>
      <c r="I12" s="144"/>
      <c r="J12" s="144"/>
      <c r="K12" s="144"/>
      <c r="L12" s="144"/>
      <c r="M12" s="144"/>
      <c r="N12" s="144"/>
      <c r="O12" s="144"/>
      <c r="P12" s="144"/>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59" ht="15" x14ac:dyDescent="0.2">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
      <c r="A14" s="78"/>
      <c r="B14" s="78"/>
      <c r="C14" s="78"/>
      <c r="D14" s="78"/>
      <c r="E14" s="78"/>
      <c r="F14" s="78"/>
      <c r="G14" s="278" t="s">
        <v>15</v>
      </c>
      <c r="H14" s="278"/>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
      <c r="A17" s="153" t="s">
        <v>52</v>
      </c>
      <c r="B17" s="78"/>
      <c r="D17" s="154">
        <f>IF('Customer Info'!B21+'Customer Info'!B22-'Customer Info'!B23&lt;0,0,'Customer Info'!B21+'Customer Info'!B22-'Customer Info'!B23)</f>
        <v>1000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
      <c r="A18" s="153" t="s">
        <v>284</v>
      </c>
      <c r="B18" s="78"/>
      <c r="C18" s="154"/>
      <c r="D18" s="154">
        <f>'Customer Info'!B18</f>
        <v>0</v>
      </c>
      <c r="E18" s="210" t="s">
        <v>45</v>
      </c>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x14ac:dyDescent="0.2">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x14ac:dyDescent="0.2">
      <c r="A23" s="148" t="s">
        <v>31</v>
      </c>
      <c r="B23" s="78"/>
      <c r="C23" s="78"/>
      <c r="D23" s="78"/>
      <c r="E23" s="78"/>
      <c r="F23" s="78"/>
      <c r="G23" s="357" t="s">
        <v>68</v>
      </c>
      <c r="H23" s="358"/>
      <c r="I23" s="358"/>
      <c r="J23" s="359"/>
      <c r="K23" s="159"/>
      <c r="L23" s="354" t="s">
        <v>69</v>
      </c>
      <c r="M23" s="355"/>
      <c r="N23" s="355"/>
      <c r="O23" s="356"/>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x14ac:dyDescent="0.2">
      <c r="A24" s="78"/>
      <c r="B24" s="78"/>
      <c r="C24" s="78"/>
      <c r="D24" s="78"/>
      <c r="E24" s="78"/>
      <c r="F24" s="78"/>
      <c r="G24" s="115" t="s">
        <v>65</v>
      </c>
      <c r="H24" s="115" t="s">
        <v>66</v>
      </c>
      <c r="I24" s="115" t="s">
        <v>67</v>
      </c>
      <c r="J24" s="115" t="s">
        <v>34</v>
      </c>
      <c r="K24" s="78"/>
      <c r="L24" s="146" t="s">
        <v>65</v>
      </c>
      <c r="M24" s="146" t="s">
        <v>66</v>
      </c>
      <c r="N24" s="146" t="s">
        <v>67</v>
      </c>
      <c r="O24" s="146" t="s">
        <v>34</v>
      </c>
      <c r="P24" s="161" t="s">
        <v>57</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
      <c r="A26" s="78" t="s">
        <v>178</v>
      </c>
      <c r="B26" s="78"/>
      <c r="C26" s="78"/>
      <c r="D26" s="1">
        <f>MAX($D$17,0)</f>
        <v>1000</v>
      </c>
      <c r="E26" s="101" t="s">
        <v>41</v>
      </c>
      <c r="F26" s="106" t="s">
        <v>8</v>
      </c>
      <c r="G26" s="247"/>
      <c r="H26" s="163"/>
      <c r="I26" s="165">
        <v>1.3156299999999999E-2</v>
      </c>
      <c r="J26" s="103">
        <f>SUM(G26:I26)</f>
        <v>1.3156299999999999E-2</v>
      </c>
      <c r="K26" s="108" t="s">
        <v>92</v>
      </c>
      <c r="L26" s="105"/>
      <c r="M26" s="105"/>
      <c r="N26" s="105">
        <f>ROUND($D26*I26,2)</f>
        <v>13.16</v>
      </c>
      <c r="O26" s="250">
        <f>SUM(L26:N26)</f>
        <v>13.16</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x14ac:dyDescent="0.2">
      <c r="A27" s="210" t="s">
        <v>285</v>
      </c>
      <c r="B27" s="78"/>
      <c r="C27" s="78"/>
      <c r="D27" s="1">
        <f>D18</f>
        <v>0</v>
      </c>
      <c r="E27" s="101" t="s">
        <v>64</v>
      </c>
      <c r="F27" s="281" t="s">
        <v>8</v>
      </c>
      <c r="G27" s="247"/>
      <c r="H27" s="163"/>
      <c r="I27" s="165">
        <v>2.14</v>
      </c>
      <c r="J27" s="103">
        <f>SUM(G27:I27)</f>
        <v>2.14</v>
      </c>
      <c r="K27" s="108" t="s">
        <v>44</v>
      </c>
      <c r="L27" s="105"/>
      <c r="M27" s="105"/>
      <c r="N27" s="105">
        <f>ROUND($D27*I27,2)</f>
        <v>0</v>
      </c>
      <c r="O27" s="250">
        <f>SUM(L27:N27)</f>
        <v>0</v>
      </c>
      <c r="P27" s="245">
        <v>44531</v>
      </c>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x14ac:dyDescent="0.2">
      <c r="A28" s="166" t="s">
        <v>50</v>
      </c>
      <c r="B28" s="166"/>
      <c r="C28" s="166"/>
      <c r="D28" s="167"/>
      <c r="E28" s="167"/>
      <c r="F28" s="166"/>
      <c r="G28" s="167"/>
      <c r="H28" s="167"/>
      <c r="I28" s="167"/>
      <c r="J28" s="167"/>
      <c r="K28" s="168"/>
      <c r="L28" s="169"/>
      <c r="M28" s="169"/>
      <c r="N28" s="169">
        <f>SUM(N25:N27)</f>
        <v>23.16</v>
      </c>
      <c r="O28" s="169">
        <f>SUM(O25:O27)</f>
        <v>23.16</v>
      </c>
      <c r="P28" s="160"/>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x14ac:dyDescent="0.2">
      <c r="A29" s="170"/>
      <c r="B29" s="170"/>
      <c r="C29" s="170"/>
      <c r="D29" s="171"/>
      <c r="E29" s="171"/>
      <c r="F29" s="170"/>
      <c r="G29" s="171"/>
      <c r="H29" s="171"/>
      <c r="I29" s="171"/>
      <c r="J29" s="171"/>
      <c r="K29" s="172"/>
      <c r="L29" s="171"/>
      <c r="M29" s="171"/>
      <c r="N29" s="171"/>
      <c r="O29" s="171"/>
      <c r="P29" s="173"/>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row>
    <row r="30" spans="1:221" x14ac:dyDescent="0.2">
      <c r="A30" s="148" t="s">
        <v>70</v>
      </c>
      <c r="B30" s="166"/>
      <c r="C30" s="166"/>
      <c r="D30" s="167"/>
      <c r="E30" s="167"/>
      <c r="F30" s="166"/>
      <c r="G30" s="167"/>
      <c r="H30" s="167"/>
      <c r="I30" s="167"/>
      <c r="J30" s="167"/>
      <c r="K30" s="167"/>
      <c r="L30" s="167"/>
      <c r="M30" s="167"/>
      <c r="N30" s="167"/>
      <c r="O30" s="167"/>
      <c r="P30" s="160"/>
      <c r="Q30" s="78"/>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151"/>
      <c r="B31" s="151"/>
      <c r="C31" s="151"/>
      <c r="D31" s="151"/>
      <c r="E31" s="151"/>
      <c r="F31" s="151"/>
      <c r="G31" s="151"/>
      <c r="H31" s="151"/>
      <c r="I31" s="151"/>
      <c r="J31" s="151"/>
      <c r="K31" s="151"/>
      <c r="L31" s="151"/>
      <c r="M31" s="151"/>
      <c r="N31" s="151"/>
      <c r="O31" s="151"/>
      <c r="P31" s="174"/>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99" t="s">
        <v>79</v>
      </c>
      <c r="B32" s="176"/>
      <c r="C32" s="176"/>
      <c r="D32" s="100">
        <f>IF($D$17&lt;0,0,IF($D$17&gt;833000,833000,$D$17))</f>
        <v>1000</v>
      </c>
      <c r="E32" s="101" t="s">
        <v>41</v>
      </c>
      <c r="F32" s="102" t="s">
        <v>8</v>
      </c>
      <c r="G32" s="103"/>
      <c r="H32" s="103"/>
      <c r="I32" s="103">
        <f>'Rider Rates'!$B$4</f>
        <v>5.9216E-3</v>
      </c>
      <c r="J32" s="103">
        <f t="shared" ref="J32:J50" si="0">SUM(G32:I32)</f>
        <v>5.9216E-3</v>
      </c>
      <c r="K32" s="104" t="s">
        <v>42</v>
      </c>
      <c r="L32" s="105"/>
      <c r="M32" s="105"/>
      <c r="N32" s="105">
        <f t="shared" ref="N32:N38" si="1">ROUND(D32*I32,2)</f>
        <v>5.92</v>
      </c>
      <c r="O32" s="250">
        <f t="shared" ref="O32:O54" si="2">SUM(L32:N32)</f>
        <v>5.92</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99" t="s">
        <v>80</v>
      </c>
      <c r="B33" s="78"/>
      <c r="C33" s="78"/>
      <c r="D33" s="123">
        <f>IF($D$17&gt;833000,$D$17-833000,0)</f>
        <v>0</v>
      </c>
      <c r="E33" s="101" t="s">
        <v>41</v>
      </c>
      <c r="F33" s="102" t="s">
        <v>8</v>
      </c>
      <c r="G33" s="103"/>
      <c r="H33" s="103"/>
      <c r="I33" s="103">
        <f>'Rider Rates'!$B$5</f>
        <v>1.7560000000000001E-4</v>
      </c>
      <c r="J33" s="103">
        <f t="shared" si="0"/>
        <v>1.7560000000000001E-4</v>
      </c>
      <c r="K33" s="104" t="s">
        <v>42</v>
      </c>
      <c r="L33" s="105"/>
      <c r="M33" s="105"/>
      <c r="N33" s="105">
        <f t="shared" si="1"/>
        <v>0</v>
      </c>
      <c r="O33" s="105">
        <f t="shared" si="2"/>
        <v>0</v>
      </c>
      <c r="P33" s="245">
        <f>'Rider Rates'!$D$4</f>
        <v>45293</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99" t="s">
        <v>97</v>
      </c>
      <c r="B34" s="78"/>
      <c r="C34" s="78"/>
      <c r="D34" s="100">
        <f>IF($D$17&lt;0,0,IF($D$17&gt;2000,2000,$D$17))</f>
        <v>1000</v>
      </c>
      <c r="E34" s="101" t="s">
        <v>41</v>
      </c>
      <c r="F34" s="102" t="s">
        <v>8</v>
      </c>
      <c r="G34" s="103"/>
      <c r="H34" s="103"/>
      <c r="I34" s="177">
        <f>'Rider Rates'!$B$8</f>
        <v>4.6499999999999996E-3</v>
      </c>
      <c r="J34" s="177">
        <f t="shared" si="0"/>
        <v>4.6499999999999996E-3</v>
      </c>
      <c r="K34" s="104" t="s">
        <v>42</v>
      </c>
      <c r="L34" s="105"/>
      <c r="M34" s="105"/>
      <c r="N34" s="105">
        <f t="shared" si="1"/>
        <v>4.6500000000000004</v>
      </c>
      <c r="O34" s="105">
        <f t="shared" si="2"/>
        <v>4.6500000000000004</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99" t="s">
        <v>98</v>
      </c>
      <c r="B35" s="78"/>
      <c r="C35" s="78"/>
      <c r="D35" s="100">
        <f>IF($D$17&lt;=2000,0,IF($D$17=0,0,IF($D$17-2000&gt;13000,13000,$D$17-2000)))</f>
        <v>0</v>
      </c>
      <c r="E35" s="101" t="s">
        <v>41</v>
      </c>
      <c r="F35" s="102" t="s">
        <v>8</v>
      </c>
      <c r="G35" s="103"/>
      <c r="H35" s="103"/>
      <c r="I35" s="177">
        <f>'Rider Rates'!$B$9</f>
        <v>4.1900000000000001E-3</v>
      </c>
      <c r="J35" s="177">
        <f t="shared" si="0"/>
        <v>4.1900000000000001E-3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99" t="s">
        <v>99</v>
      </c>
      <c r="B36" s="78"/>
      <c r="C36" s="78"/>
      <c r="D36" s="100">
        <f>IF($D$17=0,0,IF($D$17-15000&gt;=0,$D$17-15000,0))</f>
        <v>0</v>
      </c>
      <c r="E36" s="101" t="s">
        <v>41</v>
      </c>
      <c r="F36" s="102" t="s">
        <v>8</v>
      </c>
      <c r="G36" s="103"/>
      <c r="H36" s="103"/>
      <c r="I36" s="177">
        <f>'Rider Rates'!$B$10</f>
        <v>3.63E-3</v>
      </c>
      <c r="J36" s="177">
        <f t="shared" si="0"/>
        <v>3.63E-3</v>
      </c>
      <c r="K36" s="104" t="s">
        <v>42</v>
      </c>
      <c r="L36" s="105"/>
      <c r="M36" s="105"/>
      <c r="N36" s="105">
        <f t="shared" si="1"/>
        <v>0</v>
      </c>
      <c r="O36" s="105">
        <f t="shared" si="2"/>
        <v>0</v>
      </c>
      <c r="P36" s="245">
        <f>'Rider Rates'!$D$7</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99" t="s">
        <v>114</v>
      </c>
      <c r="B37" s="78"/>
      <c r="C37" s="78"/>
      <c r="D37" s="195">
        <f>$N$28</f>
        <v>23.16</v>
      </c>
      <c r="E37" s="101" t="s">
        <v>122</v>
      </c>
      <c r="F37" s="102" t="s">
        <v>8</v>
      </c>
      <c r="G37" s="103"/>
      <c r="H37" s="103"/>
      <c r="I37" s="178">
        <f>'Rider Rates'!$B$12</f>
        <v>0</v>
      </c>
      <c r="J37" s="178">
        <f t="shared" si="0"/>
        <v>0</v>
      </c>
      <c r="K37" s="104"/>
      <c r="L37" s="105"/>
      <c r="M37" s="105"/>
      <c r="N37" s="105">
        <f t="shared" si="1"/>
        <v>0</v>
      </c>
      <c r="O37" s="105">
        <f t="shared" si="2"/>
        <v>0</v>
      </c>
      <c r="P37" s="245">
        <f>'Rider Rates'!$D$12</f>
        <v>44531</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10" t="s">
        <v>160</v>
      </c>
      <c r="B38" s="78"/>
      <c r="C38" s="78"/>
      <c r="D38" s="100">
        <f>IF($D$17&lt;0,0,$D$17)</f>
        <v>1000</v>
      </c>
      <c r="E38" s="101" t="s">
        <v>41</v>
      </c>
      <c r="F38" s="102" t="s">
        <v>8</v>
      </c>
      <c r="G38" s="103"/>
      <c r="H38" s="103"/>
      <c r="I38" s="103">
        <f>'Rider Rates'!B15</f>
        <v>0</v>
      </c>
      <c r="J38" s="103">
        <f>SUM(G38:I38)</f>
        <v>0</v>
      </c>
      <c r="K38" s="104" t="s">
        <v>42</v>
      </c>
      <c r="L38" s="105"/>
      <c r="M38" s="105"/>
      <c r="N38" s="105">
        <f t="shared" si="1"/>
        <v>0</v>
      </c>
      <c r="O38" s="105">
        <f t="shared" ref="O38:O44" si="3">SUM(L38:N38)</f>
        <v>0</v>
      </c>
      <c r="P38" s="245">
        <f>'Rider Rates'!$D$15</f>
        <v>45383</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41" t="s">
        <v>239</v>
      </c>
      <c r="B39" s="78"/>
      <c r="C39" s="78"/>
      <c r="D39" s="195">
        <f>$N$28</f>
        <v>23.16</v>
      </c>
      <c r="E39" s="101" t="s">
        <v>122</v>
      </c>
      <c r="F39" s="102" t="s">
        <v>8</v>
      </c>
      <c r="G39" s="103"/>
      <c r="H39" s="103"/>
      <c r="I39" s="178">
        <f>'Rider Rates'!$B$18</f>
        <v>0</v>
      </c>
      <c r="J39" s="178">
        <f>SUM(G39:I39)</f>
        <v>0</v>
      </c>
      <c r="K39" s="104"/>
      <c r="L39" s="105"/>
      <c r="M39" s="105"/>
      <c r="N39" s="105">
        <f>ROUND($D$39*'Rider Rates'!$B$18,2)+ROUND($D$39*'Rider Rates'!$E$18,2)</f>
        <v>0</v>
      </c>
      <c r="O39" s="105">
        <f t="shared" si="3"/>
        <v>0</v>
      </c>
      <c r="P39" s="245">
        <f>MAX('Rider Rates'!$D$18,'Rider Rates'!$F$18)</f>
        <v>44531</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210" t="s">
        <v>187</v>
      </c>
      <c r="B40" s="78"/>
      <c r="C40" s="78"/>
      <c r="D40" s="100">
        <f>'Customer Info'!$B$21+'Customer Info'!$B$22-'Customer Info'!$B$23</f>
        <v>1000</v>
      </c>
      <c r="E40" s="101" t="s">
        <v>41</v>
      </c>
      <c r="F40" s="102" t="s">
        <v>8</v>
      </c>
      <c r="G40" s="103">
        <f>'Rider Rates'!$B$21</f>
        <v>0.10589</v>
      </c>
      <c r="H40" s="103"/>
      <c r="I40" s="103"/>
      <c r="J40" s="237">
        <f>SUM(G40:H40)</f>
        <v>0.10589</v>
      </c>
      <c r="K40" s="104" t="s">
        <v>42</v>
      </c>
      <c r="L40" s="105">
        <f>ROUND(D40*G40,2)</f>
        <v>105.89</v>
      </c>
      <c r="M40" s="105"/>
      <c r="N40" s="105"/>
      <c r="O40" s="105">
        <f t="shared" si="3"/>
        <v>105.89</v>
      </c>
      <c r="P40" s="245">
        <f>'Rider Rates'!$D$21</f>
        <v>45078</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210" t="s">
        <v>162</v>
      </c>
      <c r="B41" s="78"/>
      <c r="C41" s="78"/>
      <c r="D41" s="100">
        <f>'Customer Info'!$B$21+'Customer Info'!$B$22-'Customer Info'!$B$23</f>
        <v>1000</v>
      </c>
      <c r="E41" s="101" t="s">
        <v>41</v>
      </c>
      <c r="F41" s="102" t="s">
        <v>8</v>
      </c>
      <c r="G41" s="103">
        <f>'Rider Rates'!$B$28</f>
        <v>3.8800000000000002E-3</v>
      </c>
      <c r="H41" s="103"/>
      <c r="I41" s="103"/>
      <c r="J41" s="237">
        <f>SUM(G41:H41)</f>
        <v>3.8800000000000002E-3</v>
      </c>
      <c r="K41" s="104" t="s">
        <v>42</v>
      </c>
      <c r="L41" s="239">
        <f>ROUND($D$41*$G$41,2)</f>
        <v>3.88</v>
      </c>
      <c r="M41" s="105"/>
      <c r="N41" s="105"/>
      <c r="O41" s="105">
        <f>SUM(L41:N41)</f>
        <v>3.88</v>
      </c>
      <c r="P41" s="245">
        <f>'Rider Rates'!$D$28</f>
        <v>45078</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210" t="s">
        <v>194</v>
      </c>
      <c r="B42" s="78"/>
      <c r="C42" s="78"/>
      <c r="D42" s="100">
        <f>'Customer Info'!$B$21+'Customer Info'!$B$22-'Customer Info'!$B$23</f>
        <v>1000</v>
      </c>
      <c r="E42" s="101" t="s">
        <v>41</v>
      </c>
      <c r="F42" s="102" t="s">
        <v>8</v>
      </c>
      <c r="G42" s="103">
        <f>'Rider Rates'!$B$42</f>
        <v>-4.8640000000000001E-4</v>
      </c>
      <c r="H42" s="103"/>
      <c r="I42" s="103"/>
      <c r="J42" s="237">
        <f>SUM(G42:H42)</f>
        <v>-4.8640000000000001E-4</v>
      </c>
      <c r="K42" s="104" t="s">
        <v>42</v>
      </c>
      <c r="L42" s="105">
        <f>ROUND(D42*G42,2)</f>
        <v>-0.49</v>
      </c>
      <c r="M42" s="105"/>
      <c r="N42" s="105"/>
      <c r="O42" s="105">
        <f t="shared" si="3"/>
        <v>-0.49</v>
      </c>
      <c r="P42" s="245">
        <f>'Rider Rates'!$D$42</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41" t="s">
        <v>212</v>
      </c>
      <c r="B43" s="78"/>
      <c r="C43" s="78"/>
      <c r="D43" s="100"/>
      <c r="E43" s="101" t="s">
        <v>115</v>
      </c>
      <c r="F43" s="102"/>
      <c r="G43" s="103"/>
      <c r="H43" s="103"/>
      <c r="I43" s="103">
        <f>'Rider Rates'!D45</f>
        <v>1.47</v>
      </c>
      <c r="J43" s="237">
        <f>SUM(G43:I43)</f>
        <v>1.47</v>
      </c>
      <c r="K43" s="104"/>
      <c r="L43" s="105"/>
      <c r="M43" s="105"/>
      <c r="N43" s="105">
        <f>J43</f>
        <v>1.47</v>
      </c>
      <c r="O43" s="105">
        <f>SUM(L43:N43)</f>
        <v>1.47</v>
      </c>
      <c r="P43" s="245">
        <f>'Rider Rates'!E45</f>
        <v>45292</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190</v>
      </c>
      <c r="B44" s="78"/>
      <c r="C44" s="78"/>
      <c r="D44" s="100">
        <f>IF($D$17&lt;0,0,$D$17)</f>
        <v>1000</v>
      </c>
      <c r="E44" s="113" t="s">
        <v>41</v>
      </c>
      <c r="F44" s="102" t="s">
        <v>8</v>
      </c>
      <c r="G44" s="103"/>
      <c r="H44" s="103">
        <f>'Rider Rates'!$B$52</f>
        <v>4.3837099999999997E-2</v>
      </c>
      <c r="I44" s="103"/>
      <c r="J44" s="103">
        <f>SUM(G44:I44)</f>
        <v>4.3837099999999997E-2</v>
      </c>
      <c r="K44" s="104" t="s">
        <v>42</v>
      </c>
      <c r="L44" s="105"/>
      <c r="M44" s="105">
        <f>ROUND(D44*H44,2)</f>
        <v>43.84</v>
      </c>
      <c r="N44" s="205"/>
      <c r="O44" s="105">
        <f t="shared" si="3"/>
        <v>43.84</v>
      </c>
      <c r="P44" s="245">
        <f>'Rider Rates'!$D$52</f>
        <v>45383</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99" t="s">
        <v>96</v>
      </c>
      <c r="B45" s="78"/>
      <c r="C45" s="78"/>
      <c r="D45" s="100">
        <f>IF('Customer Info'!C34=TRUE,0,IF($D$17&lt;0,0,$D$17))</f>
        <v>1000</v>
      </c>
      <c r="E45" s="101" t="s">
        <v>41</v>
      </c>
      <c r="F45" s="102" t="s">
        <v>8</v>
      </c>
      <c r="G45" s="103"/>
      <c r="H45" s="103"/>
      <c r="I45" s="103">
        <f>'Rider Rates'!$B$64+'Rider Rates'!$C$64</f>
        <v>0</v>
      </c>
      <c r="J45" s="103">
        <f t="shared" si="0"/>
        <v>0</v>
      </c>
      <c r="K45" s="104" t="s">
        <v>42</v>
      </c>
      <c r="L45" s="105"/>
      <c r="M45" s="105"/>
      <c r="N45" s="105">
        <f>ROUND($D$45*'Rider Rates'!$B$64,2)+ROUND($D$45*'Rider Rates'!$C$64,2)</f>
        <v>0</v>
      </c>
      <c r="O45" s="250">
        <f t="shared" si="2"/>
        <v>0</v>
      </c>
      <c r="P45" s="245">
        <f>'Rider Rates'!$D$64</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81</v>
      </c>
      <c r="B46" s="78"/>
      <c r="C46" s="78"/>
      <c r="D46" s="195">
        <f>$N$28</f>
        <v>23.16</v>
      </c>
      <c r="E46" s="101" t="s">
        <v>122</v>
      </c>
      <c r="F46" s="102" t="s">
        <v>8</v>
      </c>
      <c r="G46" s="111"/>
      <c r="H46" s="112"/>
      <c r="I46" s="120">
        <f>'Rider Rates'!$B$80</f>
        <v>2.9347000000000002E-2</v>
      </c>
      <c r="J46" s="120">
        <f>SUM(G46:I46)</f>
        <v>2.9347000000000002E-2</v>
      </c>
      <c r="K46" s="104"/>
      <c r="L46" s="105"/>
      <c r="M46" s="105"/>
      <c r="N46" s="105">
        <f>ROUND(D46*I46,2)</f>
        <v>0.68</v>
      </c>
      <c r="O46" s="105">
        <f t="shared" si="2"/>
        <v>0.68</v>
      </c>
      <c r="P46" s="245">
        <f>'Rider Rates'!$D$80</f>
        <v>45383</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99" t="s">
        <v>82</v>
      </c>
      <c r="B47" s="78"/>
      <c r="C47" s="78"/>
      <c r="D47" s="195">
        <f>$N$28</f>
        <v>23.16</v>
      </c>
      <c r="E47" s="101" t="s">
        <v>122</v>
      </c>
      <c r="F47" s="102" t="s">
        <v>8</v>
      </c>
      <c r="G47" s="114"/>
      <c r="H47" s="115"/>
      <c r="I47" s="120">
        <f>'Rider Rates'!$B$82</f>
        <v>6.6985699999999995E-2</v>
      </c>
      <c r="J47" s="120">
        <f t="shared" si="0"/>
        <v>6.6985699999999995E-2</v>
      </c>
      <c r="K47" s="104"/>
      <c r="L47" s="105"/>
      <c r="M47" s="105"/>
      <c r="N47" s="105">
        <f>ROUND(D47*I47,2)</f>
        <v>1.55</v>
      </c>
      <c r="O47" s="105">
        <f t="shared" si="2"/>
        <v>1.55</v>
      </c>
      <c r="P47" s="245">
        <f>'Rider Rates'!$D$82</f>
        <v>45167</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208</v>
      </c>
      <c r="B48" s="78"/>
      <c r="C48" s="78"/>
      <c r="D48" s="195"/>
      <c r="E48" s="113" t="s">
        <v>115</v>
      </c>
      <c r="F48" s="106"/>
      <c r="G48" s="114"/>
      <c r="H48" s="115"/>
      <c r="I48" s="196">
        <f>'Rider Rates'!$B$85</f>
        <v>1.95</v>
      </c>
      <c r="J48" s="196">
        <f>SUM(G48:I48)</f>
        <v>1.95</v>
      </c>
      <c r="K48" s="104"/>
      <c r="L48" s="105"/>
      <c r="M48" s="105"/>
      <c r="N48" s="105">
        <f>I48</f>
        <v>1.95</v>
      </c>
      <c r="O48" s="250">
        <f>SUM(L48:N48)</f>
        <v>1.95</v>
      </c>
      <c r="P48" s="245">
        <f>'Rider Rates'!$D$85</f>
        <v>45259</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
      <c r="A49" s="241" t="s">
        <v>241</v>
      </c>
      <c r="B49" s="78"/>
      <c r="C49" s="78"/>
      <c r="D49" s="100">
        <f>IF($D$17&lt;0,0,$D$17)</f>
        <v>1000</v>
      </c>
      <c r="E49" s="101" t="s">
        <v>41</v>
      </c>
      <c r="F49" s="102" t="s">
        <v>8</v>
      </c>
      <c r="G49" s="103"/>
      <c r="H49" s="103"/>
      <c r="I49" s="103"/>
      <c r="J49" s="103">
        <f>'Rider Rates'!$B$89</f>
        <v>0</v>
      </c>
      <c r="K49" s="104" t="s">
        <v>42</v>
      </c>
      <c r="L49" s="105"/>
      <c r="M49" s="105"/>
      <c r="N49" s="105"/>
      <c r="O49" s="105">
        <f>ROUND($D49*('Rider Rates'!B$89),2)</f>
        <v>0</v>
      </c>
      <c r="P49" s="245">
        <f>'Rider Rates'!$D$89</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
      <c r="A50" s="99" t="s">
        <v>157</v>
      </c>
      <c r="B50" s="78"/>
      <c r="C50" s="78"/>
      <c r="D50" s="195">
        <f>$N$28</f>
        <v>23.16</v>
      </c>
      <c r="E50" s="101" t="s">
        <v>122</v>
      </c>
      <c r="F50" s="102" t="s">
        <v>8</v>
      </c>
      <c r="G50" s="114"/>
      <c r="H50" s="115"/>
      <c r="I50" s="120">
        <f>'Rider Rates'!$B$100</f>
        <v>0.21398439999999999</v>
      </c>
      <c r="J50" s="238">
        <f t="shared" si="0"/>
        <v>0.21398439999999999</v>
      </c>
      <c r="K50" s="104"/>
      <c r="L50" s="105"/>
      <c r="M50" s="105"/>
      <c r="N50" s="105">
        <f>ROUND(D50*I50,2)</f>
        <v>4.96</v>
      </c>
      <c r="O50" s="105">
        <f t="shared" si="2"/>
        <v>4.96</v>
      </c>
      <c r="P50" s="245">
        <f>'Rider Rates'!$D$100</f>
        <v>45351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
      <c r="A51" s="210" t="s">
        <v>211</v>
      </c>
      <c r="B51" s="78"/>
      <c r="C51" s="78"/>
      <c r="D51" s="195"/>
      <c r="E51" s="113" t="s">
        <v>115</v>
      </c>
      <c r="F51" s="106"/>
      <c r="G51" s="114"/>
      <c r="H51" s="115"/>
      <c r="I51" s="196">
        <f>'Rider Rates'!$B$103</f>
        <v>0</v>
      </c>
      <c r="J51" s="196">
        <f>SUM(G51:I51)</f>
        <v>0</v>
      </c>
      <c r="K51" s="104"/>
      <c r="L51" s="105"/>
      <c r="M51" s="105"/>
      <c r="N51" s="105">
        <f>I51</f>
        <v>0</v>
      </c>
      <c r="O51" s="105">
        <f>SUM(L51:N51)</f>
        <v>0</v>
      </c>
      <c r="P51" s="245">
        <f>'Rider Rates'!$D$103</f>
        <v>44894</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
      <c r="A52" s="210" t="s">
        <v>219</v>
      </c>
      <c r="B52" s="78"/>
      <c r="C52" s="78"/>
      <c r="D52" s="195"/>
      <c r="E52" s="113" t="s">
        <v>115</v>
      </c>
      <c r="F52" s="106"/>
      <c r="G52" s="114"/>
      <c r="H52" s="115"/>
      <c r="I52" s="258">
        <f>'Rider Rates'!B116</f>
        <v>1.26</v>
      </c>
      <c r="J52" s="259">
        <f>SUM(G52:I52)</f>
        <v>1.26</v>
      </c>
      <c r="K52" s="104"/>
      <c r="L52" s="105"/>
      <c r="M52" s="105"/>
      <c r="N52" s="260">
        <f>I52</f>
        <v>1.26</v>
      </c>
      <c r="O52" s="105">
        <f>SUM(L52:N52)</f>
        <v>1.26</v>
      </c>
      <c r="P52" s="245">
        <f>'Rider Rates'!D116</f>
        <v>45226</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
      <c r="A53" s="99" t="s">
        <v>158</v>
      </c>
      <c r="B53" s="78"/>
      <c r="C53" s="78"/>
      <c r="D53" s="100">
        <f>'Customer Info'!$B$21+'Customer Info'!$B$22-'Customer Info'!$B$23</f>
        <v>1000</v>
      </c>
      <c r="E53" s="101" t="s">
        <v>41</v>
      </c>
      <c r="F53" s="102" t="s">
        <v>8</v>
      </c>
      <c r="G53" s="103">
        <f>'Rider Rates'!$B$107</f>
        <v>3.8972999999999998E-3</v>
      </c>
      <c r="H53" s="103"/>
      <c r="I53" s="103"/>
      <c r="J53" s="237">
        <f>SUM(G53:H53)</f>
        <v>3.8972999999999998E-3</v>
      </c>
      <c r="K53" s="104" t="s">
        <v>42</v>
      </c>
      <c r="L53" s="105">
        <f>ROUND(D53*G53,2)</f>
        <v>3.9</v>
      </c>
      <c r="M53" s="105"/>
      <c r="N53" s="105"/>
      <c r="O53" s="105">
        <f t="shared" si="2"/>
        <v>3.9</v>
      </c>
      <c r="P53" s="245">
        <f>'Rider Rates'!$D$107</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
      <c r="A54" s="210" t="s">
        <v>210</v>
      </c>
      <c r="B54" s="78"/>
      <c r="C54" s="78"/>
      <c r="D54" s="100">
        <f>IF($D$17&lt;1,0,$D$17)</f>
        <v>1000</v>
      </c>
      <c r="E54" s="101" t="s">
        <v>41</v>
      </c>
      <c r="F54" s="249" t="s">
        <v>8</v>
      </c>
      <c r="G54" s="103"/>
      <c r="H54" s="103"/>
      <c r="I54" s="103">
        <f>'Rider Rates'!$B$112</f>
        <v>-2.3000000000000001E-4</v>
      </c>
      <c r="J54" s="237">
        <f>SUM(G54:I54)</f>
        <v>-2.3000000000000001E-4</v>
      </c>
      <c r="K54" s="104" t="s">
        <v>42</v>
      </c>
      <c r="L54" s="105"/>
      <c r="M54" s="105"/>
      <c r="N54" s="105">
        <f>D54*J54</f>
        <v>-0.23</v>
      </c>
      <c r="O54" s="105">
        <f t="shared" si="2"/>
        <v>-0.23</v>
      </c>
      <c r="P54" s="245">
        <f>'Rider Rates'!D112</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
      <c r="A55" s="241" t="s">
        <v>232</v>
      </c>
      <c r="B55" s="78"/>
      <c r="C55" s="78"/>
      <c r="D55" s="100"/>
      <c r="E55" s="101" t="s">
        <v>115</v>
      </c>
      <c r="F55" s="102" t="s">
        <v>8</v>
      </c>
      <c r="G55" s="263"/>
      <c r="H55" s="263"/>
      <c r="I55" s="263">
        <f>'Rider Rates'!$B$120</f>
        <v>0.1</v>
      </c>
      <c r="J55" s="263">
        <f>SUM(G55:I55)</f>
        <v>0.1</v>
      </c>
      <c r="K55" s="104"/>
      <c r="L55" s="209"/>
      <c r="M55" s="209"/>
      <c r="N55" s="209">
        <f>J55</f>
        <v>0.1</v>
      </c>
      <c r="O55" s="209">
        <f>SUM(L55:N55)</f>
        <v>0.1</v>
      </c>
      <c r="P55" s="264">
        <f>'Rider Rates'!E120</f>
        <v>44927</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
      <c r="A56" s="241" t="s">
        <v>244</v>
      </c>
      <c r="B56" s="78"/>
      <c r="C56" s="78"/>
      <c r="D56" s="100">
        <f>D17</f>
        <v>1000</v>
      </c>
      <c r="E56" s="101" t="s">
        <v>41</v>
      </c>
      <c r="F56" s="249" t="s">
        <v>8</v>
      </c>
      <c r="G56" s="103"/>
      <c r="H56" s="103"/>
      <c r="I56" s="103">
        <f>'Rider Rates'!B125</f>
        <v>0</v>
      </c>
      <c r="J56" s="237">
        <f>SUM(G56:I56)</f>
        <v>0</v>
      </c>
      <c r="K56" s="104" t="s">
        <v>42</v>
      </c>
      <c r="L56" s="105"/>
      <c r="M56" s="105"/>
      <c r="N56" s="105">
        <f>D56*J56</f>
        <v>0</v>
      </c>
      <c r="O56" s="105">
        <f t="shared" ref="O56" si="4">SUM(L56:N56)</f>
        <v>0</v>
      </c>
      <c r="P56" s="245">
        <f>'Rider Rates'!D125</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
      <c r="A57" s="241" t="s">
        <v>243</v>
      </c>
      <c r="B57" s="78"/>
      <c r="C57" s="78"/>
      <c r="D57" s="100"/>
      <c r="E57" s="101" t="s">
        <v>115</v>
      </c>
      <c r="F57" s="102" t="s">
        <v>8</v>
      </c>
      <c r="G57" s="263"/>
      <c r="H57" s="263"/>
      <c r="I57" s="263">
        <f>'Rider Rates'!$B$132</f>
        <v>0</v>
      </c>
      <c r="J57" s="263">
        <f>SUM(G57:I57)</f>
        <v>0</v>
      </c>
      <c r="K57" s="104"/>
      <c r="L57" s="209"/>
      <c r="M57" s="209"/>
      <c r="N57" s="209">
        <f>J57</f>
        <v>0</v>
      </c>
      <c r="O57" s="209">
        <f>SUM(L57:N57)</f>
        <v>0</v>
      </c>
      <c r="P57" s="264">
        <f>'Rider Rates'!D132</f>
        <v>44531</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
      <c r="A58" s="241" t="s">
        <v>245</v>
      </c>
      <c r="B58" s="78"/>
      <c r="C58" s="78"/>
      <c r="D58" s="100"/>
      <c r="E58" s="101"/>
      <c r="F58" s="102"/>
      <c r="G58" s="263"/>
      <c r="H58" s="263"/>
      <c r="I58" s="263"/>
      <c r="J58" s="263"/>
      <c r="K58" s="104"/>
      <c r="L58" s="209"/>
      <c r="M58" s="209"/>
      <c r="N58" s="209"/>
      <c r="O58" s="209"/>
      <c r="P58" s="264"/>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
      <c r="A59" s="179" t="s">
        <v>71</v>
      </c>
      <c r="B59" s="148"/>
      <c r="C59" s="148"/>
      <c r="D59" s="180"/>
      <c r="E59" s="181"/>
      <c r="F59" s="182"/>
      <c r="G59" s="182"/>
      <c r="H59" s="182"/>
      <c r="I59" s="182"/>
      <c r="J59" s="182"/>
      <c r="K59" s="183"/>
      <c r="L59" s="169">
        <f>SUM(L32:L58)</f>
        <v>113.18</v>
      </c>
      <c r="M59" s="169">
        <f t="shared" ref="M59:O59" si="5">SUM(M32:M58)</f>
        <v>43.84</v>
      </c>
      <c r="N59" s="169">
        <f t="shared" si="5"/>
        <v>22.310000000000006</v>
      </c>
      <c r="O59" s="169">
        <f t="shared" si="5"/>
        <v>179.33000000000004</v>
      </c>
      <c r="P59" s="184"/>
      <c r="Q59" s="10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
      <c r="A60" s="78"/>
      <c r="B60" s="78"/>
      <c r="C60" s="78"/>
      <c r="D60" s="100"/>
      <c r="E60" s="113"/>
      <c r="F60" s="106"/>
      <c r="G60" s="106"/>
      <c r="H60" s="106"/>
      <c r="I60" s="106"/>
      <c r="J60" s="107"/>
      <c r="K60" s="104"/>
      <c r="L60" s="106"/>
      <c r="M60" s="106"/>
      <c r="N60" s="106"/>
      <c r="O60" s="106"/>
      <c r="P60" s="164"/>
      <c r="Q60" s="10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
      <c r="A61" s="185" t="s">
        <v>94</v>
      </c>
      <c r="B61" s="170"/>
      <c r="C61" s="170"/>
      <c r="D61" s="170"/>
      <c r="E61" s="170"/>
      <c r="F61" s="170"/>
      <c r="G61" s="170"/>
      <c r="H61" s="170"/>
      <c r="I61" s="170"/>
      <c r="J61" s="170"/>
      <c r="K61" s="170"/>
      <c r="L61" s="186">
        <f>L28+L59</f>
        <v>113.18</v>
      </c>
      <c r="M61" s="186">
        <f>M28+M59</f>
        <v>43.84</v>
      </c>
      <c r="N61" s="186">
        <f>N28+N59</f>
        <v>45.470000000000006</v>
      </c>
      <c r="O61" s="187">
        <f>O28+O59</f>
        <v>202.49000000000004</v>
      </c>
      <c r="P61" s="187"/>
      <c r="Q61" s="10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
      <c r="A62" s="78"/>
      <c r="B62" s="78"/>
      <c r="C62" s="78"/>
      <c r="D62" s="78"/>
      <c r="E62" s="78"/>
      <c r="F62" s="78"/>
      <c r="G62" s="78"/>
      <c r="H62" s="78"/>
      <c r="I62" s="78"/>
      <c r="J62" s="78"/>
      <c r="K62" s="78"/>
      <c r="L62" s="78"/>
      <c r="M62" s="78"/>
      <c r="N62" s="151"/>
      <c r="O62" s="151"/>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x14ac:dyDescent="0.2">
      <c r="A63" s="78"/>
      <c r="B63" s="78"/>
      <c r="C63" s="78"/>
      <c r="D63" s="78"/>
      <c r="E63" s="78"/>
      <c r="F63" s="78"/>
      <c r="G63" s="78"/>
      <c r="H63" s="78"/>
      <c r="I63" s="78"/>
      <c r="J63" s="78"/>
      <c r="K63" s="78"/>
      <c r="L63" s="78"/>
      <c r="M63" s="78"/>
      <c r="N63" s="151"/>
      <c r="O63" s="151"/>
      <c r="P63" s="151"/>
      <c r="Q63" s="166"/>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x14ac:dyDescent="0.2">
      <c r="A64" s="166" t="s">
        <v>93</v>
      </c>
      <c r="B64" s="78"/>
      <c r="C64" s="78"/>
      <c r="D64" s="78"/>
      <c r="E64" s="78"/>
      <c r="F64" s="78"/>
      <c r="G64" s="78"/>
      <c r="H64" s="78"/>
      <c r="I64" s="78"/>
      <c r="J64" s="78"/>
      <c r="K64" s="78"/>
      <c r="L64" s="78"/>
      <c r="M64" s="78"/>
      <c r="N64" s="78"/>
      <c r="O64" s="109">
        <f>IF(D17&lt;0,MIN(O25,O61),O25)</f>
        <v>10</v>
      </c>
      <c r="P64" s="151"/>
      <c r="Q64" s="166"/>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x14ac:dyDescent="0.2">
      <c r="A65" s="166" t="s">
        <v>15</v>
      </c>
      <c r="B65" s="166"/>
      <c r="C65" s="166"/>
      <c r="D65" s="166"/>
      <c r="E65" s="166"/>
      <c r="F65" s="166"/>
      <c r="G65" s="166"/>
      <c r="H65" s="166"/>
      <c r="I65" s="78"/>
      <c r="J65" s="78"/>
      <c r="K65" s="78"/>
      <c r="L65" s="78"/>
      <c r="M65" s="78"/>
      <c r="N65" s="151"/>
      <c r="O65" s="151"/>
      <c r="P65" s="151"/>
      <c r="Q65" s="78"/>
      <c r="R65" s="107"/>
      <c r="S65" s="108"/>
      <c r="T65" s="109"/>
      <c r="U65" s="78"/>
      <c r="V65" s="110"/>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x14ac:dyDescent="0.2">
      <c r="A66" s="148" t="s">
        <v>117</v>
      </c>
      <c r="B66" s="151"/>
      <c r="C66" s="151"/>
      <c r="D66" s="151"/>
      <c r="E66" s="151"/>
      <c r="F66" s="151"/>
      <c r="G66" s="151"/>
      <c r="H66" s="151"/>
      <c r="I66" s="151"/>
      <c r="J66" s="151"/>
      <c r="K66" s="151"/>
      <c r="L66" s="151"/>
      <c r="M66" s="151"/>
      <c r="N66" s="151"/>
      <c r="O66" s="190">
        <f>IF($D$17&lt;0,O61,IF(O61&gt;O64,O61,O64))</f>
        <v>202.49000000000004</v>
      </c>
      <c r="P66" s="160"/>
      <c r="Q66" s="78"/>
      <c r="R66" s="107"/>
      <c r="S66" s="108"/>
      <c r="T66" s="109"/>
      <c r="U66" s="78"/>
      <c r="V66" s="110"/>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row>
    <row r="67" spans="1:236" x14ac:dyDescent="0.2">
      <c r="A67" s="148"/>
      <c r="B67" s="151"/>
      <c r="C67" s="151"/>
      <c r="D67" s="151"/>
      <c r="E67" s="151"/>
      <c r="F67" s="151"/>
      <c r="G67" s="151"/>
      <c r="H67" s="151"/>
      <c r="I67" s="151"/>
      <c r="J67" s="151"/>
      <c r="K67" s="151"/>
      <c r="L67" s="151"/>
      <c r="M67" s="151"/>
      <c r="N67" s="151"/>
      <c r="O67" s="138"/>
      <c r="P67" s="160"/>
      <c r="Q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row>
    <row r="68" spans="1:236" x14ac:dyDescent="0.2">
      <c r="A68" s="148"/>
      <c r="B68" s="166"/>
      <c r="C68" s="166"/>
      <c r="D68" s="166"/>
      <c r="E68" s="166"/>
      <c r="F68" s="166"/>
      <c r="G68" s="166"/>
      <c r="H68" s="166"/>
      <c r="I68" s="166" t="s">
        <v>121</v>
      </c>
      <c r="J68" s="166"/>
      <c r="K68" s="166"/>
      <c r="L68" s="191"/>
      <c r="M68" s="191"/>
      <c r="N68" s="191"/>
      <c r="O68" s="191">
        <f>ROUND(IF($D$17&lt;1,0,O61/($D$17*100)*10000),2)</f>
        <v>20.25</v>
      </c>
      <c r="P68" s="37" t="s">
        <v>87</v>
      </c>
      <c r="Q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row>
    <row r="69" spans="1:236" x14ac:dyDescent="0.2">
      <c r="A69" s="37"/>
      <c r="B69" s="78"/>
      <c r="C69" s="78"/>
      <c r="D69" s="78"/>
      <c r="E69" s="78"/>
      <c r="F69" s="78"/>
      <c r="G69" s="78"/>
      <c r="H69" s="192"/>
      <c r="I69" s="242" t="s">
        <v>191</v>
      </c>
      <c r="J69" s="78"/>
      <c r="K69" s="78"/>
      <c r="L69" s="78"/>
      <c r="M69" s="78"/>
      <c r="N69" s="78"/>
      <c r="O69" s="243">
        <f>ROUND(IF($D$17&lt;1,0,(L61)/($D$17*100)*10000),2)</f>
        <v>11.32</v>
      </c>
      <c r="P69" s="25" t="s">
        <v>87</v>
      </c>
      <c r="Q69" s="78"/>
      <c r="AE69" s="78"/>
      <c r="AF69" s="78"/>
      <c r="AG69" s="78"/>
      <c r="AH69" s="78"/>
      <c r="AI69" s="78"/>
      <c r="AJ69" s="78"/>
      <c r="AK69" s="78"/>
      <c r="AL69" s="78"/>
      <c r="AM69" s="78"/>
      <c r="AN69" s="78"/>
      <c r="AO69" s="78"/>
      <c r="AP69" s="78"/>
      <c r="AQ69" s="78"/>
      <c r="AR69" s="78"/>
      <c r="AS69" s="78"/>
      <c r="AT69" s="78"/>
      <c r="HE69" s="78"/>
      <c r="HF69" s="78"/>
      <c r="HG69" s="78"/>
      <c r="HH69" s="78"/>
      <c r="HI69" s="78"/>
      <c r="HJ69" s="78"/>
      <c r="HK69" s="78"/>
      <c r="HL69" s="78"/>
      <c r="HM69" s="78"/>
      <c r="HN69" s="78"/>
    </row>
    <row r="70" spans="1:236" x14ac:dyDescent="0.2">
      <c r="A70" s="99"/>
      <c r="B70" s="78"/>
      <c r="C70" s="78"/>
      <c r="D70" s="100"/>
      <c r="E70" s="101"/>
      <c r="F70" s="106"/>
      <c r="G70" s="133"/>
      <c r="H70" s="56"/>
      <c r="I70" s="133"/>
      <c r="J70" s="25"/>
      <c r="K70" s="25"/>
      <c r="L70" s="134"/>
      <c r="M70" s="134"/>
      <c r="N70" s="134"/>
      <c r="O70" s="135"/>
      <c r="Q70" s="80"/>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row>
    <row r="71" spans="1:236" x14ac:dyDescent="0.2">
      <c r="A71" s="99"/>
      <c r="B71" s="78"/>
      <c r="C71" s="78"/>
      <c r="D71" s="100"/>
      <c r="E71" s="113"/>
      <c r="F71" s="106"/>
      <c r="Q71" s="80"/>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row>
    <row r="72" spans="1:236" x14ac:dyDescent="0.2">
      <c r="A72" s="78"/>
      <c r="D72" s="1"/>
      <c r="E72" s="35"/>
      <c r="F72" s="106"/>
      <c r="Q72" s="80"/>
    </row>
    <row r="73" spans="1:236" x14ac:dyDescent="0.2">
      <c r="A73" s="96"/>
      <c r="D73" s="1"/>
      <c r="E73" s="35"/>
      <c r="F73" s="4"/>
      <c r="Q73" s="36"/>
    </row>
    <row r="74" spans="1:236" x14ac:dyDescent="0.2">
      <c r="A74" s="96"/>
      <c r="D74" s="1"/>
      <c r="E74" s="35"/>
      <c r="F74" s="4"/>
      <c r="Q74" s="36"/>
    </row>
    <row r="75" spans="1:236" x14ac:dyDescent="0.2">
      <c r="A75" s="41"/>
      <c r="B75" s="77"/>
      <c r="C75" s="77"/>
      <c r="D75" s="77"/>
      <c r="E75" s="77"/>
      <c r="F75" s="77"/>
    </row>
    <row r="76" spans="1:236" x14ac:dyDescent="0.2">
      <c r="B76" s="37"/>
      <c r="C76" s="37"/>
      <c r="D76" s="37"/>
      <c r="E76" s="37"/>
      <c r="F76" s="37"/>
      <c r="P76" s="37"/>
      <c r="Q76" s="37"/>
    </row>
    <row r="77" spans="1:236" x14ac:dyDescent="0.2">
      <c r="B77" s="37"/>
      <c r="C77" s="37"/>
      <c r="D77" s="37"/>
      <c r="E77" s="37"/>
      <c r="F77" s="37"/>
      <c r="P77" s="25"/>
      <c r="Q77" s="25"/>
    </row>
    <row r="80" spans="1:236" x14ac:dyDescent="0.2">
      <c r="A80" s="350"/>
    </row>
    <row r="81" spans="1:1" x14ac:dyDescent="0.2">
      <c r="A81" s="350"/>
    </row>
    <row r="82" spans="1:1" x14ac:dyDescent="0.2">
      <c r="A82" s="350"/>
    </row>
    <row r="83" spans="1:1" x14ac:dyDescent="0.2">
      <c r="A83" s="350"/>
    </row>
    <row r="84" spans="1:1" x14ac:dyDescent="0.2">
      <c r="A84" s="350"/>
    </row>
    <row r="85" spans="1:1" x14ac:dyDescent="0.2">
      <c r="A85" s="350"/>
    </row>
    <row r="86" spans="1:1" x14ac:dyDescent="0.2">
      <c r="A86" s="350"/>
    </row>
    <row r="87" spans="1:1" x14ac:dyDescent="0.2">
      <c r="A87" s="350"/>
    </row>
    <row r="88" spans="1:1" x14ac:dyDescent="0.2">
      <c r="A88" s="350"/>
    </row>
    <row r="89" spans="1:1" x14ac:dyDescent="0.2">
      <c r="A89" s="350"/>
    </row>
    <row r="90" spans="1:1" x14ac:dyDescent="0.2">
      <c r="A90" s="350"/>
    </row>
    <row r="91" spans="1:1" x14ac:dyDescent="0.2">
      <c r="A91" s="350"/>
    </row>
    <row r="92" spans="1:1" x14ac:dyDescent="0.2">
      <c r="A92" s="350"/>
    </row>
    <row r="93" spans="1:1" x14ac:dyDescent="0.2">
      <c r="A93" s="350"/>
    </row>
    <row r="94" spans="1:1" x14ac:dyDescent="0.2">
      <c r="A94" s="350"/>
    </row>
  </sheetData>
  <sheetProtection algorithmName="SHA-512" hashValue="Fe22xRtxcwX8rvGZT8h3+EONLy0THJyOzGF2br2U+1miBj8r5AeF+p37EIEDolB/PKoFWPH1E8XMQh5wwoFKcw==" saltValue="4wKjJQFo1SMD3sVSknKoIA==" spinCount="100000" sheet="1" objects="1" scenarios="1"/>
  <mergeCells count="8">
    <mergeCell ref="A80:A94"/>
    <mergeCell ref="A1:P1"/>
    <mergeCell ref="A2:P3"/>
    <mergeCell ref="A4:P4"/>
    <mergeCell ref="B6:O6"/>
    <mergeCell ref="A7:K7"/>
    <mergeCell ref="G23:J23"/>
    <mergeCell ref="L23:O23"/>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Button 1">
              <controlPr defaultSize="0" print="0" autoFill="0" autoPict="0" macro="[0]!Info">
                <anchor moveWithCells="1">
                  <from>
                    <xdr:col>0</xdr:col>
                    <xdr:colOff>66675</xdr:colOff>
                    <xdr:row>0</xdr:row>
                    <xdr:rowOff>76200</xdr:rowOff>
                  </from>
                  <to>
                    <xdr:col>0</xdr:col>
                    <xdr:colOff>581025</xdr:colOff>
                    <xdr:row>1</xdr:row>
                    <xdr:rowOff>66675</xdr:rowOff>
                  </to>
                </anchor>
              </controlPr>
            </control>
          </mc:Choice>
        </mc:AlternateContent>
        <mc:AlternateContent xmlns:mc="http://schemas.openxmlformats.org/markup-compatibility/2006">
          <mc:Choice Requires="x14">
            <control shapeId="105474" r:id="rId5" name="Button 2">
              <controlPr defaultSize="0" print="0" autoFill="0" autoPict="0" macro="[0]!Info">
                <anchor moveWithCells="1">
                  <from>
                    <xdr:col>16</xdr:col>
                    <xdr:colOff>581025</xdr:colOff>
                    <xdr:row>87</xdr:row>
                    <xdr:rowOff>57150</xdr:rowOff>
                  </from>
                  <to>
                    <xdr:col>30</xdr:col>
                    <xdr:colOff>238125</xdr:colOff>
                    <xdr:row>88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dimension ref="A1:IB65"/>
  <sheetViews>
    <sheetView showGridLines="0" topLeftCell="A5" zoomScale="80" zoomScaleNormal="80" workbookViewId="0">
      <selection activeCell="P23" sqref="P23"/>
    </sheetView>
  </sheetViews>
  <sheetFormatPr defaultRowHeight="12.75" x14ac:dyDescent="0.2"/>
  <cols>
    <col min="1" max="1" width="31" customWidth="1"/>
    <col min="2" max="2" width="2.140625" customWidth="1"/>
    <col min="3" max="3" width="21.140625" customWidth="1"/>
    <col min="4" max="4" width="15.28515625" customWidth="1"/>
    <col min="5" max="5" width="10.140625" customWidth="1"/>
    <col min="6" max="6" width="5.5703125" customWidth="1"/>
    <col min="7" max="8" width="13.28515625" customWidth="1"/>
    <col min="9" max="9" width="14.5703125" customWidth="1"/>
    <col min="10" max="10" width="13.28515625" customWidth="1"/>
    <col min="11" max="11" width="7" customWidth="1"/>
    <col min="12" max="12" width="15.140625" customWidth="1"/>
    <col min="13" max="13" width="17.28515625" bestFit="1" customWidth="1"/>
    <col min="14" max="14" width="16.7109375" customWidth="1"/>
    <col min="15" max="15" width="19.140625" bestFit="1" customWidth="1"/>
    <col min="16" max="16" width="12.85546875" bestFit="1" customWidth="1"/>
    <col min="18" max="18" width="9.1406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84</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row>
    <row r="6" spans="1:30" x14ac:dyDescent="0.2">
      <c r="A6" s="76">
        <f ca="1">TODAY()</f>
        <v>45371</v>
      </c>
      <c r="B6" s="210" t="s">
        <v>251</v>
      </c>
      <c r="C6" s="76"/>
      <c r="D6" s="76"/>
      <c r="E6" s="76"/>
      <c r="F6" s="76"/>
      <c r="G6" s="76"/>
      <c r="H6" s="76"/>
      <c r="I6" s="76"/>
    </row>
    <row r="7" spans="1:30" ht="26.25" x14ac:dyDescent="0.4">
      <c r="A7" s="369"/>
      <c r="B7" s="369"/>
      <c r="C7" s="369"/>
      <c r="D7" s="369"/>
      <c r="E7" s="369"/>
      <c r="F7" s="369"/>
      <c r="G7" s="369"/>
      <c r="H7" s="369"/>
      <c r="I7" s="369"/>
      <c r="J7" s="369"/>
      <c r="K7" s="369"/>
      <c r="L7" s="369"/>
      <c r="M7" s="369"/>
      <c r="N7" s="369"/>
      <c r="O7" s="369"/>
      <c r="P7" s="369"/>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2"/>
      <c r="K12" s="92"/>
      <c r="L12" s="128"/>
      <c r="M12" s="128"/>
      <c r="N12" s="128"/>
      <c r="O12" s="128"/>
      <c r="P12" s="12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28" t="s">
        <v>27</v>
      </c>
      <c r="B13" s="22"/>
      <c r="C13" s="22"/>
      <c r="D13" s="22"/>
      <c r="E13" s="22"/>
      <c r="F13" s="22"/>
      <c r="G13" s="22"/>
      <c r="H13" s="22"/>
      <c r="I13" s="22"/>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
      <c r="A15" s="31" t="s">
        <v>52</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193"/>
      <c r="Y15" s="193"/>
      <c r="Z15" s="193"/>
      <c r="AA15" s="193"/>
      <c r="AB15" s="193"/>
      <c r="AC15" s="193"/>
      <c r="AD15" s="193"/>
    </row>
    <row r="16" spans="1:30" x14ac:dyDescent="0.2">
      <c r="A16" s="31"/>
      <c r="B16" s="31"/>
      <c r="C16" s="32"/>
      <c r="D16" s="31"/>
      <c r="E16" s="31"/>
      <c r="F16" s="33"/>
      <c r="G16" s="23" t="s">
        <v>15</v>
      </c>
      <c r="H16" s="31"/>
    </row>
    <row r="17" spans="1:221" x14ac:dyDescent="0.2">
      <c r="A17" s="31"/>
      <c r="B17" s="31"/>
      <c r="C17" s="33"/>
      <c r="D17" s="33"/>
      <c r="E17" s="33"/>
      <c r="F17" s="33"/>
      <c r="G17" s="23" t="s">
        <v>15</v>
      </c>
      <c r="H17" s="31"/>
      <c r="I17" s="52" t="s">
        <v>15</v>
      </c>
    </row>
    <row r="19" spans="1:221" x14ac:dyDescent="0.2">
      <c r="A19" s="28" t="s">
        <v>31</v>
      </c>
      <c r="B19" s="22"/>
      <c r="C19" s="22"/>
      <c r="D19" s="22"/>
      <c r="E19" s="22"/>
      <c r="F19" s="22"/>
      <c r="G19" s="362" t="s">
        <v>68</v>
      </c>
      <c r="H19" s="363"/>
      <c r="I19" s="363"/>
      <c r="J19" s="364"/>
      <c r="K19" s="22"/>
      <c r="L19" s="365" t="s">
        <v>69</v>
      </c>
      <c r="M19" s="365"/>
      <c r="N19" s="365"/>
      <c r="O19" s="365"/>
    </row>
    <row r="20" spans="1:221" x14ac:dyDescent="0.2">
      <c r="A20" s="18"/>
      <c r="B20" s="18"/>
      <c r="C20" s="18"/>
      <c r="D20" s="18"/>
      <c r="E20" s="18"/>
      <c r="F20" s="18"/>
      <c r="G20" s="8" t="s">
        <v>65</v>
      </c>
      <c r="H20" s="8" t="s">
        <v>66</v>
      </c>
      <c r="I20" s="8" t="s">
        <v>67</v>
      </c>
      <c r="J20" s="112" t="s">
        <v>34</v>
      </c>
      <c r="K20" s="18"/>
      <c r="L20" s="131" t="s">
        <v>65</v>
      </c>
      <c r="M20" s="131" t="s">
        <v>66</v>
      </c>
      <c r="N20" s="131" t="s">
        <v>67</v>
      </c>
      <c r="O20" s="132" t="s">
        <v>34</v>
      </c>
      <c r="P20" s="43" t="s">
        <v>57</v>
      </c>
    </row>
    <row r="21" spans="1:221" x14ac:dyDescent="0.2">
      <c r="A21" t="s">
        <v>32</v>
      </c>
      <c r="G21" s="86"/>
      <c r="H21" s="86"/>
      <c r="I21" s="86">
        <v>9.4</v>
      </c>
      <c r="J21" s="86">
        <f>SUM(G21:I21)</f>
        <v>9.4</v>
      </c>
      <c r="L21" s="88"/>
      <c r="M21" s="88"/>
      <c r="N21" s="88">
        <f>I21</f>
        <v>9.4</v>
      </c>
      <c r="O21" s="209">
        <f>SUM(L21:N21)</f>
        <v>9.4</v>
      </c>
      <c r="P21" s="245">
        <v>44531</v>
      </c>
    </row>
    <row r="22" spans="1:221" x14ac:dyDescent="0.2">
      <c r="A22" s="287" t="s">
        <v>132</v>
      </c>
      <c r="D22" s="1">
        <f>C15</f>
        <v>1000</v>
      </c>
      <c r="E22" s="35" t="s">
        <v>41</v>
      </c>
      <c r="F22" s="4" t="s">
        <v>8</v>
      </c>
      <c r="G22" s="84"/>
      <c r="H22" s="84"/>
      <c r="I22" s="84">
        <v>1.8332399999999999E-2</v>
      </c>
      <c r="J22" s="84">
        <f>SUM(G22:I22)</f>
        <v>1.8332399999999999E-2</v>
      </c>
      <c r="K22" s="36" t="s">
        <v>42</v>
      </c>
      <c r="L22" s="87"/>
      <c r="M22" s="87"/>
      <c r="N22" s="87">
        <f>IF(C15&lt;0,0,ROUND($D22*I22,2))</f>
        <v>18.329999999999998</v>
      </c>
      <c r="O22" s="209">
        <f>SUM(L22:N22)</f>
        <v>18.329999999999998</v>
      </c>
      <c r="P22" s="245">
        <v>45261</v>
      </c>
    </row>
    <row r="23" spans="1:221" x14ac:dyDescent="0.2">
      <c r="A23" s="37" t="s">
        <v>50</v>
      </c>
      <c r="B23" s="37"/>
      <c r="C23" s="37"/>
      <c r="D23" s="38"/>
      <c r="E23" s="38"/>
      <c r="F23" s="37"/>
      <c r="G23" s="37"/>
      <c r="H23" s="37"/>
      <c r="I23" s="37"/>
      <c r="J23" s="37"/>
      <c r="K23" s="39"/>
      <c r="L23" s="40"/>
      <c r="M23" s="40"/>
      <c r="N23" s="40">
        <f>SUM(N21:N22)</f>
        <v>27.729999999999997</v>
      </c>
      <c r="O23" s="40">
        <f>SUM(O21:O22)</f>
        <v>27.729999999999997</v>
      </c>
    </row>
    <row r="24" spans="1:221" x14ac:dyDescent="0.2">
      <c r="A24" s="89"/>
      <c r="B24" s="89"/>
      <c r="C24" s="90"/>
      <c r="D24" s="90"/>
      <c r="E24" s="90"/>
      <c r="F24" s="90"/>
      <c r="G24" s="91"/>
      <c r="H24" s="91"/>
      <c r="I24" s="91"/>
      <c r="J24" s="91"/>
      <c r="K24" s="89"/>
      <c r="L24" s="89"/>
      <c r="M24" s="89"/>
      <c r="N24" s="89"/>
      <c r="O24" s="89"/>
      <c r="P24" s="89"/>
    </row>
    <row r="25" spans="1:221" x14ac:dyDescent="0.2">
      <c r="A25" s="148" t="s">
        <v>70</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79</v>
      </c>
      <c r="B27" s="176"/>
      <c r="C27" s="176"/>
      <c r="D27" s="100">
        <f>IF($C$15&lt;0,0,IF($C$15&gt;833000,833000,$C$15))</f>
        <v>1000</v>
      </c>
      <c r="E27" s="101" t="s">
        <v>41</v>
      </c>
      <c r="F27" s="102" t="s">
        <v>8</v>
      </c>
      <c r="G27" s="103"/>
      <c r="H27" s="103"/>
      <c r="I27" s="103">
        <f>'Rider Rates'!$B$4</f>
        <v>5.9216E-3</v>
      </c>
      <c r="J27" s="103">
        <f t="shared" ref="J27:J47" si="0">SUM(G27:I27)</f>
        <v>5.9216E-3</v>
      </c>
      <c r="K27" s="104" t="s">
        <v>42</v>
      </c>
      <c r="L27" s="105"/>
      <c r="M27" s="105"/>
      <c r="N27" s="105">
        <f t="shared" ref="N27:N32" si="1">ROUND(D27*I27,2)</f>
        <v>5.92</v>
      </c>
      <c r="O27" s="105">
        <f t="shared" ref="O27:O48" si="2">SUM(L27:N27)</f>
        <v>5.92</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80</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97</v>
      </c>
      <c r="B29" s="78"/>
      <c r="C29" s="78"/>
      <c r="D29" s="100">
        <f>IF('Customer Info'!$C$32=TRUE,0,IF($C$15&lt;0,0,IF($C$15&gt;2000,2000,$C$15)))</f>
        <v>1000</v>
      </c>
      <c r="E29" s="101" t="s">
        <v>41</v>
      </c>
      <c r="F29" s="102" t="s">
        <v>8</v>
      </c>
      <c r="G29" s="103"/>
      <c r="H29" s="103"/>
      <c r="I29" s="177">
        <f>'Rider Rates'!$B$8</f>
        <v>4.6499999999999996E-3</v>
      </c>
      <c r="J29" s="177">
        <f t="shared" si="0"/>
        <v>4.6499999999999996E-3</v>
      </c>
      <c r="K29" s="104" t="s">
        <v>42</v>
      </c>
      <c r="L29" s="105"/>
      <c r="M29" s="105"/>
      <c r="N29" s="105">
        <f t="shared" si="1"/>
        <v>4.6500000000000004</v>
      </c>
      <c r="O29" s="105">
        <f t="shared" si="2"/>
        <v>4.6500000000000004</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98</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99</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10" t="s">
        <v>160</v>
      </c>
      <c r="B32" s="78"/>
      <c r="C32" s="78"/>
      <c r="D32" s="100">
        <f>IF($C$15&lt;0,0,$C$15)</f>
        <v>1000</v>
      </c>
      <c r="E32" s="101" t="s">
        <v>41</v>
      </c>
      <c r="F32" s="102" t="s">
        <v>8</v>
      </c>
      <c r="G32" s="103"/>
      <c r="H32" s="103"/>
      <c r="I32" s="103">
        <f>'Rider Rates'!$B$16</f>
        <v>0</v>
      </c>
      <c r="J32" s="103">
        <f>SUM(G32:I32)</f>
        <v>0</v>
      </c>
      <c r="K32" s="104" t="s">
        <v>42</v>
      </c>
      <c r="L32" s="105"/>
      <c r="M32" s="105"/>
      <c r="N32" s="105">
        <f t="shared" si="1"/>
        <v>0</v>
      </c>
      <c r="O32" s="105">
        <f t="shared" ref="O32:O38" si="3">SUM(L32:N32)</f>
        <v>0</v>
      </c>
      <c r="P32" s="245">
        <f>'Rider Rates'!$D$16</f>
        <v>45322</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239</v>
      </c>
      <c r="B33" s="78"/>
      <c r="C33" s="78"/>
      <c r="D33" s="195">
        <f>$N$23</f>
        <v>27.729999999999997</v>
      </c>
      <c r="E33" s="101" t="s">
        <v>122</v>
      </c>
      <c r="F33" s="102" t="s">
        <v>8</v>
      </c>
      <c r="G33" s="103"/>
      <c r="H33" s="103"/>
      <c r="I33" s="178">
        <f>'Rider Rates'!$B$18+'Rider Rates'!$E$18</f>
        <v>0</v>
      </c>
      <c r="J33" s="178">
        <f>SUM(G33:I33)</f>
        <v>0</v>
      </c>
      <c r="K33" s="104"/>
      <c r="L33" s="105"/>
      <c r="M33" s="105"/>
      <c r="N33" s="105">
        <f>ROUND($D$33*'Rider Rates'!$B$18,2)+ROUND($D$33*'Rider Rates'!$E$18,2)</f>
        <v>0</v>
      </c>
      <c r="O33" s="105">
        <f t="shared" si="3"/>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187</v>
      </c>
      <c r="B34" s="78"/>
      <c r="C34" s="78"/>
      <c r="D34" s="100">
        <f>'Customer Info'!$B$21+'Customer Info'!$B$22-'Customer Info'!$B$23</f>
        <v>1000</v>
      </c>
      <c r="E34" s="101" t="s">
        <v>41</v>
      </c>
      <c r="F34" s="102" t="s">
        <v>8</v>
      </c>
      <c r="G34" s="103">
        <f>'Rider Rates'!B22</f>
        <v>0.10589</v>
      </c>
      <c r="H34" s="103"/>
      <c r="I34" s="103"/>
      <c r="J34" s="237">
        <f>SUM(G34:H34)</f>
        <v>0.10589</v>
      </c>
      <c r="K34" s="104" t="s">
        <v>42</v>
      </c>
      <c r="L34" s="105">
        <f>ROUND(D34*G34,2)</f>
        <v>105.89</v>
      </c>
      <c r="M34" s="105"/>
      <c r="N34" s="105"/>
      <c r="O34" s="105">
        <f t="shared" si="3"/>
        <v>105.89</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10" t="s">
        <v>162</v>
      </c>
      <c r="B35" s="78"/>
      <c r="C35" s="78"/>
      <c r="D35" s="100">
        <f>'Customer Info'!$B$21+'Customer Info'!$B$22-'Customer Info'!$B$23</f>
        <v>1000</v>
      </c>
      <c r="E35" s="101" t="s">
        <v>41</v>
      </c>
      <c r="F35" s="102" t="s">
        <v>8</v>
      </c>
      <c r="G35" s="103">
        <f>'Rider Rates'!$B$33</f>
        <v>3.31E-3</v>
      </c>
      <c r="H35" s="103"/>
      <c r="I35" s="103"/>
      <c r="J35" s="237">
        <f>SUM(G35:H35)</f>
        <v>3.31E-3</v>
      </c>
      <c r="K35" s="104" t="s">
        <v>42</v>
      </c>
      <c r="L35" s="105">
        <f>ROUND(D35*G35,2)</f>
        <v>3.31</v>
      </c>
      <c r="M35" s="105"/>
      <c r="N35" s="105"/>
      <c r="O35" s="105">
        <f t="shared" si="3"/>
        <v>3.31</v>
      </c>
      <c r="P35" s="245">
        <f>'Rider Rates'!$D$33</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194</v>
      </c>
      <c r="B36" s="78"/>
      <c r="C36" s="78"/>
      <c r="D36" s="100">
        <f>'Customer Info'!$B$21+'Customer Info'!$B$22-'Customer Info'!$B$23</f>
        <v>1000</v>
      </c>
      <c r="E36" s="101" t="s">
        <v>41</v>
      </c>
      <c r="F36" s="102" t="s">
        <v>8</v>
      </c>
      <c r="G36" s="103">
        <f>'Rider Rates'!$B$42</f>
        <v>-4.8640000000000001E-4</v>
      </c>
      <c r="H36" s="103"/>
      <c r="I36" s="103"/>
      <c r="J36" s="237">
        <f>SUM(G36:H36)</f>
        <v>-4.8640000000000001E-4</v>
      </c>
      <c r="K36" s="104" t="s">
        <v>42</v>
      </c>
      <c r="L36" s="105">
        <f>ROUND(D36*G36,2)</f>
        <v>-0.49</v>
      </c>
      <c r="M36" s="105"/>
      <c r="N36" s="105"/>
      <c r="O36" s="105">
        <f t="shared" si="3"/>
        <v>-0.49</v>
      </c>
      <c r="P36" s="245">
        <f>'Rider Rates'!$D$42</f>
        <v>45383</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41" t="s">
        <v>212</v>
      </c>
      <c r="B37" s="78"/>
      <c r="C37" s="78"/>
      <c r="D37" s="100">
        <f>IF($C$15&lt;0,0,IF($C$15&gt;833000,833000,$C$15))</f>
        <v>1000</v>
      </c>
      <c r="E37" s="101" t="s">
        <v>41</v>
      </c>
      <c r="F37" s="102" t="s">
        <v>8</v>
      </c>
      <c r="G37" s="103"/>
      <c r="H37" s="103"/>
      <c r="I37" s="103">
        <f>'Rider Rates'!D46</f>
        <v>1.7826999999999999E-3</v>
      </c>
      <c r="J37" s="103">
        <f>SUM(G37:I37)</f>
        <v>1.7826999999999999E-3</v>
      </c>
      <c r="K37" s="104" t="s">
        <v>42</v>
      </c>
      <c r="L37" s="105"/>
      <c r="M37" s="105"/>
      <c r="N37" s="105">
        <f>D37*J37</f>
        <v>1.7827</v>
      </c>
      <c r="O37" s="105">
        <f t="shared" si="3"/>
        <v>1.7827</v>
      </c>
      <c r="P37" s="245">
        <f>'Rider Rates'!E46</f>
        <v>45292</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10" t="s">
        <v>190</v>
      </c>
      <c r="B38" s="78"/>
      <c r="C38" s="78"/>
      <c r="D38" s="100">
        <f>IF($C$15&lt;0,0,$C$15)</f>
        <v>1000</v>
      </c>
      <c r="E38" s="113" t="s">
        <v>41</v>
      </c>
      <c r="F38" s="102" t="s">
        <v>8</v>
      </c>
      <c r="G38" s="103"/>
      <c r="H38" s="103">
        <f>'Rider Rates'!$B$53</f>
        <v>2.3467399999999999E-2</v>
      </c>
      <c r="I38" s="103"/>
      <c r="J38" s="103">
        <f>SUM(G38:I38)</f>
        <v>2.3467399999999999E-2</v>
      </c>
      <c r="K38" s="104" t="s">
        <v>42</v>
      </c>
      <c r="L38" s="105"/>
      <c r="M38" s="105">
        <f>ROUND(D38*H38,2)</f>
        <v>23.47</v>
      </c>
      <c r="N38" s="205"/>
      <c r="O38" s="105">
        <f t="shared" si="3"/>
        <v>23.47</v>
      </c>
      <c r="P38" s="245">
        <f>'Rider Rates'!$D$53</f>
        <v>45383</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99" t="s">
        <v>96</v>
      </c>
      <c r="B39" s="78"/>
      <c r="C39" s="78"/>
      <c r="D39" s="100">
        <f>IF('Customer Info'!C34=TRUE,0,IF($C$15&lt;0,0,$C$15))</f>
        <v>1000</v>
      </c>
      <c r="E39" s="101" t="s">
        <v>41</v>
      </c>
      <c r="F39" s="102" t="s">
        <v>8</v>
      </c>
      <c r="G39" s="103"/>
      <c r="H39" s="103"/>
      <c r="I39" s="103">
        <f>'Rider Rates'!$B$65+'Rider Rates'!$C$65</f>
        <v>0</v>
      </c>
      <c r="J39" s="103">
        <f t="shared" si="0"/>
        <v>0</v>
      </c>
      <c r="K39" s="104" t="s">
        <v>42</v>
      </c>
      <c r="L39" s="105"/>
      <c r="M39" s="105"/>
      <c r="N39" s="105">
        <f>ROUND($D$39*'Rider Rates'!$B$65,2)+ROUND($D$39*'Rider Rates'!$C$65,2)</f>
        <v>0</v>
      </c>
      <c r="O39" s="105">
        <f t="shared" si="2"/>
        <v>0</v>
      </c>
      <c r="P39" s="245">
        <f>'Rider Rates'!$D$65</f>
        <v>44531</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96</v>
      </c>
      <c r="B40" s="78"/>
      <c r="C40" s="78"/>
      <c r="D40" s="100"/>
      <c r="E40" s="101" t="s">
        <v>115</v>
      </c>
      <c r="F40" s="102"/>
      <c r="G40" s="103"/>
      <c r="H40" s="103"/>
      <c r="I40" s="196">
        <f>'Rider Rates'!$B$72</f>
        <v>0</v>
      </c>
      <c r="J40" s="196">
        <f>IF('Customer Info'!C34=TRUE,0,SUM(G40:I40))</f>
        <v>0</v>
      </c>
      <c r="K40" s="104"/>
      <c r="L40" s="105"/>
      <c r="M40" s="105"/>
      <c r="N40" s="105">
        <f>J40</f>
        <v>0</v>
      </c>
      <c r="O40" s="105">
        <f>SUM(L40:N40)</f>
        <v>0</v>
      </c>
      <c r="P40" s="245">
        <f>'Rider Rates'!$D$72</f>
        <v>44197</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81</v>
      </c>
      <c r="B41" s="78"/>
      <c r="C41" s="78"/>
      <c r="D41" s="195">
        <f>$N$23</f>
        <v>27.729999999999997</v>
      </c>
      <c r="E41" s="101" t="s">
        <v>122</v>
      </c>
      <c r="F41" s="102" t="s">
        <v>8</v>
      </c>
      <c r="G41" s="111"/>
      <c r="H41" s="112"/>
      <c r="I41" s="120">
        <f>'Rider Rates'!$B$80</f>
        <v>2.9347000000000002E-2</v>
      </c>
      <c r="J41" s="120">
        <f t="shared" si="0"/>
        <v>2.9347000000000002E-2</v>
      </c>
      <c r="K41" s="104"/>
      <c r="L41" s="105"/>
      <c r="M41" s="105"/>
      <c r="N41" s="105">
        <f>ROUND(D41*I41,2)</f>
        <v>0.81</v>
      </c>
      <c r="O41" s="105">
        <f t="shared" si="2"/>
        <v>0.81</v>
      </c>
      <c r="P41" s="245">
        <f>'Rider Rates'!$D$80</f>
        <v>45383</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82</v>
      </c>
      <c r="B42" s="78"/>
      <c r="C42" s="78"/>
      <c r="D42" s="195">
        <f>$N$23</f>
        <v>27.729999999999997</v>
      </c>
      <c r="E42" s="101" t="s">
        <v>122</v>
      </c>
      <c r="F42" s="102" t="s">
        <v>8</v>
      </c>
      <c r="G42" s="114"/>
      <c r="H42" s="115"/>
      <c r="I42" s="120">
        <f>'Rider Rates'!$B$82</f>
        <v>6.6985699999999995E-2</v>
      </c>
      <c r="J42" s="120">
        <f t="shared" si="0"/>
        <v>6.6985699999999995E-2</v>
      </c>
      <c r="K42" s="104"/>
      <c r="L42" s="105"/>
      <c r="M42" s="105"/>
      <c r="N42" s="105">
        <f>ROUND(D42*I42,2)</f>
        <v>1.86</v>
      </c>
      <c r="O42" s="105">
        <f t="shared" si="2"/>
        <v>1.86</v>
      </c>
      <c r="P42" s="245">
        <f>'Rider Rates'!$D$82</f>
        <v>45167</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210" t="s">
        <v>208</v>
      </c>
      <c r="B43" s="78"/>
      <c r="C43" s="78"/>
      <c r="D43" s="195"/>
      <c r="E43" s="113" t="s">
        <v>115</v>
      </c>
      <c r="F43" s="106"/>
      <c r="G43" s="114"/>
      <c r="H43" s="115"/>
      <c r="I43" s="196">
        <f>'Rider Rates'!$B$86</f>
        <v>15.91</v>
      </c>
      <c r="J43" s="196">
        <f t="shared" si="0"/>
        <v>15.91</v>
      </c>
      <c r="K43" s="104"/>
      <c r="L43" s="105"/>
      <c r="M43" s="105"/>
      <c r="N43" s="105">
        <f>I43</f>
        <v>15.91</v>
      </c>
      <c r="O43" s="105">
        <f t="shared" si="2"/>
        <v>15.91</v>
      </c>
      <c r="P43" s="245">
        <f>'Rider Rates'!$D$86</f>
        <v>45351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241</v>
      </c>
      <c r="B44" s="78"/>
      <c r="C44" s="78"/>
      <c r="D44" s="100">
        <f>IF($C$15&lt;0,0,$C$15)</f>
        <v>1000</v>
      </c>
      <c r="E44" s="101" t="s">
        <v>41</v>
      </c>
      <c r="F44" s="102" t="s">
        <v>8</v>
      </c>
      <c r="G44" s="103"/>
      <c r="H44" s="103"/>
      <c r="I44" s="103"/>
      <c r="J44" s="103">
        <f>'Rider Rates'!$B$90</f>
        <v>0</v>
      </c>
      <c r="K44" s="104" t="s">
        <v>42</v>
      </c>
      <c r="L44" s="105"/>
      <c r="M44" s="105"/>
      <c r="N44" s="105"/>
      <c r="O44" s="105">
        <f>ROUND($D44*('Rider Rates'!B$90),2)</f>
        <v>0</v>
      </c>
      <c r="P44" s="245">
        <f>'Rider Rates'!$D$90</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99" t="s">
        <v>157</v>
      </c>
      <c r="B45" s="78"/>
      <c r="C45" s="78"/>
      <c r="D45" s="195">
        <f>$N$23</f>
        <v>27.729999999999997</v>
      </c>
      <c r="E45" s="101" t="s">
        <v>122</v>
      </c>
      <c r="F45" s="102" t="s">
        <v>8</v>
      </c>
      <c r="G45" s="114"/>
      <c r="H45" s="115"/>
      <c r="I45" s="120">
        <f>'Rider Rates'!$B$100</f>
        <v>0.21398439999999999</v>
      </c>
      <c r="J45" s="120">
        <f t="shared" si="0"/>
        <v>0.21398439999999999</v>
      </c>
      <c r="K45" s="104"/>
      <c r="L45" s="105"/>
      <c r="M45" s="105"/>
      <c r="N45" s="105">
        <f>ROUND(D45*I45,2)</f>
        <v>5.93</v>
      </c>
      <c r="O45" s="105">
        <f t="shared" si="2"/>
        <v>5.93</v>
      </c>
      <c r="P45" s="245">
        <f>'Rider Rates'!$D$100</f>
        <v>45351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210" t="s">
        <v>211</v>
      </c>
      <c r="B46" s="78"/>
      <c r="C46" s="78"/>
      <c r="D46" s="195"/>
      <c r="E46" s="113" t="s">
        <v>115</v>
      </c>
      <c r="F46" s="106"/>
      <c r="G46" s="114"/>
      <c r="H46" s="115"/>
      <c r="I46" s="196">
        <f>'Rider Rates'!$B$104</f>
        <v>0</v>
      </c>
      <c r="J46" s="196">
        <f t="shared" si="0"/>
        <v>0</v>
      </c>
      <c r="K46" s="104"/>
      <c r="L46" s="105"/>
      <c r="M46" s="105"/>
      <c r="N46" s="105">
        <f>I46</f>
        <v>0</v>
      </c>
      <c r="O46" s="105">
        <f t="shared" si="2"/>
        <v>0</v>
      </c>
      <c r="P46" s="245">
        <f>'Rider Rates'!$D$104</f>
        <v>44894</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219</v>
      </c>
      <c r="B47" s="78"/>
      <c r="C47" s="78"/>
      <c r="D47" s="195"/>
      <c r="E47" s="113" t="s">
        <v>115</v>
      </c>
      <c r="F47" s="106"/>
      <c r="G47" s="114"/>
      <c r="H47" s="115"/>
      <c r="I47" s="258">
        <f>'Rider Rates'!B117</f>
        <v>5.83</v>
      </c>
      <c r="J47" s="196">
        <f t="shared" si="0"/>
        <v>5.83</v>
      </c>
      <c r="K47" s="104"/>
      <c r="L47" s="105"/>
      <c r="M47" s="105"/>
      <c r="N47" s="260">
        <f>I47</f>
        <v>5.83</v>
      </c>
      <c r="O47" s="105">
        <f t="shared" si="2"/>
        <v>5.83</v>
      </c>
      <c r="P47" s="245">
        <f>'Rider Rates'!D117</f>
        <v>45226</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99" t="s">
        <v>158</v>
      </c>
      <c r="B48" s="78"/>
      <c r="C48" s="78"/>
      <c r="D48" s="100">
        <f>'Customer Info'!$B$21+'Customer Info'!$B$22-'Customer Info'!$B$23</f>
        <v>1000</v>
      </c>
      <c r="E48" s="101" t="s">
        <v>41</v>
      </c>
      <c r="F48" s="102" t="s">
        <v>8</v>
      </c>
      <c r="G48" s="103">
        <f>'Rider Rates'!$B$107</f>
        <v>3.8972999999999998E-3</v>
      </c>
      <c r="H48" s="103"/>
      <c r="I48" s="120"/>
      <c r="J48" s="237">
        <f>SUM(G48:H48)</f>
        <v>3.8972999999999998E-3</v>
      </c>
      <c r="K48" s="104" t="s">
        <v>42</v>
      </c>
      <c r="L48" s="105">
        <f>ROUND(D48*G48,2)</f>
        <v>3.9</v>
      </c>
      <c r="M48" s="105"/>
      <c r="N48" s="105"/>
      <c r="O48" s="105">
        <f t="shared" si="2"/>
        <v>3.9</v>
      </c>
      <c r="P48" s="245">
        <f>'Rider Rates'!$D$107</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210" t="s">
        <v>210</v>
      </c>
      <c r="B49" s="78"/>
      <c r="C49" s="78"/>
      <c r="D49" s="100">
        <f>IF($C$15&lt;1,0,$C$15)</f>
        <v>1000</v>
      </c>
      <c r="E49" s="101" t="s">
        <v>41</v>
      </c>
      <c r="F49" s="249" t="s">
        <v>8</v>
      </c>
      <c r="G49" s="165"/>
      <c r="H49" s="165"/>
      <c r="I49" s="251">
        <f>'Rider Rates'!B113</f>
        <v>-6.2E-4</v>
      </c>
      <c r="J49" s="251">
        <f>SUM(G49:I49)</f>
        <v>-6.2E-4</v>
      </c>
      <c r="K49" s="104" t="s">
        <v>42</v>
      </c>
      <c r="L49" s="105"/>
      <c r="M49" s="105"/>
      <c r="N49" s="105">
        <f>D49*J49</f>
        <v>-0.62</v>
      </c>
      <c r="O49" s="105">
        <f>SUM(L49:N49)</f>
        <v>-0.62</v>
      </c>
      <c r="P49" s="245">
        <f>'Rider Rates'!D113</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78" t="s">
        <v>235</v>
      </c>
      <c r="B50" s="78"/>
      <c r="C50" s="78"/>
      <c r="D50" s="100">
        <f>IF(C15&lt;0,0,IF(C15&gt;833000,833000,C15))</f>
        <v>1000</v>
      </c>
      <c r="E50" s="101" t="s">
        <v>41</v>
      </c>
      <c r="F50" s="102" t="s">
        <v>8</v>
      </c>
      <c r="G50" s="265"/>
      <c r="H50" s="265"/>
      <c r="I50" s="265">
        <f>'Rider Rates'!B121</f>
        <v>2.9050000000000001E-4</v>
      </c>
      <c r="J50" s="265">
        <f>SUM(G50:I50)</f>
        <v>2.9050000000000001E-4</v>
      </c>
      <c r="K50" s="104" t="s">
        <v>42</v>
      </c>
      <c r="L50" s="266"/>
      <c r="M50" s="266"/>
      <c r="N50" s="266">
        <f>IF(D50*J50&gt;'Rider Rates'!$C$121,'Rider Rates'!$C$121,D50*J50)</f>
        <v>0.29050000000000004</v>
      </c>
      <c r="O50" s="266">
        <f>SUM(L50:N50)</f>
        <v>0.29050000000000004</v>
      </c>
      <c r="P50" s="264">
        <f>'Rider Rates'!$E$121</f>
        <v>45292</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78" t="s">
        <v>236</v>
      </c>
      <c r="B51" s="78"/>
      <c r="C51" s="78"/>
      <c r="D51" s="123">
        <f>IF(C15&gt;833000,C15-833000,0)</f>
        <v>0</v>
      </c>
      <c r="E51" s="101" t="s">
        <v>41</v>
      </c>
      <c r="F51" s="102" t="s">
        <v>8</v>
      </c>
      <c r="G51" s="265"/>
      <c r="H51" s="265"/>
      <c r="I51" s="265">
        <f>'Rider Rates'!B122</f>
        <v>0</v>
      </c>
      <c r="J51" s="265">
        <f>SUM(G51:I51)</f>
        <v>0</v>
      </c>
      <c r="K51" s="104" t="s">
        <v>42</v>
      </c>
      <c r="L51" s="266"/>
      <c r="M51" s="266"/>
      <c r="N51" s="266">
        <f>D51*J51</f>
        <v>0</v>
      </c>
      <c r="O51" s="266">
        <f>SUM(L51:N51)</f>
        <v>0</v>
      </c>
      <c r="P51" s="264">
        <f>'Rider Rates'!$E$122</f>
        <v>44927</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241" t="s">
        <v>244</v>
      </c>
      <c r="B52" s="78"/>
      <c r="C52" s="78"/>
      <c r="D52" s="100">
        <f>C15</f>
        <v>1000</v>
      </c>
      <c r="E52" s="101" t="s">
        <v>41</v>
      </c>
      <c r="F52" s="249" t="s">
        <v>8</v>
      </c>
      <c r="G52" s="103"/>
      <c r="H52" s="103"/>
      <c r="I52" s="103">
        <f>'Rider Rates'!$B$126</f>
        <v>0</v>
      </c>
      <c r="J52" s="237">
        <f>SUM(G52:I52)</f>
        <v>0</v>
      </c>
      <c r="K52" s="104" t="s">
        <v>42</v>
      </c>
      <c r="L52" s="105"/>
      <c r="M52" s="105"/>
      <c r="N52" s="105">
        <f>D52*J52</f>
        <v>0</v>
      </c>
      <c r="O52" s="105">
        <f>SUM(L52:N52)</f>
        <v>0</v>
      </c>
      <c r="P52" s="245">
        <f>'Rider Rates'!$D$126</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241" t="s">
        <v>243</v>
      </c>
      <c r="B53" s="78"/>
      <c r="C53" s="78"/>
      <c r="D53" s="100"/>
      <c r="E53" s="101" t="s">
        <v>115</v>
      </c>
      <c r="F53" s="102" t="s">
        <v>8</v>
      </c>
      <c r="G53" s="263"/>
      <c r="H53" s="263"/>
      <c r="I53" s="263">
        <f>'Rider Rates'!$B$133</f>
        <v>0</v>
      </c>
      <c r="J53" s="263">
        <f>SUM(G53:I53)</f>
        <v>0</v>
      </c>
      <c r="K53" s="104"/>
      <c r="L53" s="209"/>
      <c r="M53" s="209"/>
      <c r="N53" s="209">
        <f>J53</f>
        <v>0</v>
      </c>
      <c r="O53" s="209">
        <f>SUM(L53:N53)</f>
        <v>0</v>
      </c>
      <c r="P53" s="264">
        <f>'Rider Rates'!D133</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241" t="s">
        <v>245</v>
      </c>
      <c r="B54" s="78"/>
      <c r="C54" s="78"/>
      <c r="D54" s="100"/>
      <c r="E54" s="101"/>
      <c r="F54" s="102"/>
      <c r="G54" s="263"/>
      <c r="H54" s="263"/>
      <c r="I54" s="263"/>
      <c r="J54" s="263"/>
      <c r="K54" s="104"/>
      <c r="L54" s="209"/>
      <c r="M54" s="209"/>
      <c r="N54" s="209"/>
      <c r="O54" s="209"/>
      <c r="P54" s="264"/>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179" t="s">
        <v>71</v>
      </c>
      <c r="B55" s="148"/>
      <c r="C55" s="148"/>
      <c r="D55" s="180"/>
      <c r="E55" s="181"/>
      <c r="F55" s="182"/>
      <c r="G55" s="182"/>
      <c r="H55" s="182"/>
      <c r="I55" s="182"/>
      <c r="J55" s="182"/>
      <c r="K55" s="183"/>
      <c r="L55" s="169">
        <f>SUM(L27:L54)</f>
        <v>112.61000000000001</v>
      </c>
      <c r="M55" s="169">
        <f t="shared" ref="M55:O55" si="4">SUM(M27:M54)</f>
        <v>23.47</v>
      </c>
      <c r="N55" s="169">
        <f t="shared" si="4"/>
        <v>42.363200000000006</v>
      </c>
      <c r="O55" s="169">
        <f t="shared" si="4"/>
        <v>178.44320000000008</v>
      </c>
      <c r="P55" s="18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78"/>
      <c r="B56" s="78"/>
      <c r="C56" s="78"/>
      <c r="D56" s="100"/>
      <c r="E56" s="113"/>
      <c r="F56" s="106"/>
      <c r="G56" s="106"/>
      <c r="H56" s="106"/>
      <c r="I56" s="106"/>
      <c r="J56" s="107"/>
      <c r="K56" s="104"/>
      <c r="L56" s="106"/>
      <c r="M56" s="106"/>
      <c r="N56" s="106"/>
      <c r="O56" s="106"/>
      <c r="P56" s="16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185" t="s">
        <v>94</v>
      </c>
      <c r="B57" s="170"/>
      <c r="C57" s="170"/>
      <c r="D57" s="170"/>
      <c r="E57" s="170"/>
      <c r="F57" s="170"/>
      <c r="G57" s="170"/>
      <c r="H57" s="170"/>
      <c r="I57" s="170"/>
      <c r="J57" s="170"/>
      <c r="K57" s="170"/>
      <c r="L57" s="186">
        <f>L23+L55</f>
        <v>112.61000000000001</v>
      </c>
      <c r="M57" s="186">
        <f>M23+M55</f>
        <v>23.47</v>
      </c>
      <c r="N57" s="186">
        <f>N23+N55</f>
        <v>70.093199999999996</v>
      </c>
      <c r="O57" s="187">
        <f>O23+O55</f>
        <v>206.17320000000007</v>
      </c>
      <c r="P57" s="187"/>
      <c r="Q57" s="106"/>
      <c r="R57" s="188"/>
      <c r="S57" s="108"/>
      <c r="T57" s="109"/>
      <c r="U57" s="78"/>
      <c r="V57" s="10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78"/>
      <c r="B58" s="78"/>
      <c r="C58" s="78"/>
      <c r="D58" s="78"/>
      <c r="E58" s="78"/>
      <c r="F58" s="78"/>
      <c r="G58" s="78"/>
      <c r="H58" s="78"/>
      <c r="I58" s="78"/>
      <c r="J58" s="78"/>
      <c r="K58" s="78"/>
      <c r="L58" s="78"/>
      <c r="M58" s="78"/>
      <c r="N58" s="151"/>
      <c r="O58" s="151"/>
      <c r="P58" s="151"/>
      <c r="Q58" s="16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166" t="s">
        <v>93</v>
      </c>
      <c r="B60" s="78"/>
      <c r="C60" s="78"/>
      <c r="D60" s="78"/>
      <c r="E60" s="78"/>
      <c r="F60" s="78"/>
      <c r="G60" s="78"/>
      <c r="H60" s="78"/>
      <c r="I60" s="78"/>
      <c r="J60" s="78"/>
      <c r="K60" s="78"/>
      <c r="L60" s="78"/>
      <c r="M60" s="78"/>
      <c r="N60" s="78"/>
      <c r="O60" s="109">
        <f>O21+O55</f>
        <v>187.84320000000008</v>
      </c>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x14ac:dyDescent="0.2">
      <c r="A61" s="166" t="s">
        <v>15</v>
      </c>
      <c r="B61" s="166"/>
      <c r="C61" s="166"/>
      <c r="D61" s="166"/>
      <c r="E61" s="166"/>
      <c r="F61" s="166"/>
      <c r="G61" s="166"/>
      <c r="H61" s="166"/>
      <c r="I61" s="78"/>
      <c r="J61" s="78"/>
      <c r="K61" s="78"/>
      <c r="L61" s="78"/>
      <c r="M61" s="78"/>
      <c r="N61" s="151"/>
      <c r="O61" s="151"/>
      <c r="P61" s="151"/>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x14ac:dyDescent="0.2">
      <c r="A62" s="148" t="s">
        <v>117</v>
      </c>
      <c r="B62" s="151"/>
      <c r="C62" s="151"/>
      <c r="D62" s="151"/>
      <c r="E62" s="151"/>
      <c r="F62" s="151"/>
      <c r="G62" s="151"/>
      <c r="H62" s="151"/>
      <c r="I62" s="151"/>
      <c r="J62" s="151"/>
      <c r="K62" s="151"/>
      <c r="L62" s="151"/>
      <c r="M62" s="151"/>
      <c r="N62" s="151"/>
      <c r="O62" s="190">
        <f>IF($D$17&lt;0,O57,IF(O57&gt;O60,O57,O60))</f>
        <v>206.17320000000007</v>
      </c>
      <c r="P62" s="160"/>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ht="15" customHeight="1" x14ac:dyDescent="0.2">
      <c r="A63" s="148"/>
      <c r="B63" s="151"/>
      <c r="C63" s="151"/>
      <c r="D63" s="151"/>
      <c r="E63" s="151"/>
      <c r="F63" s="151"/>
      <c r="G63" s="151"/>
      <c r="H63" s="151"/>
      <c r="I63" s="151"/>
      <c r="J63" s="151"/>
      <c r="K63" s="151"/>
      <c r="L63" s="151"/>
      <c r="M63" s="151"/>
      <c r="N63" s="151"/>
      <c r="O63" s="190"/>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row>
    <row r="64" spans="1:236" x14ac:dyDescent="0.2">
      <c r="A64" s="148"/>
      <c r="B64" s="166"/>
      <c r="C64" s="166"/>
      <c r="D64" s="166"/>
      <c r="E64" s="166"/>
      <c r="F64" s="166"/>
      <c r="G64" s="166"/>
      <c r="H64" s="166"/>
      <c r="I64" s="166" t="s">
        <v>121</v>
      </c>
      <c r="J64" s="166"/>
      <c r="K64" s="166"/>
      <c r="L64" s="191"/>
      <c r="M64" s="191"/>
      <c r="N64" s="191"/>
      <c r="O64" s="191">
        <f>ROUND(IF($C$15&lt;1,0,O57/($C$15*100)*10000),2)</f>
        <v>20.62</v>
      </c>
      <c r="P64" s="37" t="s">
        <v>87</v>
      </c>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HE64" s="78"/>
      <c r="HF64" s="78"/>
      <c r="HG64" s="78"/>
      <c r="HH64" s="78"/>
      <c r="HI64" s="78"/>
      <c r="HJ64" s="78"/>
      <c r="HK64" s="78"/>
      <c r="HL64" s="78"/>
      <c r="HM64" s="78"/>
      <c r="HN64" s="78"/>
    </row>
    <row r="65" spans="2:37" x14ac:dyDescent="0.2">
      <c r="B65" s="78"/>
      <c r="C65" s="78"/>
      <c r="D65" s="78"/>
      <c r="E65" s="78"/>
      <c r="F65" s="78"/>
      <c r="G65" s="78"/>
      <c r="H65" s="192"/>
      <c r="I65" s="242" t="s">
        <v>191</v>
      </c>
      <c r="J65" s="78"/>
      <c r="K65" s="78"/>
      <c r="L65" s="78"/>
      <c r="M65" s="78"/>
      <c r="N65" s="78"/>
      <c r="O65" s="243">
        <f>ROUND(IF($C$15&lt;1,0,(L57)/($C$15*100)*10000),2)</f>
        <v>11.26</v>
      </c>
      <c r="P65" s="25" t="s">
        <v>87</v>
      </c>
      <c r="Q65" s="78"/>
      <c r="R65" s="78"/>
      <c r="S65" s="78"/>
      <c r="T65" s="78"/>
      <c r="U65" s="78"/>
      <c r="V65" s="78"/>
      <c r="W65" s="78"/>
      <c r="X65" s="78"/>
      <c r="Y65" s="78"/>
      <c r="Z65" s="78"/>
      <c r="AA65" s="78"/>
      <c r="AB65" s="78"/>
      <c r="AC65" s="78"/>
      <c r="AD65" s="78"/>
      <c r="AE65" s="78"/>
      <c r="AF65" s="78"/>
      <c r="AG65" s="78"/>
      <c r="AH65" s="78"/>
      <c r="AI65" s="78"/>
      <c r="AJ65" s="78"/>
      <c r="AK65" s="78"/>
    </row>
  </sheetData>
  <sheetProtection algorithmName="SHA-512" hashValue="g0dS2z8qY7thR+47CsQC4d8DGgzng/eoo+2XbIQ30kKl7cGPfOysJVRM2AQqQZczCRo4sBQhXBvMK5IX8huCcA==" saltValue="lF3cjakd5t0SzCADN5hZfQ==" spinCount="100000" sheet="1" objects="1" scenarios="1"/>
  <mergeCells count="8">
    <mergeCell ref="A7:P7"/>
    <mergeCell ref="G19:J19"/>
    <mergeCell ref="L19:O19"/>
    <mergeCell ref="A1:P1"/>
    <mergeCell ref="A3:P3"/>
    <mergeCell ref="A4:P4"/>
    <mergeCell ref="A12:I12"/>
    <mergeCell ref="A2:P2"/>
  </mergeCells>
  <phoneticPr fontId="0" type="noConversion"/>
  <printOptions horizontalCentered="1"/>
  <pageMargins left="0" right="0" top="0.75" bottom="0.5" header="0.5" footer="0.5"/>
  <pageSetup scale="60" fitToHeight="2" orientation="landscape" r:id="rId1"/>
  <headerFooter alignWithMargins="0"/>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Info">
                <anchor moveWithCells="1">
                  <from>
                    <xdr:col>0</xdr:col>
                    <xdr:colOff>57150</xdr:colOff>
                    <xdr:row>0</xdr:row>
                    <xdr:rowOff>38100</xdr:rowOff>
                  </from>
                  <to>
                    <xdr:col>0</xdr:col>
                    <xdr:colOff>571500</xdr:colOff>
                    <xdr:row>0</xdr:row>
                    <xdr:rowOff>247650</xdr:rowOff>
                  </to>
                </anchor>
              </controlPr>
            </control>
          </mc:Choice>
        </mc:AlternateContent>
        <mc:AlternateContent xmlns:mc="http://schemas.openxmlformats.org/markup-compatibility/2006">
          <mc:Choice Requires="x14">
            <control shapeId="24591" r:id="rId5" name="Button 15">
              <controlPr defaultSize="0" print="0" autoFill="0" autoPict="0" macro="[0]!Info">
                <anchor moveWithCells="1">
                  <from>
                    <xdr:col>15</xdr:col>
                    <xdr:colOff>285750</xdr:colOff>
                    <xdr:row>72</xdr:row>
                    <xdr:rowOff>76200</xdr:rowOff>
                  </from>
                  <to>
                    <xdr:col>15</xdr:col>
                    <xdr:colOff>809625</xdr:colOff>
                    <xdr:row>73</xdr:row>
                    <xdr:rowOff>152400</xdr:rowOff>
                  </to>
                </anchor>
              </controlPr>
            </control>
          </mc:Choice>
        </mc:AlternateContent>
        <mc:AlternateContent xmlns:mc="http://schemas.openxmlformats.org/markup-compatibility/2006">
          <mc:Choice Requires="x14">
            <control shapeId="24592" r:id="rId6" name="Button 16">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24593" r:id="rId7" name="Button 17">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24594" r:id="rId8" name="Button 18">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24595" r:id="rId9" name="Button 19">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A1:IB66"/>
  <sheetViews>
    <sheetView showGridLines="0" zoomScale="80" zoomScaleNormal="80" workbookViewId="0">
      <selection activeCell="A64" sqref="A64"/>
    </sheetView>
  </sheetViews>
  <sheetFormatPr defaultRowHeight="12.75" x14ac:dyDescent="0.2"/>
  <cols>
    <col min="1" max="1" width="31" customWidth="1"/>
    <col min="2" max="2" width="2.140625" customWidth="1"/>
    <col min="3" max="3" width="21.140625" customWidth="1"/>
    <col min="4" max="4" width="15.28515625" customWidth="1"/>
    <col min="5" max="5" width="10.140625" customWidth="1"/>
    <col min="6" max="6" width="5.5703125" customWidth="1"/>
    <col min="7" max="8" width="13.28515625" customWidth="1"/>
    <col min="9" max="9" width="14.5703125" customWidth="1"/>
    <col min="10" max="10" width="13.28515625" customWidth="1"/>
    <col min="11" max="11" width="7" customWidth="1"/>
    <col min="12" max="12" width="15.140625" customWidth="1"/>
    <col min="13" max="13" width="17.28515625" bestFit="1" customWidth="1"/>
    <col min="14" max="14" width="16.7109375" customWidth="1"/>
    <col min="15" max="15" width="19.140625" bestFit="1" customWidth="1"/>
    <col min="16" max="16" width="12.85546875" bestFit="1" customWidth="1"/>
    <col min="18" max="18" width="9.140625" hidden="1" customWidth="1"/>
    <col min="19" max="26" width="10.28515625" hidden="1" customWidth="1"/>
    <col min="27" max="27" width="10.5703125" hidden="1" customWidth="1"/>
    <col min="28" max="30" width="10.28515625" hidden="1" customWidth="1"/>
  </cols>
  <sheetData>
    <row r="1" spans="1:30" ht="20.25" x14ac:dyDescent="0.3">
      <c r="A1" s="367" t="s">
        <v>120</v>
      </c>
      <c r="B1" s="367"/>
      <c r="C1" s="367"/>
      <c r="D1" s="367"/>
      <c r="E1" s="367"/>
      <c r="F1" s="367"/>
      <c r="G1" s="367"/>
      <c r="H1" s="367"/>
      <c r="I1" s="367"/>
      <c r="J1" s="367"/>
      <c r="K1" s="367"/>
      <c r="L1" s="367"/>
      <c r="M1" s="367"/>
      <c r="N1" s="367"/>
      <c r="O1" s="367"/>
      <c r="P1" s="367"/>
    </row>
    <row r="2" spans="1:30" ht="20.25" x14ac:dyDescent="0.3">
      <c r="A2" s="352" t="s">
        <v>280</v>
      </c>
      <c r="B2" s="352"/>
      <c r="C2" s="352"/>
      <c r="D2" s="352"/>
      <c r="E2" s="352"/>
      <c r="F2" s="352"/>
      <c r="G2" s="352"/>
      <c r="H2" s="352"/>
      <c r="I2" s="352"/>
      <c r="J2" s="352"/>
      <c r="K2" s="352"/>
      <c r="L2" s="352"/>
      <c r="M2" s="352"/>
      <c r="N2" s="352"/>
      <c r="O2" s="352"/>
      <c r="P2" s="352"/>
    </row>
    <row r="3" spans="1:30" ht="18" x14ac:dyDescent="0.25">
      <c r="A3" s="368" t="s">
        <v>84</v>
      </c>
      <c r="B3" s="368"/>
      <c r="C3" s="368"/>
      <c r="D3" s="368"/>
      <c r="E3" s="368"/>
      <c r="F3" s="368"/>
      <c r="G3" s="368"/>
      <c r="H3" s="368"/>
      <c r="I3" s="368"/>
      <c r="J3" s="368"/>
      <c r="K3" s="368"/>
      <c r="L3" s="368"/>
      <c r="M3" s="368"/>
      <c r="N3" s="368"/>
      <c r="O3" s="368"/>
      <c r="P3" s="368"/>
    </row>
    <row r="4" spans="1:30" ht="15.75" x14ac:dyDescent="0.25">
      <c r="A4" s="353" t="str">
        <f>'Customer Info'!B11</f>
        <v>Breakdown of Charges Based on Entered Information</v>
      </c>
      <c r="B4" s="353"/>
      <c r="C4" s="353"/>
      <c r="D4" s="353"/>
      <c r="E4" s="353"/>
      <c r="F4" s="353"/>
      <c r="G4" s="353"/>
      <c r="H4" s="353"/>
      <c r="I4" s="353"/>
      <c r="J4" s="353"/>
      <c r="K4" s="353"/>
      <c r="L4" s="353"/>
      <c r="M4" s="353"/>
      <c r="N4" s="353"/>
      <c r="O4" s="353"/>
      <c r="P4" s="353"/>
    </row>
    <row r="5" spans="1:30" ht="15" x14ac:dyDescent="0.2">
      <c r="A5" s="75"/>
      <c r="B5" s="75"/>
      <c r="C5" s="75"/>
      <c r="D5" s="75"/>
      <c r="E5" s="75"/>
      <c r="F5" s="75"/>
      <c r="G5" s="75"/>
      <c r="H5" s="75"/>
      <c r="I5" s="75"/>
      <c r="J5" s="75"/>
      <c r="K5" s="75"/>
    </row>
    <row r="6" spans="1:30" x14ac:dyDescent="0.2">
      <c r="A6" s="76">
        <f ca="1">TODAY()</f>
        <v>45371</v>
      </c>
      <c r="B6" s="210" t="s">
        <v>231</v>
      </c>
      <c r="C6" s="76"/>
      <c r="D6" s="76"/>
      <c r="E6" s="76"/>
      <c r="F6" s="76"/>
      <c r="G6" s="76"/>
      <c r="H6" s="76"/>
      <c r="I6" s="76"/>
    </row>
    <row r="7" spans="1:30" ht="26.25" x14ac:dyDescent="0.4">
      <c r="A7" s="369"/>
      <c r="B7" s="369"/>
      <c r="C7" s="369"/>
      <c r="D7" s="369"/>
      <c r="E7" s="369"/>
      <c r="F7" s="369"/>
      <c r="G7" s="369"/>
      <c r="H7" s="369"/>
      <c r="I7" s="369"/>
      <c r="J7" s="369"/>
      <c r="K7" s="369"/>
      <c r="L7" s="369"/>
      <c r="M7" s="369"/>
      <c r="N7" s="369"/>
      <c r="O7" s="369"/>
      <c r="P7" s="369"/>
    </row>
    <row r="8" spans="1:30" x14ac:dyDescent="0.2">
      <c r="C8" s="18"/>
      <c r="D8" s="18"/>
      <c r="E8" s="18"/>
      <c r="F8" s="18"/>
      <c r="G8" s="18"/>
      <c r="H8" s="18"/>
      <c r="I8" s="18"/>
      <c r="J8" s="18"/>
      <c r="K8" s="18"/>
    </row>
    <row r="9" spans="1:30" ht="15" x14ac:dyDescent="0.2">
      <c r="A9" s="23" t="s">
        <v>2</v>
      </c>
      <c r="B9" s="24"/>
      <c r="C9" s="25">
        <f>'Customer Info'!B7</f>
        <v>0</v>
      </c>
      <c r="I9" s="26"/>
    </row>
    <row r="10" spans="1:30" ht="15" x14ac:dyDescent="0.2">
      <c r="A10" s="27" t="s">
        <v>26</v>
      </c>
      <c r="B10" s="24"/>
      <c r="C10" s="25">
        <f>'Customer Info'!B8</f>
        <v>0</v>
      </c>
    </row>
    <row r="11" spans="1:30" x14ac:dyDescent="0.2">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x14ac:dyDescent="0.2">
      <c r="A12" s="366"/>
      <c r="B12" s="366"/>
      <c r="C12" s="366"/>
      <c r="D12" s="366"/>
      <c r="E12" s="366"/>
      <c r="F12" s="366"/>
      <c r="G12" s="366"/>
      <c r="H12" s="366"/>
      <c r="I12" s="366"/>
      <c r="J12" s="92"/>
      <c r="K12" s="92"/>
      <c r="L12" s="128"/>
      <c r="M12" s="128"/>
      <c r="N12" s="128"/>
      <c r="O12" s="128"/>
      <c r="P12" s="128"/>
      <c r="R12" t="s">
        <v>115</v>
      </c>
      <c r="S12" s="145" t="s">
        <v>102</v>
      </c>
      <c r="T12" s="145" t="s">
        <v>103</v>
      </c>
      <c r="U12" s="145" t="s">
        <v>104</v>
      </c>
      <c r="V12" s="145" t="s">
        <v>105</v>
      </c>
      <c r="W12" s="145" t="s">
        <v>106</v>
      </c>
      <c r="X12" s="145" t="s">
        <v>107</v>
      </c>
      <c r="Y12" s="145" t="s">
        <v>108</v>
      </c>
      <c r="Z12" s="145" t="s">
        <v>109</v>
      </c>
      <c r="AA12" s="145" t="s">
        <v>110</v>
      </c>
      <c r="AB12" s="145" t="s">
        <v>112</v>
      </c>
      <c r="AC12" s="145" t="s">
        <v>111</v>
      </c>
      <c r="AD12" s="145" t="s">
        <v>113</v>
      </c>
    </row>
    <row r="13" spans="1:30" x14ac:dyDescent="0.2">
      <c r="A13" s="28" t="s">
        <v>27</v>
      </c>
      <c r="B13" s="22"/>
      <c r="C13" s="22"/>
      <c r="D13" s="22"/>
      <c r="E13" s="22"/>
      <c r="F13" s="22"/>
      <c r="G13" s="22"/>
      <c r="H13" s="22"/>
      <c r="I13" s="22"/>
      <c r="R13" s="3" t="s">
        <v>188</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
      <c r="A15" s="31" t="s">
        <v>52</v>
      </c>
      <c r="B15" s="31"/>
      <c r="C15" s="32">
        <f>IF('Customer Info'!B21+'Customer Info'!B22-'Customer Info'!B23&lt;0,0,'Customer Info'!B21+'Customer Info'!B22-'Customer Info'!B23)</f>
        <v>1000</v>
      </c>
      <c r="D15" s="31" t="s">
        <v>41</v>
      </c>
      <c r="E15" s="31"/>
      <c r="F15" s="33"/>
      <c r="G15" s="31"/>
      <c r="H15" s="31"/>
      <c r="I15" s="31"/>
      <c r="R15" s="78"/>
      <c r="S15" s="193"/>
      <c r="T15" s="193"/>
      <c r="U15" s="193"/>
      <c r="V15" s="193"/>
      <c r="W15" s="193"/>
      <c r="X15" s="193"/>
      <c r="Y15" s="193"/>
      <c r="Z15" s="193"/>
      <c r="AA15" s="193"/>
      <c r="AB15" s="193"/>
      <c r="AC15" s="193"/>
      <c r="AD15" s="193"/>
    </row>
    <row r="16" spans="1:30" x14ac:dyDescent="0.2">
      <c r="A16" s="31" t="s">
        <v>227</v>
      </c>
      <c r="B16" s="31"/>
      <c r="C16" s="32">
        <f>'Customer Info'!B21</f>
        <v>1000</v>
      </c>
      <c r="D16" s="31" t="s">
        <v>41</v>
      </c>
      <c r="E16" s="31"/>
      <c r="F16" s="33"/>
      <c r="G16" s="23" t="s">
        <v>15</v>
      </c>
      <c r="H16" s="31"/>
    </row>
    <row r="17" spans="1:221" x14ac:dyDescent="0.2">
      <c r="A17" s="31" t="s">
        <v>228</v>
      </c>
      <c r="B17" s="31"/>
      <c r="C17" s="32">
        <f>'Customer Info'!B22</f>
        <v>0</v>
      </c>
      <c r="D17" s="262" t="s">
        <v>41</v>
      </c>
      <c r="E17" s="33"/>
      <c r="F17" s="33"/>
      <c r="G17" s="23" t="s">
        <v>15</v>
      </c>
      <c r="H17" s="31"/>
      <c r="I17" s="52" t="s">
        <v>15</v>
      </c>
    </row>
    <row r="19" spans="1:221" x14ac:dyDescent="0.2">
      <c r="A19" s="28" t="s">
        <v>31</v>
      </c>
      <c r="B19" s="22"/>
      <c r="C19" s="22"/>
      <c r="D19" s="22"/>
      <c r="E19" s="22"/>
      <c r="F19" s="22"/>
      <c r="G19" s="362" t="s">
        <v>68</v>
      </c>
      <c r="H19" s="363"/>
      <c r="I19" s="363"/>
      <c r="J19" s="364"/>
      <c r="K19" s="22"/>
      <c r="L19" s="365" t="s">
        <v>69</v>
      </c>
      <c r="M19" s="365"/>
      <c r="N19" s="365"/>
      <c r="O19" s="365"/>
    </row>
    <row r="20" spans="1:221" x14ac:dyDescent="0.2">
      <c r="A20" s="18"/>
      <c r="B20" s="18"/>
      <c r="C20" s="18"/>
      <c r="D20" s="18"/>
      <c r="E20" s="18"/>
      <c r="F20" s="18"/>
      <c r="G20" s="8" t="s">
        <v>65</v>
      </c>
      <c r="H20" s="8" t="s">
        <v>66</v>
      </c>
      <c r="I20" s="8" t="s">
        <v>67</v>
      </c>
      <c r="J20" s="112" t="s">
        <v>34</v>
      </c>
      <c r="K20" s="18"/>
      <c r="L20" s="131" t="s">
        <v>65</v>
      </c>
      <c r="M20" s="131" t="s">
        <v>66</v>
      </c>
      <c r="N20" s="131" t="s">
        <v>67</v>
      </c>
      <c r="O20" s="132" t="s">
        <v>34</v>
      </c>
      <c r="P20" s="43" t="s">
        <v>57</v>
      </c>
    </row>
    <row r="21" spans="1:221" x14ac:dyDescent="0.2">
      <c r="A21" t="s">
        <v>32</v>
      </c>
      <c r="G21" s="86"/>
      <c r="H21" s="86"/>
      <c r="I21" s="86">
        <v>9.4</v>
      </c>
      <c r="J21" s="86">
        <f>SUM(G21:I21)</f>
        <v>9.4</v>
      </c>
      <c r="L21" s="88"/>
      <c r="M21" s="88"/>
      <c r="N21" s="88">
        <f>I21</f>
        <v>9.4</v>
      </c>
      <c r="O21" s="209">
        <f>SUM(L21:N21)</f>
        <v>9.4</v>
      </c>
      <c r="P21" s="245">
        <v>44531</v>
      </c>
    </row>
    <row r="22" spans="1:221" x14ac:dyDescent="0.2">
      <c r="A22" s="287" t="s">
        <v>132</v>
      </c>
      <c r="D22" s="1">
        <f>C15</f>
        <v>1000</v>
      </c>
      <c r="E22" s="35" t="s">
        <v>41</v>
      </c>
      <c r="F22" s="4" t="s">
        <v>8</v>
      </c>
      <c r="G22" s="84"/>
      <c r="H22" s="84"/>
      <c r="I22" s="84">
        <v>2.05802E-2</v>
      </c>
      <c r="J22" s="84">
        <f>SUM(G22:I22)</f>
        <v>2.05802E-2</v>
      </c>
      <c r="K22" s="36" t="s">
        <v>42</v>
      </c>
      <c r="L22" s="87"/>
      <c r="M22" s="87"/>
      <c r="N22" s="87">
        <f>IF(C15&lt;0,0,ROUND($D22*I22,2))</f>
        <v>20.58</v>
      </c>
      <c r="O22" s="209">
        <f>SUM(L22:N22)</f>
        <v>20.58</v>
      </c>
      <c r="P22" s="245">
        <v>44531</v>
      </c>
    </row>
    <row r="23" spans="1:221" x14ac:dyDescent="0.2">
      <c r="A23" s="37" t="s">
        <v>50</v>
      </c>
      <c r="B23" s="37"/>
      <c r="C23" s="37"/>
      <c r="D23" s="38"/>
      <c r="E23" s="38"/>
      <c r="F23" s="37"/>
      <c r="G23" s="37"/>
      <c r="H23" s="37"/>
      <c r="I23" s="37"/>
      <c r="J23" s="37"/>
      <c r="K23" s="39"/>
      <c r="L23" s="40"/>
      <c r="M23" s="40"/>
      <c r="N23" s="40">
        <f>SUM(N21:N22)</f>
        <v>29.979999999999997</v>
      </c>
      <c r="O23" s="40">
        <f>SUM(O21:O22)</f>
        <v>29.979999999999997</v>
      </c>
    </row>
    <row r="24" spans="1:221" x14ac:dyDescent="0.2">
      <c r="A24" s="89"/>
      <c r="B24" s="89"/>
      <c r="C24" s="90"/>
      <c r="D24" s="90"/>
      <c r="E24" s="90"/>
      <c r="F24" s="90"/>
      <c r="G24" s="91"/>
      <c r="H24" s="91"/>
      <c r="I24" s="91"/>
      <c r="J24" s="91"/>
      <c r="K24" s="89"/>
      <c r="L24" s="89"/>
      <c r="M24" s="89"/>
      <c r="N24" s="89"/>
      <c r="O24" s="89"/>
      <c r="P24" s="89"/>
    </row>
    <row r="25" spans="1:221" x14ac:dyDescent="0.2">
      <c r="A25" s="148" t="s">
        <v>70</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
      <c r="A27" s="99" t="s">
        <v>79</v>
      </c>
      <c r="B27" s="176"/>
      <c r="C27" s="176"/>
      <c r="D27" s="100">
        <f>IF($C$15&lt;0,0,IF($C$15&gt;833000,833000,$C$15))</f>
        <v>1000</v>
      </c>
      <c r="E27" s="101" t="s">
        <v>41</v>
      </c>
      <c r="F27" s="102" t="s">
        <v>8</v>
      </c>
      <c r="G27" s="103"/>
      <c r="H27" s="103"/>
      <c r="I27" s="103">
        <f>'Rider Rates'!$B$4</f>
        <v>5.9216E-3</v>
      </c>
      <c r="J27" s="103">
        <f t="shared" ref="J27:J48" si="0">SUM(G27:I27)</f>
        <v>5.9216E-3</v>
      </c>
      <c r="K27" s="104" t="s">
        <v>42</v>
      </c>
      <c r="L27" s="105"/>
      <c r="M27" s="105"/>
      <c r="N27" s="105">
        <f t="shared" ref="N27:N32" si="1">ROUND(D27*I27,2)</f>
        <v>5.92</v>
      </c>
      <c r="O27" s="105">
        <f t="shared" ref="O27:O49" si="2">SUM(L27:N27)</f>
        <v>5.92</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
      <c r="A28" s="99" t="s">
        <v>80</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
      <c r="A29" s="99" t="s">
        <v>97</v>
      </c>
      <c r="B29" s="78"/>
      <c r="C29" s="78"/>
      <c r="D29" s="100">
        <f>IF('Customer Info'!$C$32=TRUE,0,IF($C$15&lt;0,0,IF($C$15&gt;2000,2000,$C$15)))</f>
        <v>1000</v>
      </c>
      <c r="E29" s="101" t="s">
        <v>41</v>
      </c>
      <c r="F29" s="102" t="s">
        <v>8</v>
      </c>
      <c r="G29" s="103"/>
      <c r="H29" s="103"/>
      <c r="I29" s="177">
        <f>'Rider Rates'!$B$8</f>
        <v>4.6499999999999996E-3</v>
      </c>
      <c r="J29" s="177">
        <f t="shared" si="0"/>
        <v>4.6499999999999996E-3</v>
      </c>
      <c r="K29" s="104" t="s">
        <v>42</v>
      </c>
      <c r="L29" s="105"/>
      <c r="M29" s="105"/>
      <c r="N29" s="105">
        <f t="shared" si="1"/>
        <v>4.6500000000000004</v>
      </c>
      <c r="O29" s="105">
        <f t="shared" si="2"/>
        <v>4.6500000000000004</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
      <c r="A30" s="99" t="s">
        <v>98</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
      <c r="A31" s="99" t="s">
        <v>99</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
      <c r="A32" s="210" t="s">
        <v>160</v>
      </c>
      <c r="B32" s="78"/>
      <c r="C32" s="78"/>
      <c r="D32" s="100">
        <f>IF($C$15&lt;0,0,$C$15)</f>
        <v>1000</v>
      </c>
      <c r="E32" s="101" t="s">
        <v>41</v>
      </c>
      <c r="F32" s="102" t="s">
        <v>8</v>
      </c>
      <c r="G32" s="103"/>
      <c r="H32" s="103"/>
      <c r="I32" s="103">
        <f>'Rider Rates'!$B$16</f>
        <v>0</v>
      </c>
      <c r="J32" s="103">
        <f>SUM(G32:I32)</f>
        <v>0</v>
      </c>
      <c r="K32" s="104" t="s">
        <v>42</v>
      </c>
      <c r="L32" s="105"/>
      <c r="M32" s="105"/>
      <c r="N32" s="105">
        <f t="shared" si="1"/>
        <v>0</v>
      </c>
      <c r="O32" s="105">
        <f t="shared" si="2"/>
        <v>0</v>
      </c>
      <c r="P32" s="245">
        <f>'Rider Rates'!$D$16</f>
        <v>45322</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
      <c r="A33" s="210" t="s">
        <v>239</v>
      </c>
      <c r="B33" s="78"/>
      <c r="C33" s="78"/>
      <c r="D33" s="195">
        <f>$N$23</f>
        <v>29.979999999999997</v>
      </c>
      <c r="E33" s="101" t="s">
        <v>122</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
      <c r="A34" s="210" t="s">
        <v>187</v>
      </c>
      <c r="B34" s="78"/>
      <c r="C34" s="78"/>
      <c r="D34" s="100">
        <f>'GS-TOU Bundled'!C16+'GS-TOU Bundled'!C17</f>
        <v>1000</v>
      </c>
      <c r="E34" s="101" t="s">
        <v>41</v>
      </c>
      <c r="F34" s="102" t="s">
        <v>8</v>
      </c>
      <c r="G34" s="103">
        <f>'Rider Rates'!B22</f>
        <v>0.10589</v>
      </c>
      <c r="H34" s="103"/>
      <c r="I34" s="103"/>
      <c r="J34" s="237">
        <f>SUM(G34:H34)</f>
        <v>0.10589</v>
      </c>
      <c r="K34" s="104" t="s">
        <v>42</v>
      </c>
      <c r="L34" s="105">
        <f>ROUND(D34*G34,2)</f>
        <v>105.89</v>
      </c>
      <c r="M34" s="105"/>
      <c r="N34" s="105"/>
      <c r="O34" s="105">
        <f t="shared" si="2"/>
        <v>105.89</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
      <c r="A35" s="210" t="s">
        <v>163</v>
      </c>
      <c r="B35" s="78"/>
      <c r="C35" s="78"/>
      <c r="D35" s="100">
        <f>C16</f>
        <v>1000</v>
      </c>
      <c r="E35" s="101" t="s">
        <v>41</v>
      </c>
      <c r="F35" s="102" t="s">
        <v>8</v>
      </c>
      <c r="G35" s="103">
        <f>'Rider Rates'!B35</f>
        <v>2.7757E-2</v>
      </c>
      <c r="H35" s="103"/>
      <c r="I35" s="103"/>
      <c r="J35" s="237">
        <f>SUM(G35:H35)</f>
        <v>2.7757E-2</v>
      </c>
      <c r="K35" s="104" t="s">
        <v>42</v>
      </c>
      <c r="L35" s="105">
        <f>ROUND(D35*G35,2)</f>
        <v>27.76</v>
      </c>
      <c r="M35" s="105"/>
      <c r="N35" s="105"/>
      <c r="O35" s="105">
        <f t="shared" si="2"/>
        <v>27.76</v>
      </c>
      <c r="P35" s="245">
        <f>'Rider Rates'!$D$35</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
      <c r="A36" s="210" t="s">
        <v>221</v>
      </c>
      <c r="B36" s="78"/>
      <c r="C36" s="78"/>
      <c r="D36" s="100">
        <f>C17</f>
        <v>0</v>
      </c>
      <c r="E36" s="101" t="s">
        <v>41</v>
      </c>
      <c r="F36" s="249" t="s">
        <v>8</v>
      </c>
      <c r="G36" s="103">
        <f>'Rider Rates'!B36</f>
        <v>0</v>
      </c>
      <c r="H36" s="103"/>
      <c r="I36" s="103"/>
      <c r="J36" s="237">
        <f>SUM(G36:H36)</f>
        <v>0</v>
      </c>
      <c r="K36" s="104" t="s">
        <v>42</v>
      </c>
      <c r="L36" s="105">
        <f>ROUND(D36*G36,2)</f>
        <v>0</v>
      </c>
      <c r="M36" s="105"/>
      <c r="N36" s="105"/>
      <c r="O36" s="105">
        <f t="shared" si="2"/>
        <v>0</v>
      </c>
      <c r="P36" s="245">
        <f>'Rider Rates'!D36</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
      <c r="A37" s="210" t="s">
        <v>194</v>
      </c>
      <c r="B37" s="78"/>
      <c r="C37" s="78"/>
      <c r="D37" s="100">
        <f>C16+C17</f>
        <v>1000</v>
      </c>
      <c r="E37" s="101" t="s">
        <v>41</v>
      </c>
      <c r="F37" s="102" t="s">
        <v>8</v>
      </c>
      <c r="G37" s="103">
        <f>'Rider Rates'!$B$42</f>
        <v>-4.8640000000000001E-4</v>
      </c>
      <c r="H37" s="103"/>
      <c r="I37" s="103"/>
      <c r="J37" s="237">
        <f>SUM(G37:H37)</f>
        <v>-4.8640000000000001E-4</v>
      </c>
      <c r="K37" s="104" t="s">
        <v>42</v>
      </c>
      <c r="L37" s="105">
        <f>ROUND(D37*G37,2)</f>
        <v>-0.49</v>
      </c>
      <c r="M37" s="105"/>
      <c r="N37" s="105"/>
      <c r="O37" s="105">
        <f t="shared" si="2"/>
        <v>-0.49</v>
      </c>
      <c r="P37" s="245">
        <f>'Rider Rates'!$D$42</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
      <c r="A38" s="241" t="s">
        <v>212</v>
      </c>
      <c r="B38" s="78"/>
      <c r="C38" s="78"/>
      <c r="D38" s="100">
        <f>IF($C$15&lt;0,0,IF($C$15&gt;833000,833000,$C$15))</f>
        <v>1000</v>
      </c>
      <c r="E38" s="101" t="s">
        <v>41</v>
      </c>
      <c r="F38" s="102" t="s">
        <v>8</v>
      </c>
      <c r="G38" s="103"/>
      <c r="H38" s="103"/>
      <c r="I38" s="103">
        <f>'Rider Rates'!D46</f>
        <v>1.7826999999999999E-3</v>
      </c>
      <c r="J38" s="103">
        <f>SUM(G38:I38)</f>
        <v>1.7826999999999999E-3</v>
      </c>
      <c r="K38" s="104" t="s">
        <v>42</v>
      </c>
      <c r="L38" s="105"/>
      <c r="M38" s="105"/>
      <c r="N38" s="105">
        <f>D38*J38</f>
        <v>1.7827</v>
      </c>
      <c r="O38" s="105">
        <f t="shared" si="2"/>
        <v>1.7827</v>
      </c>
      <c r="P38" s="245">
        <f>'Rider Rates'!E46</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
      <c r="A39" s="210" t="s">
        <v>190</v>
      </c>
      <c r="B39" s="78"/>
      <c r="C39" s="78"/>
      <c r="D39" s="100">
        <f>IF($C$15&lt;0,0,$C$15)</f>
        <v>1000</v>
      </c>
      <c r="E39" s="113" t="s">
        <v>41</v>
      </c>
      <c r="F39" s="102" t="s">
        <v>8</v>
      </c>
      <c r="G39" s="103"/>
      <c r="H39" s="103">
        <f>'Rider Rates'!$B$53</f>
        <v>2.3467399999999999E-2</v>
      </c>
      <c r="I39" s="103"/>
      <c r="J39" s="103">
        <f>SUM(G39:I39)</f>
        <v>2.3467399999999999E-2</v>
      </c>
      <c r="K39" s="104" t="s">
        <v>42</v>
      </c>
      <c r="L39" s="105"/>
      <c r="M39" s="105">
        <f>ROUND(D39*H39,2)</f>
        <v>23.47</v>
      </c>
      <c r="N39" s="205"/>
      <c r="O39" s="105">
        <f t="shared" si="2"/>
        <v>23.47</v>
      </c>
      <c r="P39" s="245">
        <f>'Rider Rates'!$D$53</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
      <c r="A40" s="99" t="s">
        <v>96</v>
      </c>
      <c r="B40" s="78"/>
      <c r="C40" s="78"/>
      <c r="D40" s="100">
        <f>IF('Customer Info'!C34=TRUE,0,IF($C$15&lt;0,0,$C$15))</f>
        <v>1000</v>
      </c>
      <c r="E40" s="101" t="s">
        <v>41</v>
      </c>
      <c r="F40" s="102" t="s">
        <v>8</v>
      </c>
      <c r="G40" s="103"/>
      <c r="H40" s="103"/>
      <c r="I40" s="103">
        <f>'Rider Rates'!$B$65+'Rider Rates'!$C$65</f>
        <v>0</v>
      </c>
      <c r="J40" s="103">
        <f t="shared" si="0"/>
        <v>0</v>
      </c>
      <c r="K40" s="104" t="s">
        <v>42</v>
      </c>
      <c r="L40" s="105"/>
      <c r="M40" s="105"/>
      <c r="N40" s="105">
        <f>ROUND($D$40*'Rider Rates'!$B$65,2)+ROUND($D$40*'Rider Rates'!$C$65,2)</f>
        <v>0</v>
      </c>
      <c r="O40" s="105">
        <f t="shared" si="2"/>
        <v>0</v>
      </c>
      <c r="P40" s="245">
        <f>'Rider Rates'!$D$65</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
      <c r="A41" s="99" t="s">
        <v>96</v>
      </c>
      <c r="B41" s="78"/>
      <c r="C41" s="78"/>
      <c r="D41" s="100"/>
      <c r="E41" s="101" t="s">
        <v>115</v>
      </c>
      <c r="F41" s="102"/>
      <c r="G41" s="103"/>
      <c r="H41" s="103"/>
      <c r="I41" s="196">
        <f>'Rider Rates'!$B$72</f>
        <v>0</v>
      </c>
      <c r="J41" s="196">
        <f>IF('Customer Info'!C34=TRUE,0,SUM(G41:I41))</f>
        <v>0</v>
      </c>
      <c r="K41" s="104"/>
      <c r="L41" s="105"/>
      <c r="M41" s="105"/>
      <c r="N41" s="105">
        <f>J41</f>
        <v>0</v>
      </c>
      <c r="O41" s="105">
        <f>SUM(L41:N41)</f>
        <v>0</v>
      </c>
      <c r="P41" s="245">
        <f>'Rider Rates'!$D$72</f>
        <v>44197</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
      <c r="A42" s="99" t="s">
        <v>81</v>
      </c>
      <c r="B42" s="78"/>
      <c r="C42" s="78"/>
      <c r="D42" s="195">
        <f>$N$23</f>
        <v>29.979999999999997</v>
      </c>
      <c r="E42" s="101" t="s">
        <v>122</v>
      </c>
      <c r="F42" s="102" t="s">
        <v>8</v>
      </c>
      <c r="G42" s="111"/>
      <c r="H42" s="112"/>
      <c r="I42" s="120">
        <f>'Rider Rates'!$B$80</f>
        <v>2.9347000000000002E-2</v>
      </c>
      <c r="J42" s="120">
        <f t="shared" si="0"/>
        <v>2.9347000000000002E-2</v>
      </c>
      <c r="K42" s="104"/>
      <c r="L42" s="105"/>
      <c r="M42" s="105"/>
      <c r="N42" s="105">
        <f>ROUND(D42*I42,2)</f>
        <v>0.88</v>
      </c>
      <c r="O42" s="105">
        <f t="shared" si="2"/>
        <v>0.88</v>
      </c>
      <c r="P42" s="245">
        <f>'Rider Rates'!$D$80</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
      <c r="A43" s="99" t="s">
        <v>82</v>
      </c>
      <c r="B43" s="78"/>
      <c r="C43" s="78"/>
      <c r="D43" s="195">
        <f>$N$23</f>
        <v>29.979999999999997</v>
      </c>
      <c r="E43" s="101" t="s">
        <v>122</v>
      </c>
      <c r="F43" s="102" t="s">
        <v>8</v>
      </c>
      <c r="G43" s="114"/>
      <c r="H43" s="115"/>
      <c r="I43" s="120">
        <f>'Rider Rates'!$B$82</f>
        <v>6.6985699999999995E-2</v>
      </c>
      <c r="J43" s="120">
        <f t="shared" si="0"/>
        <v>6.6985699999999995E-2</v>
      </c>
      <c r="K43" s="104"/>
      <c r="L43" s="105"/>
      <c r="M43" s="105"/>
      <c r="N43" s="105">
        <f>ROUND(D43*I43,2)</f>
        <v>2.0099999999999998</v>
      </c>
      <c r="O43" s="105">
        <f t="shared" si="2"/>
        <v>2.0099999999999998</v>
      </c>
      <c r="P43" s="245">
        <f>'Rider Rates'!$D$82</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
      <c r="A44" s="210" t="s">
        <v>208</v>
      </c>
      <c r="B44" s="78"/>
      <c r="C44" s="78"/>
      <c r="D44" s="195"/>
      <c r="E44" s="113" t="s">
        <v>115</v>
      </c>
      <c r="F44" s="106"/>
      <c r="G44" s="114"/>
      <c r="H44" s="115"/>
      <c r="I44" s="196">
        <f>'Rider Rates'!$B$86</f>
        <v>15.91</v>
      </c>
      <c r="J44" s="196">
        <f t="shared" si="0"/>
        <v>15.91</v>
      </c>
      <c r="K44" s="104"/>
      <c r="L44" s="105"/>
      <c r="M44" s="105"/>
      <c r="N44" s="105">
        <f>I44</f>
        <v>15.91</v>
      </c>
      <c r="O44" s="105">
        <f t="shared" si="2"/>
        <v>15.91</v>
      </c>
      <c r="P44" s="245">
        <f>'Rider Rates'!$D$86</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
      <c r="A45" s="210" t="s">
        <v>241</v>
      </c>
      <c r="B45" s="78"/>
      <c r="C45" s="78"/>
      <c r="D45" s="100">
        <f>IF($C$15&lt;0,0,$C$15)</f>
        <v>1000</v>
      </c>
      <c r="E45" s="101" t="s">
        <v>41</v>
      </c>
      <c r="F45" s="102" t="s">
        <v>8</v>
      </c>
      <c r="G45" s="103"/>
      <c r="H45" s="103"/>
      <c r="I45" s="103"/>
      <c r="J45" s="103">
        <f>'Rider Rates'!$B$90</f>
        <v>0</v>
      </c>
      <c r="K45" s="104" t="s">
        <v>42</v>
      </c>
      <c r="L45" s="105"/>
      <c r="M45" s="105"/>
      <c r="N45" s="105"/>
      <c r="O45" s="105">
        <f>ROUND($D45*('Rider Rates'!B$90),2)</f>
        <v>0</v>
      </c>
      <c r="P45" s="245">
        <f>'Rider Rates'!$D$90</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
      <c r="A46" s="99" t="s">
        <v>157</v>
      </c>
      <c r="B46" s="78"/>
      <c r="C46" s="78"/>
      <c r="D46" s="195">
        <f>$N$23</f>
        <v>29.979999999999997</v>
      </c>
      <c r="E46" s="101" t="s">
        <v>122</v>
      </c>
      <c r="F46" s="102" t="s">
        <v>8</v>
      </c>
      <c r="G46" s="114"/>
      <c r="H46" s="115"/>
      <c r="I46" s="120">
        <f>'Rider Rates'!$B$100</f>
        <v>0.21398439999999999</v>
      </c>
      <c r="J46" s="120">
        <f t="shared" si="0"/>
        <v>0.21398439999999999</v>
      </c>
      <c r="K46" s="104"/>
      <c r="L46" s="105"/>
      <c r="M46" s="105"/>
      <c r="N46" s="105">
        <f>ROUND(D46*I46,2)</f>
        <v>6.42</v>
      </c>
      <c r="O46" s="105">
        <f t="shared" si="2"/>
        <v>6.42</v>
      </c>
      <c r="P46" s="245">
        <f>'Rider Rates'!$D$100</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
      <c r="A47" s="210" t="s">
        <v>211</v>
      </c>
      <c r="B47" s="78"/>
      <c r="C47" s="78"/>
      <c r="D47" s="195"/>
      <c r="E47" s="113" t="s">
        <v>115</v>
      </c>
      <c r="F47" s="106"/>
      <c r="G47" s="114"/>
      <c r="H47" s="115"/>
      <c r="I47" s="196">
        <f>'Rider Rates'!$B$104</f>
        <v>0</v>
      </c>
      <c r="J47" s="196">
        <f t="shared" si="0"/>
        <v>0</v>
      </c>
      <c r="K47" s="104"/>
      <c r="L47" s="105"/>
      <c r="M47" s="105"/>
      <c r="N47" s="105">
        <f>I47</f>
        <v>0</v>
      </c>
      <c r="O47" s="105">
        <f t="shared" si="2"/>
        <v>0</v>
      </c>
      <c r="P47" s="245">
        <f>'Rider Rates'!$D$104</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
      <c r="A48" s="210" t="s">
        <v>219</v>
      </c>
      <c r="B48" s="78"/>
      <c r="C48" s="78"/>
      <c r="D48" s="195"/>
      <c r="E48" s="113" t="s">
        <v>115</v>
      </c>
      <c r="F48" s="106"/>
      <c r="G48" s="114"/>
      <c r="H48" s="115"/>
      <c r="I48" s="258">
        <f>'Rider Rates'!B117</f>
        <v>5.83</v>
      </c>
      <c r="J48" s="196">
        <f t="shared" si="0"/>
        <v>5.83</v>
      </c>
      <c r="K48" s="104"/>
      <c r="L48" s="105"/>
      <c r="M48" s="105"/>
      <c r="N48" s="260">
        <f>I48</f>
        <v>5.83</v>
      </c>
      <c r="O48" s="105">
        <f t="shared" si="2"/>
        <v>5.83</v>
      </c>
      <c r="P48" s="245">
        <f>'Rider Rates'!D117</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
      <c r="A49" s="99" t="s">
        <v>158</v>
      </c>
      <c r="B49" s="78"/>
      <c r="C49" s="78"/>
      <c r="D49" s="100">
        <f>C16+C17</f>
        <v>1000</v>
      </c>
      <c r="E49" s="101" t="s">
        <v>41</v>
      </c>
      <c r="F49" s="102" t="s">
        <v>8</v>
      </c>
      <c r="G49" s="103">
        <f>'Rider Rates'!$B$107</f>
        <v>3.8972999999999998E-3</v>
      </c>
      <c r="H49" s="103"/>
      <c r="I49" s="120"/>
      <c r="J49" s="237">
        <f>SUM(G49:H49)</f>
        <v>3.8972999999999998E-3</v>
      </c>
      <c r="K49" s="104" t="s">
        <v>42</v>
      </c>
      <c r="L49" s="105">
        <f>ROUND(D49*G49,2)</f>
        <v>3.9</v>
      </c>
      <c r="M49" s="105"/>
      <c r="N49" s="105"/>
      <c r="O49" s="105">
        <f t="shared" si="2"/>
        <v>3.9</v>
      </c>
      <c r="P49" s="245">
        <f>'Rider Rates'!$D$107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
      <c r="A50" s="210" t="s">
        <v>210</v>
      </c>
      <c r="B50" s="78"/>
      <c r="C50" s="78"/>
      <c r="D50" s="100">
        <f>IF($C$15&lt;1,0,$C$15)</f>
        <v>1000</v>
      </c>
      <c r="E50" s="101" t="s">
        <v>41</v>
      </c>
      <c r="F50" s="249" t="s">
        <v>8</v>
      </c>
      <c r="G50" s="165"/>
      <c r="H50" s="165"/>
      <c r="I50" s="251">
        <f>'Rider Rates'!B113</f>
        <v>-6.2E-4</v>
      </c>
      <c r="J50" s="251">
        <f>SUM(G50:I50)</f>
        <v>-6.2E-4</v>
      </c>
      <c r="K50" s="104" t="s">
        <v>42</v>
      </c>
      <c r="L50" s="105"/>
      <c r="M50" s="105"/>
      <c r="N50" s="105">
        <f>D50*J50</f>
        <v>-0.62</v>
      </c>
      <c r="O50" s="105">
        <f>SUM(L50:N50)</f>
        <v>-0.62</v>
      </c>
      <c r="P50" s="245">
        <f>'Rider Rates'!D113</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
      <c r="A51" s="78" t="s">
        <v>235</v>
      </c>
      <c r="B51" s="78"/>
      <c r="C51" s="78"/>
      <c r="D51" s="100">
        <f>IF(C15&lt;0,0,IF(C15&gt;833000,833000,C15))</f>
        <v>1000</v>
      </c>
      <c r="E51" s="101" t="s">
        <v>41</v>
      </c>
      <c r="F51" s="102" t="s">
        <v>8</v>
      </c>
      <c r="G51" s="265"/>
      <c r="H51" s="265"/>
      <c r="I51" s="265">
        <f>'Rider Rates'!$B$121</f>
        <v>2.9050000000000001E-4</v>
      </c>
      <c r="J51" s="265">
        <f>SUM(G51:I51)</f>
        <v>2.9050000000000001E-4</v>
      </c>
      <c r="K51" s="104" t="s">
        <v>42</v>
      </c>
      <c r="L51" s="266"/>
      <c r="M51" s="266"/>
      <c r="N51" s="266">
        <f>IF(D51*J51&gt;'Rider Rates'!$C$121,'Rider Rates'!$C$121,D51*J51)</f>
        <v>0.29050000000000004</v>
      </c>
      <c r="O51" s="266">
        <f>SUM(L51:N51)</f>
        <v>0.29050000000000004</v>
      </c>
      <c r="P51" s="264">
        <f>'Rider Rates'!$E$121</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
      <c r="A52" s="78" t="s">
        <v>236</v>
      </c>
      <c r="B52" s="78"/>
      <c r="C52" s="78"/>
      <c r="D52" s="123">
        <f>IF(C15&gt;833000,C15-833000,0)</f>
        <v>0</v>
      </c>
      <c r="E52" s="101" t="s">
        <v>41</v>
      </c>
      <c r="F52" s="102" t="s">
        <v>8</v>
      </c>
      <c r="G52" s="265"/>
      <c r="H52" s="265"/>
      <c r="I52" s="265">
        <f>'Rider Rates'!$B$122</f>
        <v>0</v>
      </c>
      <c r="J52" s="265">
        <f>SUM(G52:I52)</f>
        <v>0</v>
      </c>
      <c r="K52" s="104" t="s">
        <v>42</v>
      </c>
      <c r="L52" s="266"/>
      <c r="M52" s="266"/>
      <c r="N52" s="266">
        <f>D52*J52</f>
        <v>0</v>
      </c>
      <c r="O52" s="266">
        <f>SUM(L52:N52)</f>
        <v>0</v>
      </c>
      <c r="P52" s="264">
        <f>'Rider Rates'!$E$122</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
      <c r="A53" s="241" t="s">
        <v>244</v>
      </c>
      <c r="B53" s="78"/>
      <c r="C53" s="78"/>
      <c r="D53" s="100">
        <f>C15</f>
        <v>1000</v>
      </c>
      <c r="E53" s="101" t="s">
        <v>41</v>
      </c>
      <c r="F53" s="249" t="s">
        <v>8</v>
      </c>
      <c r="G53" s="103"/>
      <c r="H53" s="103"/>
      <c r="I53" s="103">
        <f>'Rider Rates'!$B$126</f>
        <v>0</v>
      </c>
      <c r="J53" s="237">
        <f>SUM(G53:I53)</f>
        <v>0</v>
      </c>
      <c r="K53" s="104" t="s">
        <v>42</v>
      </c>
      <c r="L53" s="105"/>
      <c r="M53" s="105"/>
      <c r="N53" s="105">
        <f>D53*J53</f>
        <v>0</v>
      </c>
      <c r="O53" s="105">
        <f>SUM(L53:N53)</f>
        <v>0</v>
      </c>
      <c r="P53" s="245">
        <f>'Rider Rates'!$D$126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
      <c r="A54" s="241" t="s">
        <v>243</v>
      </c>
      <c r="B54" s="78"/>
      <c r="C54" s="78"/>
      <c r="D54" s="100"/>
      <c r="E54" s="101" t="s">
        <v>115</v>
      </c>
      <c r="F54" s="102" t="s">
        <v>8</v>
      </c>
      <c r="G54" s="263"/>
      <c r="H54" s="263"/>
      <c r="I54" s="263">
        <f>'Rider Rates'!$B$133</f>
        <v>0</v>
      </c>
      <c r="J54" s="263">
        <f>SUM(G54:I54)</f>
        <v>0</v>
      </c>
      <c r="K54" s="104"/>
      <c r="L54" s="209"/>
      <c r="M54" s="209"/>
      <c r="N54" s="209">
        <f>J54</f>
        <v>0</v>
      </c>
      <c r="O54" s="209">
        <f>SUM(L54:N54)</f>
        <v>0</v>
      </c>
      <c r="P54" s="264">
        <f>'Rider Rates'!$D$133</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
      <c r="A55" s="241" t="s">
        <v>245</v>
      </c>
      <c r="B55" s="78"/>
      <c r="C55" s="78"/>
      <c r="D55" s="100"/>
      <c r="E55" s="101"/>
      <c r="F55" s="102"/>
      <c r="G55" s="263"/>
      <c r="H55" s="263"/>
      <c r="I55" s="263"/>
      <c r="J55" s="263"/>
      <c r="K55" s="104"/>
      <c r="L55" s="209"/>
      <c r="M55" s="209"/>
      <c r="N55" s="209"/>
      <c r="O55" s="209"/>
      <c r="P55" s="26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
      <c r="A56" s="179" t="s">
        <v>71</v>
      </c>
      <c r="B56" s="148"/>
      <c r="C56" s="148"/>
      <c r="D56" s="180"/>
      <c r="E56" s="181"/>
      <c r="F56" s="182"/>
      <c r="G56" s="182"/>
      <c r="H56" s="182"/>
      <c r="I56" s="182"/>
      <c r="J56" s="182"/>
      <c r="K56" s="183"/>
      <c r="L56" s="169">
        <f>SUM(L27:L55)</f>
        <v>137.06</v>
      </c>
      <c r="M56" s="169">
        <f t="shared" ref="M56:O56" si="3">SUM(M27:M55)</f>
        <v>23.47</v>
      </c>
      <c r="N56" s="169">
        <f t="shared" si="3"/>
        <v>43.073200000000007</v>
      </c>
      <c r="O56" s="169">
        <f t="shared" si="3"/>
        <v>203.60319999999999</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x14ac:dyDescent="0.2">
      <c r="A58" s="185" t="s">
        <v>94</v>
      </c>
      <c r="B58" s="170"/>
      <c r="C58" s="170"/>
      <c r="D58" s="170"/>
      <c r="E58" s="170"/>
      <c r="F58" s="170"/>
      <c r="G58" s="170"/>
      <c r="H58" s="170"/>
      <c r="I58" s="170"/>
      <c r="J58" s="170"/>
      <c r="K58" s="170"/>
      <c r="L58" s="186">
        <f>L23+L56</f>
        <v>137.06</v>
      </c>
      <c r="M58" s="186">
        <f>M23+M56</f>
        <v>23.47</v>
      </c>
      <c r="N58" s="186">
        <f>N23+N56</f>
        <v>73.053200000000004</v>
      </c>
      <c r="O58" s="187">
        <f>O23+O56</f>
        <v>233.58319999999998</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x14ac:dyDescent="0.2">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x14ac:dyDescent="0.2">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x14ac:dyDescent="0.2">
      <c r="A61" s="166" t="s">
        <v>93</v>
      </c>
      <c r="B61" s="78"/>
      <c r="C61" s="78"/>
      <c r="D61" s="78"/>
      <c r="E61" s="78"/>
      <c r="F61" s="78"/>
      <c r="G61" s="78"/>
      <c r="H61" s="78"/>
      <c r="I61" s="78"/>
      <c r="J61" s="78"/>
      <c r="K61" s="78"/>
      <c r="L61" s="78"/>
      <c r="M61" s="78"/>
      <c r="N61" s="78"/>
      <c r="O61" s="109">
        <f>O21+O56</f>
        <v>213.00319999999999</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x14ac:dyDescent="0.2">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x14ac:dyDescent="0.2">
      <c r="A63" s="148" t="s">
        <v>117</v>
      </c>
      <c r="B63" s="151"/>
      <c r="C63" s="151"/>
      <c r="D63" s="151"/>
      <c r="E63" s="151"/>
      <c r="F63" s="151"/>
      <c r="G63" s="151"/>
      <c r="H63" s="151"/>
      <c r="I63" s="151"/>
      <c r="J63" s="151"/>
      <c r="K63" s="151"/>
      <c r="L63" s="151"/>
      <c r="M63" s="151"/>
      <c r="N63" s="151"/>
      <c r="O63" s="190">
        <f>IF($D$17&lt;0,O58,IF(O58&gt;O61,O58,O61))</f>
        <v>233.58319999999998</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2">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x14ac:dyDescent="0.2">
      <c r="A65" s="148"/>
      <c r="B65" s="166"/>
      <c r="C65" s="166"/>
      <c r="D65" s="166"/>
      <c r="E65" s="166"/>
      <c r="F65" s="166"/>
      <c r="G65" s="166"/>
      <c r="H65" s="166"/>
      <c r="I65" s="166" t="s">
        <v>121</v>
      </c>
      <c r="J65" s="166"/>
      <c r="K65" s="166"/>
      <c r="L65" s="191"/>
      <c r="M65" s="191"/>
      <c r="N65" s="191"/>
      <c r="O65" s="191">
        <f>ROUND(IF($C$15&lt;1,0,O58/($C$15*100)*10000),2)</f>
        <v>23.36</v>
      </c>
      <c r="P65" s="37" t="s">
        <v>87</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x14ac:dyDescent="0.2">
      <c r="B66" s="78"/>
      <c r="C66" s="78"/>
      <c r="D66" s="78"/>
      <c r="E66" s="78"/>
      <c r="F66" s="78"/>
      <c r="G66" s="78"/>
      <c r="H66" s="192"/>
      <c r="I66" s="242" t="s">
        <v>191</v>
      </c>
      <c r="J66" s="78"/>
      <c r="K66" s="78"/>
      <c r="L66" s="78"/>
      <c r="M66" s="78"/>
      <c r="N66" s="78"/>
      <c r="O66" s="243">
        <f>ROUND(IF($C$15&lt;1,0,(L58)/($C$15*100)*10000),2)</f>
        <v>13.71</v>
      </c>
      <c r="P66" s="25" t="s">
        <v>87</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y6w9QxuYBj2expW71aA3G1FrsR1nxGesHecmc2YQFwiv4Vmw+wOyYXsixEOhRfzU+E/ET+6zqQuJWsOHEelPmQ==" saltValue="bcTK6fsbtWnnW03V9ZDAdg=="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Button 1">
              <controlPr defaultSize="0" print="0" autoFill="0" autoPict="0" macro="[0]!Info">
                <anchor moveWithCells="1">
                  <from>
                    <xdr:col>0</xdr:col>
                    <xdr:colOff>57150</xdr:colOff>
                    <xdr:row>0</xdr:row>
                    <xdr:rowOff>38100</xdr:rowOff>
                  </from>
                  <to>
                    <xdr:col>0</xdr:col>
                    <xdr:colOff>571500</xdr:colOff>
                    <xdr:row>0</xdr:row>
                    <xdr:rowOff>247650</xdr:rowOff>
                  </to>
                </anchor>
              </controlPr>
            </control>
          </mc:Choice>
        </mc:AlternateContent>
        <mc:AlternateContent xmlns:mc="http://schemas.openxmlformats.org/markup-compatibility/2006">
          <mc:Choice Requires="x14">
            <control shapeId="75778" r:id="rId5" name="Button 2">
              <controlPr defaultSize="0" print="0" autoFill="0" autoPict="0" macro="[0]!Info">
                <anchor moveWithCells="1">
                  <from>
                    <xdr:col>15</xdr:col>
                    <xdr:colOff>285750</xdr:colOff>
                    <xdr:row>73</xdr:row>
                    <xdr:rowOff>76200</xdr:rowOff>
                  </from>
                  <to>
                    <xdr:col>15</xdr:col>
                    <xdr:colOff>809625</xdr:colOff>
                    <xdr:row>74</xdr:row>
                    <xdr:rowOff>152400</xdr:rowOff>
                  </to>
                </anchor>
              </controlPr>
            </control>
          </mc:Choice>
        </mc:AlternateContent>
        <mc:AlternateContent xmlns:mc="http://schemas.openxmlformats.org/markup-compatibility/2006">
          <mc:Choice Requires="x14">
            <control shapeId="75779" r:id="rId6" name="Button 3">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75780" r:id="rId7" name="Button 4">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75781" r:id="rId8" name="Button 5">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mc:AlternateContent xmlns:mc="http://schemas.openxmlformats.org/markup-compatibility/2006">
          <mc:Choice Requires="x14">
            <control shapeId="75782" r:id="rId9" name="Button 6">
              <controlPr defaultSize="0" print="0" autoFill="0" autoPict="0" macro="[0]!Info">
                <anchor moveWithCells="1">
                  <from>
                    <xdr:col>0</xdr:col>
                    <xdr:colOff>66675</xdr:colOff>
                    <xdr:row>0</xdr:row>
                    <xdr:rowOff>76200</xdr:rowOff>
                  </from>
                  <to>
                    <xdr:col>0</xdr:col>
                    <xdr:colOff>581025</xdr:colOff>
                    <xdr:row>1</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66E1F49E4A5F4F901E7B53DFF89840" ma:contentTypeVersion="0" ma:contentTypeDescription="Create a new document." ma:contentTypeScope="" ma:versionID="c83cccf63b51a0b80fbd7d1f8d67c54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wvc2lzbD48VXNlck5hbWU+Q09SUFxzMjE0Mjg0PC9Vc2VyTmFtZT48RGF0ZVRpbWU+Mi83LzIwMjIgMTA6NTk6MjQgUE08L0RhdGVUaW1lPjxMYWJlbFN0cmluZz5BRVAgUHVibGljPC9MYWJlbFN0cmluZz48L2l0ZW0+PC9sYWJlbEhpc3Rvcnk+</Value>
</WrappedLabelHistor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E4008907-0E25-47A3-957E-4399DC5131C0}">
  <ds:schemaRefs>
    <ds:schemaRef ds:uri="http://schemas.microsoft.com/office/2006/metadata/propertie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3A6A1896-A605-4818-867F-6CC6ECA9D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EAB512-5647-4077-AB44-CA5026335789}">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BAA3C3FA-2552-4DFE-89EC-1E0E2B13CA90}">
  <ds:schemaRefs>
    <ds:schemaRef ds:uri="http://schemas.microsoft.com/sharepoint/v3/contenttype/forms"/>
  </ds:schemaRefs>
</ds:datastoreItem>
</file>

<file path=customXml/itemProps5.xml><?xml version="1.0" encoding="utf-8"?>
<ds:datastoreItem xmlns:ds="http://schemas.openxmlformats.org/officeDocument/2006/customXml" ds:itemID="{796151DC-7425-4DD7-B0A0-D739871875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Customer Info</vt:lpstr>
      <vt:lpstr>Rider Def</vt:lpstr>
      <vt:lpstr>RR Bundled</vt:lpstr>
      <vt:lpstr>RSDM Bundled</vt:lpstr>
      <vt:lpstr>RS TOU Bundled</vt:lpstr>
      <vt:lpstr>RS TOD Bundled</vt:lpstr>
      <vt:lpstr>RR PEV</vt:lpstr>
      <vt:lpstr>GS-1 Bundled</vt:lpstr>
      <vt:lpstr>GS-TOU Bundled</vt:lpstr>
      <vt:lpstr>GS TOD Bundled</vt:lpstr>
      <vt:lpstr>GS-PEV</vt:lpstr>
      <vt:lpstr>GS FAIR - SEC</vt:lpstr>
      <vt:lpstr>GS FAIR - PRI</vt:lpstr>
      <vt:lpstr>GS SEC</vt:lpstr>
      <vt:lpstr>GS PRI</vt:lpstr>
      <vt:lpstr>GS TRANS</vt:lpstr>
      <vt:lpstr>RR Open Access</vt:lpstr>
      <vt:lpstr>RSDM Open</vt:lpstr>
      <vt:lpstr>GS-1 Open</vt:lpstr>
      <vt:lpstr>GS-PEV OAD</vt:lpstr>
      <vt:lpstr>GS SEC OAD</vt:lpstr>
      <vt:lpstr>GS PRI OAD</vt:lpstr>
      <vt:lpstr>GS TRANS - OAD</vt:lpstr>
      <vt:lpstr>Rider Rates</vt:lpstr>
      <vt:lpstr>Riders</vt:lpstr>
      <vt:lpstr>'Customer Info'!Print_Area</vt:lpstr>
      <vt:lpstr>'GS FAIR - PRI'!Print_Area</vt:lpstr>
      <vt:lpstr>'GS FAIR - SEC'!Print_Area</vt:lpstr>
      <vt:lpstr>'GS PRI'!Print_Area</vt:lpstr>
      <vt:lpstr>'GS PRI OAD'!Print_Area</vt:lpstr>
      <vt:lpstr>'GS SEC'!Print_Area</vt:lpstr>
      <vt:lpstr>'GS SEC OAD'!Print_Area</vt:lpstr>
      <vt:lpstr>'GS TOD Bundled'!Print_Area</vt:lpstr>
      <vt:lpstr>'GS TRANS'!Print_Area</vt:lpstr>
      <vt:lpstr>'GS TRANS - OAD'!Print_Area</vt:lpstr>
      <vt:lpstr>'GS-1 Bundled'!Print_Area</vt:lpstr>
      <vt:lpstr>'GS-1 Open'!Print_Area</vt:lpstr>
      <vt:lpstr>'GS-PEV'!Print_Area</vt:lpstr>
      <vt:lpstr>'GS-PEV OAD'!Print_Area</vt:lpstr>
      <vt:lpstr>'GS-TOU Bundled'!Print_Area</vt:lpstr>
      <vt:lpstr>'Rider Def'!Print_Area</vt:lpstr>
      <vt:lpstr>'Rider Rates'!Print_Area</vt:lpstr>
      <vt:lpstr>'RR Bundled'!Print_Area</vt:lpstr>
      <vt:lpstr>'RR Open Access'!Print_Area</vt:lpstr>
      <vt:lpstr>'RR PEV'!Print_Area</vt:lpstr>
      <vt:lpstr>'RS TOD Bundled'!Print_Area</vt:lpstr>
      <vt:lpstr>'RS TOU Bundled'!Print_Area</vt:lpstr>
      <vt:lpstr>'RSDM Bundled'!Print_Area</vt:lpstr>
      <vt:lpstr>'RSDM Open'!Print_Area</vt:lpstr>
      <vt:lpstr>'Rider Rates'!Print_Titles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aep</dc:creator>
  <cp:keywords/>
  <cp:lastModifiedBy>Kimete Seferi</cp:lastModifiedBy>
  <cp:lastPrinted>2017-06-23T13:54:30Z</cp:lastPrinted>
  <dcterms:created xsi:type="dcterms:W3CDTF">2000-11-03T19:24:31Z</dcterms:created>
  <dcterms:modified xsi:type="dcterms:W3CDTF">2024-03-20T20:02:26Z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ad6b27f4-fd8d-4df5-9d08-85ebcc148472</vt:lpwstr>
  </property>
  <property fmtid="{D5CDD505-2E9C-101B-9397-08002B2CF9AE}" pid="3" name="bjSaver">
    <vt:lpwstr>U1v8mr3eKs0tgCx2MG+dSVdPBDLtHi3C</vt:lpwstr>
  </property>
  <property fmtid="{D5CDD505-2E9C-101B-9397-08002B2CF9AE}" pid="4" name="Visual Markings Removed">
    <vt:lpwstr>No</vt:lpwstr>
  </property>
  <property fmtid="{D5CDD505-2E9C-101B-9397-08002B2CF9AE}" pid="5" name="bjDocumentSecurityLabel">
    <vt:lpwstr>AEP Public</vt:lpwstr>
  </property>
  <property fmtid="{D5CDD505-2E9C-101B-9397-08002B2CF9AE}" pid="6" name="bjLabelHistoryID">
    <vt:lpwstr>{39EAB512-5647-4077-AB44-CA5026335789}</vt:lpwstr>
  </property>
  <property fmtid="{D5CDD505-2E9C-101B-9397-08002B2CF9AE}" pid="7" name="bjClsUserRVM">
    <vt:lpwstr>[]</vt:lpwstr>
  </property>
  <property fmtid="{D5CDD505-2E9C-101B-9397-08002B2CF9AE}" pid="8" name="MSIP_Label_5c34e43d-0b77-4b2c-b224-1b46981ccfdb_SiteId">
    <vt:lpwstr>15f3c881-6b03-4ff6-8559-77bf5177818f</vt:lpwstr>
  </property>
  <property fmtid="{D5CDD505-2E9C-101B-9397-08002B2CF9AE}" pid="9" name="MSIP_Label_5c34e43d-0b77-4b2c-b224-1b46981ccfdb_Name">
    <vt:lpwstr>AEP Public</vt:lpwstr>
  </property>
  <property fmtid="{D5CDD505-2E9C-101B-9397-08002B2CF9AE}" pid="10" name="MSIP_Label_5c34e43d-0b77-4b2c-b224-1b46981ccfdb_Enabled">
    <vt:lpwstr>true</vt:lpwstr>
  </property>
  <property fmtid="{D5CDD505-2E9C-101B-9397-08002B2CF9AE}" pid="11" name="ContentTypeId">
    <vt:lpwstr>0x010100F766E1F49E4A5F4F901E7B53DFF89840</vt:lpwstr>
  </property>
  <property fmtid="{D5CDD505-2E9C-101B-9397-08002B2CF9AE}" pid="12"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3" name="bjDocumentLabelXML-0">
    <vt:lpwstr>ames.com/2008/01/sie/internal/label"&gt;&lt;element uid="c5f8eb12-5b27-439d-aaa6-3402af626fa3" value="" /&gt;&lt;/sisl&gt;</vt:lpwstr>
  </property>
</Properties>
</file>